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Agosto\540818\"/>
    </mc:Choice>
  </mc:AlternateContent>
  <xr:revisionPtr revIDLastSave="23" documentId="6_{65234607-A1E6-450A-9644-3456EADA96A4}" xr6:coauthVersionLast="37" xr6:coauthVersionMax="37" xr10:uidLastSave="{B47D05E7-084E-4BCC-9F85-7EE9BF8A525A}"/>
  <bookViews>
    <workbookView xWindow="0" yWindow="0" windowWidth="20460" windowHeight="5805" xr2:uid="{00000000-000D-0000-FFFF-FFFF00000000}"/>
  </bookViews>
  <sheets>
    <sheet name="SGP AGO 2018" sheetId="1" r:id="rId1"/>
    <sheet name="Hoja1" sheetId="2" r:id="rId2"/>
  </sheets>
  <externalReferences>
    <externalReference r:id="rId3"/>
    <externalReference r:id="rId4"/>
    <externalReference r:id="rId5"/>
  </externalReferences>
  <definedNames>
    <definedName name="_DIS2008" localSheetId="0">#REF!</definedName>
    <definedName name="_DIS2008">#REF!</definedName>
    <definedName name="_xlnm._FilterDatabase" localSheetId="0" hidden="1">'SGP AGO 2018'!$A$2:$DT$1141</definedName>
    <definedName name="_xlnm.Print_Area" localSheetId="0">'SGP AGO 2018'!$A$1:$CW$2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AGO 2018'!#REF!</definedName>
    <definedName name="DEPTOSAPORTES12008" localSheetId="0">'SGP AGO 2018'!#REF!</definedName>
    <definedName name="DEPTOSAPORTES22008" localSheetId="0">'SGP AGO 2018'!#REF!</definedName>
    <definedName name="DEPTOSDEUDA2008" localSheetId="0">'SGP AGO 2018'!#REF!</definedName>
    <definedName name="DEPTOSPENSION2008" localSheetId="0">'SGP AGO 2018'!#REF!</definedName>
    <definedName name="DEPTOSSERVICIOS2008" localSheetId="0">'SGP AGO 2018'!#REF!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AGO 2018'!#REF!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T1136" i="1" l="1"/>
  <c r="CU5" i="1"/>
  <c r="CU6" i="1"/>
  <c r="CU7" i="1"/>
  <c r="CU11" i="1"/>
  <c r="CU13" i="1"/>
  <c r="CU14" i="1"/>
  <c r="CU15" i="1"/>
  <c r="CU18" i="1"/>
  <c r="CU20" i="1"/>
  <c r="CU24" i="1"/>
  <c r="CU29" i="1"/>
  <c r="CU32" i="1"/>
  <c r="CU33" i="1"/>
  <c r="CU36" i="1"/>
  <c r="CU37" i="1"/>
  <c r="CU38" i="1"/>
  <c r="CU39" i="1"/>
  <c r="CU40" i="1"/>
  <c r="CU41" i="1"/>
  <c r="CU44" i="1"/>
  <c r="CU46" i="1"/>
  <c r="CU51" i="1"/>
  <c r="CU56" i="1"/>
  <c r="CU60" i="1"/>
  <c r="CU68" i="1"/>
  <c r="CU76" i="1"/>
  <c r="CU77" i="1"/>
  <c r="CU78" i="1"/>
  <c r="CU79" i="1"/>
  <c r="CU80" i="1"/>
  <c r="CU86" i="1"/>
  <c r="CU87" i="1"/>
  <c r="CU89" i="1"/>
  <c r="CU90" i="1"/>
  <c r="CU101" i="1"/>
  <c r="CU102" i="1"/>
  <c r="CU107" i="1"/>
  <c r="CU111" i="1"/>
  <c r="CU112" i="1"/>
  <c r="CU118" i="1"/>
  <c r="CU119" i="1"/>
  <c r="CU120" i="1"/>
  <c r="CU124" i="1"/>
  <c r="CU125" i="1"/>
  <c r="CU130" i="1"/>
  <c r="CU131" i="1"/>
  <c r="CU134" i="1"/>
  <c r="CU135" i="1"/>
  <c r="CU136" i="1"/>
  <c r="CU138" i="1"/>
  <c r="CU142" i="1"/>
  <c r="CU146" i="1"/>
  <c r="CU148" i="1"/>
  <c r="CU154" i="1"/>
  <c r="CU159" i="1"/>
  <c r="CU166" i="1"/>
  <c r="CU167" i="1"/>
  <c r="CU172" i="1"/>
  <c r="CU173" i="1"/>
  <c r="CU174" i="1"/>
  <c r="CU175" i="1"/>
  <c r="CU177" i="1"/>
  <c r="CU180" i="1"/>
  <c r="CU181" i="1"/>
  <c r="CU183" i="1"/>
  <c r="CU190" i="1"/>
  <c r="CU191" i="1"/>
  <c r="CU192" i="1"/>
  <c r="CU193" i="1"/>
  <c r="CU194" i="1"/>
  <c r="CU195" i="1"/>
  <c r="CU196" i="1"/>
  <c r="CU197" i="1"/>
  <c r="CU198" i="1"/>
  <c r="CU201" i="1"/>
  <c r="CU206" i="1"/>
  <c r="CU208" i="1"/>
  <c r="CU210" i="1"/>
  <c r="CU211" i="1"/>
  <c r="CU217" i="1"/>
  <c r="CU219" i="1"/>
  <c r="CU220" i="1"/>
  <c r="CU223" i="1"/>
  <c r="CU228" i="1"/>
  <c r="CU231" i="1"/>
  <c r="CU239" i="1"/>
  <c r="CU241" i="1"/>
  <c r="CU244" i="1"/>
  <c r="CU245" i="1"/>
  <c r="CU248" i="1"/>
  <c r="CU249" i="1"/>
  <c r="CU250" i="1"/>
  <c r="CU255" i="1"/>
  <c r="CU256" i="1"/>
  <c r="CU261" i="1"/>
  <c r="CU262" i="1"/>
  <c r="CU264" i="1"/>
  <c r="CU265" i="1"/>
  <c r="CU266" i="1"/>
  <c r="CU269" i="1"/>
  <c r="CU276" i="1"/>
  <c r="CU279" i="1"/>
  <c r="CU280" i="1"/>
  <c r="CU281" i="1"/>
  <c r="CU282" i="1"/>
  <c r="CU283" i="1"/>
  <c r="CU284" i="1"/>
  <c r="CU285" i="1"/>
  <c r="CU286" i="1"/>
  <c r="CU287" i="1"/>
  <c r="CU288" i="1"/>
  <c r="CU289" i="1"/>
  <c r="CU290" i="1"/>
  <c r="CU291" i="1"/>
  <c r="CU292" i="1"/>
  <c r="CU294" i="1"/>
  <c r="CU295" i="1"/>
  <c r="CU296" i="1"/>
  <c r="CU297" i="1"/>
  <c r="CU298" i="1"/>
  <c r="CU299" i="1"/>
  <c r="CU300" i="1"/>
  <c r="CU301" i="1"/>
  <c r="CU302" i="1"/>
  <c r="CU303" i="1"/>
  <c r="CU304" i="1"/>
  <c r="CU305" i="1"/>
  <c r="CU306" i="1"/>
  <c r="CU307" i="1"/>
  <c r="CU308" i="1"/>
  <c r="CU309" i="1"/>
  <c r="CU310" i="1"/>
  <c r="CU311" i="1"/>
  <c r="CU325" i="1"/>
  <c r="CU326" i="1"/>
  <c r="CU327" i="1"/>
  <c r="CU328" i="1"/>
  <c r="CU338" i="1"/>
  <c r="CU339" i="1"/>
  <c r="CU345" i="1"/>
  <c r="CU347" i="1"/>
  <c r="CU350" i="1"/>
  <c r="CU352" i="1"/>
  <c r="CU354" i="1"/>
  <c r="CU357" i="1"/>
  <c r="CU363" i="1"/>
  <c r="CU364" i="1"/>
  <c r="CU365" i="1"/>
  <c r="CU368" i="1"/>
  <c r="CU370" i="1"/>
  <c r="CU373" i="1"/>
  <c r="CU380" i="1"/>
  <c r="CU381" i="1"/>
  <c r="CU383" i="1"/>
  <c r="CU385" i="1"/>
  <c r="CU386" i="1"/>
  <c r="CU391" i="1"/>
  <c r="CU393" i="1"/>
  <c r="CU394" i="1"/>
  <c r="CU396" i="1"/>
  <c r="CU398" i="1"/>
  <c r="CU400" i="1"/>
  <c r="CU405" i="1"/>
  <c r="CU406" i="1"/>
  <c r="CU408" i="1"/>
  <c r="CU410" i="1"/>
  <c r="CU416" i="1"/>
  <c r="CU417" i="1"/>
  <c r="CU418" i="1"/>
  <c r="CU424" i="1"/>
  <c r="CU429" i="1"/>
  <c r="CU431" i="1"/>
  <c r="CU433" i="1"/>
  <c r="CU434" i="1"/>
  <c r="CU436" i="1"/>
  <c r="CU439" i="1"/>
  <c r="CU441" i="1"/>
  <c r="CU442" i="1"/>
  <c r="CU446" i="1"/>
  <c r="CU448" i="1"/>
  <c r="CU452" i="1"/>
  <c r="CU453" i="1"/>
  <c r="CU456" i="1"/>
  <c r="CU461" i="1"/>
  <c r="CU463" i="1"/>
  <c r="CU467" i="1"/>
  <c r="CU474" i="1"/>
  <c r="CU477" i="1"/>
  <c r="CU479" i="1"/>
  <c r="CU483" i="1"/>
  <c r="CU487" i="1"/>
  <c r="CU488" i="1"/>
  <c r="CU492" i="1"/>
  <c r="CU500" i="1"/>
  <c r="CU501" i="1"/>
  <c r="CU505" i="1"/>
  <c r="CU506" i="1"/>
  <c r="CU508" i="1"/>
  <c r="CU510" i="1"/>
  <c r="CU513" i="1"/>
  <c r="CU518" i="1"/>
  <c r="CU522" i="1"/>
  <c r="CU525" i="1"/>
  <c r="CU526" i="1"/>
  <c r="CU529" i="1"/>
  <c r="CU531" i="1"/>
  <c r="CU532" i="1"/>
  <c r="CU539" i="1"/>
  <c r="CU540" i="1"/>
  <c r="CU542" i="1"/>
  <c r="CU545" i="1"/>
  <c r="CU546" i="1"/>
  <c r="CU548" i="1"/>
  <c r="CU550" i="1"/>
  <c r="CU559" i="1"/>
  <c r="CU560" i="1"/>
  <c r="CU566" i="1"/>
  <c r="CU567" i="1"/>
  <c r="CU573" i="1"/>
  <c r="CU574" i="1"/>
  <c r="CU575" i="1"/>
  <c r="CU576" i="1"/>
  <c r="CU577" i="1"/>
  <c r="CU581" i="1"/>
  <c r="CU582" i="1"/>
  <c r="CU583" i="1"/>
  <c r="CU584" i="1"/>
  <c r="CU585" i="1"/>
  <c r="CU586" i="1"/>
  <c r="CU588" i="1"/>
  <c r="CU589" i="1"/>
  <c r="CU590" i="1"/>
  <c r="CU591" i="1"/>
  <c r="CU592" i="1"/>
  <c r="CU595" i="1"/>
  <c r="CU597" i="1"/>
  <c r="CU600" i="1"/>
  <c r="CU604" i="1"/>
  <c r="CU610" i="1"/>
  <c r="CU611" i="1"/>
  <c r="CU614" i="1"/>
  <c r="CU615" i="1"/>
  <c r="CU618" i="1"/>
  <c r="CU621" i="1"/>
  <c r="CU622" i="1"/>
  <c r="CU630" i="1"/>
  <c r="CU631" i="1"/>
  <c r="CU637" i="1"/>
  <c r="CU638" i="1"/>
  <c r="CU639" i="1"/>
  <c r="CU640" i="1"/>
  <c r="CU641" i="1"/>
  <c r="CU642" i="1"/>
  <c r="CU643" i="1"/>
  <c r="CU644" i="1"/>
  <c r="CU645" i="1"/>
  <c r="CU646" i="1"/>
  <c r="CU649" i="1"/>
  <c r="CU650" i="1"/>
  <c r="CU653" i="1"/>
  <c r="CU654" i="1"/>
  <c r="CU660" i="1"/>
  <c r="CU662" i="1"/>
  <c r="CU663" i="1"/>
  <c r="CU667" i="1"/>
  <c r="CU668" i="1"/>
  <c r="CU674" i="1"/>
  <c r="CU676" i="1"/>
  <c r="CU677" i="1"/>
  <c r="CU678" i="1"/>
  <c r="CU681" i="1"/>
  <c r="CU682" i="1"/>
  <c r="CU684" i="1"/>
  <c r="CU688" i="1"/>
  <c r="CU690" i="1"/>
  <c r="CU691" i="1"/>
  <c r="CU692" i="1"/>
  <c r="CU697" i="1"/>
  <c r="CU702" i="1"/>
  <c r="CU706" i="1"/>
  <c r="CU707" i="1"/>
  <c r="CU712" i="1"/>
  <c r="CU717" i="1"/>
  <c r="CU720" i="1"/>
  <c r="CU723" i="1"/>
  <c r="CU726" i="1"/>
  <c r="CU727" i="1"/>
  <c r="CU730" i="1"/>
  <c r="CU737" i="1"/>
  <c r="CU740" i="1"/>
  <c r="CU743" i="1"/>
  <c r="CU745" i="1"/>
  <c r="CU750" i="1"/>
  <c r="CU751" i="1"/>
  <c r="CU754" i="1"/>
  <c r="CU755" i="1"/>
  <c r="CU759" i="1"/>
  <c r="CU764" i="1"/>
  <c r="CU766" i="1"/>
  <c r="CU768" i="1"/>
  <c r="CU769" i="1"/>
  <c r="CU770" i="1"/>
  <c r="CU772" i="1"/>
  <c r="CU773" i="1"/>
  <c r="CU775" i="1"/>
  <c r="CU779" i="1"/>
  <c r="CU784" i="1"/>
  <c r="CU785" i="1"/>
  <c r="CU786" i="1"/>
  <c r="CU787" i="1"/>
  <c r="CU790" i="1"/>
  <c r="CU791" i="1"/>
  <c r="CU792" i="1"/>
  <c r="CU797" i="1"/>
  <c r="CU798" i="1"/>
  <c r="CU800" i="1"/>
  <c r="CU813" i="1"/>
  <c r="CU814" i="1"/>
  <c r="CU816" i="1"/>
  <c r="CU818" i="1"/>
  <c r="CU823" i="1"/>
  <c r="CU827" i="1"/>
  <c r="CU834" i="1"/>
  <c r="CU837" i="1"/>
  <c r="CU843" i="1"/>
  <c r="CU844" i="1"/>
  <c r="CU849" i="1"/>
  <c r="CU850" i="1"/>
  <c r="CU851" i="1"/>
  <c r="CU855" i="1"/>
  <c r="CU857" i="1"/>
  <c r="CU859" i="1"/>
  <c r="CU861" i="1"/>
  <c r="CU864" i="1"/>
  <c r="CU866" i="1"/>
  <c r="CU867" i="1"/>
  <c r="CU868" i="1"/>
  <c r="CU869" i="1"/>
  <c r="CU870" i="1"/>
  <c r="CU872" i="1"/>
  <c r="CU873" i="1"/>
  <c r="CU876" i="1"/>
  <c r="CU879" i="1"/>
  <c r="CU884" i="1"/>
  <c r="CU897" i="1"/>
  <c r="CU898" i="1"/>
  <c r="CU909" i="1"/>
  <c r="CU910" i="1"/>
  <c r="CU917" i="1"/>
  <c r="CU920" i="1"/>
  <c r="CU924" i="1"/>
  <c r="CU927" i="1"/>
  <c r="CU928" i="1"/>
  <c r="CU934" i="1"/>
  <c r="CU935" i="1"/>
  <c r="CU938" i="1"/>
  <c r="CU942" i="1"/>
  <c r="CU945" i="1"/>
  <c r="CU946" i="1"/>
  <c r="CU948" i="1"/>
  <c r="CU951" i="1"/>
  <c r="CU955" i="1"/>
  <c r="CU958" i="1"/>
  <c r="CU968" i="1"/>
  <c r="CU970" i="1"/>
  <c r="CU971" i="1"/>
  <c r="CU972" i="1"/>
  <c r="CU973" i="1"/>
  <c r="CU976" i="1"/>
  <c r="CU981" i="1"/>
  <c r="CU982" i="1"/>
  <c r="CU987" i="1"/>
  <c r="CU990" i="1"/>
  <c r="CU992" i="1"/>
  <c r="CU994" i="1"/>
  <c r="CU995" i="1"/>
  <c r="CU996" i="1"/>
  <c r="CU1002" i="1"/>
  <c r="CU1003" i="1"/>
  <c r="CU1009" i="1"/>
  <c r="CU1011" i="1"/>
  <c r="CU1013" i="1"/>
  <c r="CU1018" i="1"/>
  <c r="CU1021" i="1"/>
  <c r="CU1023" i="1"/>
  <c r="CU1027" i="1"/>
  <c r="CU1032" i="1"/>
  <c r="CU1033" i="1"/>
  <c r="CU1041" i="1"/>
  <c r="CU1042" i="1"/>
  <c r="CU1049" i="1"/>
  <c r="CU1051" i="1"/>
  <c r="CU1054" i="1"/>
  <c r="CU1055" i="1"/>
  <c r="CU1056" i="1"/>
  <c r="CU1061" i="1"/>
  <c r="CU1062" i="1"/>
  <c r="CU1063" i="1"/>
  <c r="CU1066" i="1"/>
  <c r="CU1067" i="1"/>
  <c r="CU1068" i="1"/>
  <c r="CU1069" i="1"/>
  <c r="CU1070" i="1"/>
  <c r="CU1071" i="1"/>
  <c r="CU1072" i="1"/>
  <c r="CU1077" i="1"/>
  <c r="CU1080" i="1"/>
  <c r="CU1085" i="1"/>
  <c r="CU1087" i="1"/>
  <c r="CU1089" i="1"/>
  <c r="CU1090" i="1"/>
  <c r="CU1092" i="1"/>
  <c r="CU1093" i="1"/>
  <c r="CU1094" i="1"/>
  <c r="CU1095" i="1"/>
  <c r="CU1100" i="1"/>
  <c r="CU1103" i="1"/>
  <c r="CU1104" i="1"/>
  <c r="CU1107" i="1"/>
  <c r="CU1109" i="1"/>
  <c r="CU1112" i="1"/>
  <c r="CU1113" i="1"/>
  <c r="CU1114" i="1"/>
  <c r="CU1116" i="1"/>
  <c r="CU1117" i="1"/>
  <c r="CU1120" i="1"/>
  <c r="CU1122" i="1"/>
  <c r="CU1124" i="1"/>
  <c r="CU1125" i="1"/>
  <c r="CU1126" i="1"/>
  <c r="CU1127" i="1"/>
  <c r="CU1133" i="1"/>
  <c r="CU3" i="1"/>
  <c r="A3" i="2" l="1"/>
  <c r="A1" i="2"/>
  <c r="CR1136" i="1"/>
  <c r="CQ1136" i="1"/>
  <c r="CP1136" i="1"/>
  <c r="CO1136" i="1"/>
  <c r="CN1136" i="1"/>
  <c r="CM1136" i="1"/>
  <c r="CL1136" i="1"/>
  <c r="CK1136" i="1"/>
  <c r="CJ1136" i="1"/>
  <c r="CI1136" i="1"/>
  <c r="CH1136" i="1"/>
  <c r="CG1126" i="1" l="1"/>
  <c r="CS1126" i="1" s="1"/>
  <c r="CG4" i="1"/>
  <c r="CS4" i="1" s="1"/>
  <c r="CG5" i="1"/>
  <c r="CS5" i="1" s="1"/>
  <c r="CG6" i="1"/>
  <c r="CS6" i="1" s="1"/>
  <c r="CG7" i="1"/>
  <c r="CS7" i="1" s="1"/>
  <c r="CG8" i="1"/>
  <c r="CS8" i="1" s="1"/>
  <c r="CG9" i="1"/>
  <c r="CS9" i="1" s="1"/>
  <c r="CG10" i="1"/>
  <c r="CS10" i="1" s="1"/>
  <c r="CG11" i="1"/>
  <c r="CS11" i="1" s="1"/>
  <c r="CG12" i="1"/>
  <c r="CS12" i="1" s="1"/>
  <c r="CG13" i="1"/>
  <c r="CS13" i="1" s="1"/>
  <c r="CG14" i="1"/>
  <c r="CS14" i="1" s="1"/>
  <c r="CG15" i="1"/>
  <c r="CS15" i="1" s="1"/>
  <c r="CG16" i="1"/>
  <c r="CS16" i="1" s="1"/>
  <c r="CG17" i="1"/>
  <c r="CS17" i="1" s="1"/>
  <c r="CG18" i="1"/>
  <c r="CS18" i="1" s="1"/>
  <c r="CG19" i="1"/>
  <c r="CS19" i="1" s="1"/>
  <c r="CG20" i="1"/>
  <c r="CS20" i="1" s="1"/>
  <c r="CG21" i="1"/>
  <c r="CS21" i="1" s="1"/>
  <c r="CG22" i="1"/>
  <c r="CS22" i="1" s="1"/>
  <c r="CG23" i="1"/>
  <c r="CS23" i="1" s="1"/>
  <c r="CG24" i="1"/>
  <c r="CS24" i="1" s="1"/>
  <c r="CG25" i="1"/>
  <c r="CS25" i="1" s="1"/>
  <c r="CG26" i="1"/>
  <c r="CS26" i="1" s="1"/>
  <c r="CG27" i="1"/>
  <c r="CS27" i="1" s="1"/>
  <c r="CG28" i="1"/>
  <c r="CS28" i="1" s="1"/>
  <c r="CG29" i="1"/>
  <c r="CS29" i="1" s="1"/>
  <c r="CG30" i="1"/>
  <c r="CS30" i="1" s="1"/>
  <c r="CG31" i="1"/>
  <c r="CS31" i="1" s="1"/>
  <c r="CG32" i="1"/>
  <c r="CS32" i="1" s="1"/>
  <c r="CG33" i="1"/>
  <c r="CS33" i="1" s="1"/>
  <c r="CG34" i="1"/>
  <c r="CS34" i="1" s="1"/>
  <c r="CG35" i="1"/>
  <c r="CS35" i="1" s="1"/>
  <c r="CG36" i="1"/>
  <c r="CS36" i="1" s="1"/>
  <c r="CG37" i="1"/>
  <c r="CS37" i="1" s="1"/>
  <c r="CG38" i="1"/>
  <c r="CS38" i="1" s="1"/>
  <c r="CG39" i="1"/>
  <c r="CS39" i="1" s="1"/>
  <c r="CG40" i="1"/>
  <c r="CS40" i="1" s="1"/>
  <c r="CG41" i="1"/>
  <c r="CS41" i="1" s="1"/>
  <c r="CG42" i="1"/>
  <c r="CS42" i="1" s="1"/>
  <c r="CG43" i="1"/>
  <c r="CS43" i="1" s="1"/>
  <c r="CG44" i="1"/>
  <c r="CS44" i="1" s="1"/>
  <c r="CG45" i="1"/>
  <c r="CS45" i="1" s="1"/>
  <c r="CG46" i="1"/>
  <c r="CS46" i="1" s="1"/>
  <c r="CG47" i="1"/>
  <c r="CS47" i="1" s="1"/>
  <c r="CG48" i="1"/>
  <c r="CS48" i="1" s="1"/>
  <c r="CG49" i="1"/>
  <c r="CS49" i="1" s="1"/>
  <c r="CG50" i="1"/>
  <c r="CS50" i="1" s="1"/>
  <c r="CG51" i="1"/>
  <c r="CS51" i="1" s="1"/>
  <c r="CG52" i="1"/>
  <c r="CS52" i="1" s="1"/>
  <c r="CG53" i="1"/>
  <c r="CS53" i="1" s="1"/>
  <c r="CG54" i="1"/>
  <c r="CS54" i="1" s="1"/>
  <c r="CG55" i="1"/>
  <c r="CS55" i="1" s="1"/>
  <c r="CG56" i="1"/>
  <c r="CS56" i="1" s="1"/>
  <c r="CG57" i="1"/>
  <c r="CS57" i="1" s="1"/>
  <c r="CG58" i="1"/>
  <c r="CS58" i="1" s="1"/>
  <c r="CG59" i="1"/>
  <c r="CS59" i="1" s="1"/>
  <c r="CG60" i="1"/>
  <c r="CS60" i="1" s="1"/>
  <c r="CG61" i="1"/>
  <c r="CS61" i="1" s="1"/>
  <c r="CG62" i="1"/>
  <c r="CS62" i="1" s="1"/>
  <c r="CG63" i="1"/>
  <c r="CS63" i="1" s="1"/>
  <c r="CG64" i="1"/>
  <c r="CS64" i="1" s="1"/>
  <c r="CG65" i="1"/>
  <c r="CS65" i="1" s="1"/>
  <c r="CG66" i="1"/>
  <c r="CS66" i="1" s="1"/>
  <c r="CG67" i="1"/>
  <c r="CS67" i="1" s="1"/>
  <c r="CG68" i="1"/>
  <c r="CS68" i="1" s="1"/>
  <c r="CG69" i="1"/>
  <c r="CS69" i="1" s="1"/>
  <c r="CG70" i="1"/>
  <c r="CS70" i="1" s="1"/>
  <c r="CG71" i="1"/>
  <c r="CS71" i="1" s="1"/>
  <c r="CG72" i="1"/>
  <c r="CS72" i="1" s="1"/>
  <c r="CG73" i="1"/>
  <c r="CS73" i="1" s="1"/>
  <c r="CG74" i="1"/>
  <c r="CS74" i="1" s="1"/>
  <c r="CG75" i="1"/>
  <c r="CS75" i="1" s="1"/>
  <c r="CG76" i="1"/>
  <c r="CS76" i="1" s="1"/>
  <c r="CG77" i="1"/>
  <c r="CS77" i="1" s="1"/>
  <c r="CG78" i="1"/>
  <c r="CS78" i="1" s="1"/>
  <c r="CG79" i="1"/>
  <c r="CS79" i="1" s="1"/>
  <c r="CG80" i="1"/>
  <c r="CS80" i="1" s="1"/>
  <c r="CG81" i="1"/>
  <c r="CS81" i="1" s="1"/>
  <c r="CG82" i="1"/>
  <c r="CS82" i="1" s="1"/>
  <c r="CG83" i="1"/>
  <c r="CS83" i="1" s="1"/>
  <c r="CG84" i="1"/>
  <c r="CS84" i="1" s="1"/>
  <c r="CG85" i="1"/>
  <c r="CS85" i="1" s="1"/>
  <c r="CG86" i="1"/>
  <c r="CS86" i="1" s="1"/>
  <c r="CG87" i="1"/>
  <c r="CS87" i="1" s="1"/>
  <c r="CG88" i="1"/>
  <c r="CS88" i="1" s="1"/>
  <c r="CG89" i="1"/>
  <c r="CS89" i="1" s="1"/>
  <c r="CG90" i="1"/>
  <c r="CS90" i="1" s="1"/>
  <c r="CG91" i="1"/>
  <c r="CS91" i="1" s="1"/>
  <c r="CG92" i="1"/>
  <c r="CS92" i="1" s="1"/>
  <c r="CG93" i="1"/>
  <c r="CS93" i="1" s="1"/>
  <c r="CG94" i="1"/>
  <c r="CS94" i="1" s="1"/>
  <c r="CG95" i="1"/>
  <c r="CS95" i="1" s="1"/>
  <c r="CG96" i="1"/>
  <c r="CS96" i="1" s="1"/>
  <c r="CG97" i="1"/>
  <c r="CS97" i="1" s="1"/>
  <c r="CG98" i="1"/>
  <c r="CS98" i="1" s="1"/>
  <c r="CG99" i="1"/>
  <c r="CS99" i="1" s="1"/>
  <c r="CG100" i="1"/>
  <c r="CS100" i="1" s="1"/>
  <c r="CG101" i="1"/>
  <c r="CS101" i="1" s="1"/>
  <c r="CG102" i="1"/>
  <c r="CS102" i="1" s="1"/>
  <c r="CG103" i="1"/>
  <c r="CS103" i="1" s="1"/>
  <c r="CG104" i="1"/>
  <c r="CS104" i="1" s="1"/>
  <c r="CG105" i="1"/>
  <c r="CS105" i="1" s="1"/>
  <c r="CG106" i="1"/>
  <c r="CS106" i="1" s="1"/>
  <c r="CG107" i="1"/>
  <c r="CS107" i="1" s="1"/>
  <c r="CG108" i="1"/>
  <c r="CS108" i="1" s="1"/>
  <c r="CG109" i="1"/>
  <c r="CS109" i="1" s="1"/>
  <c r="CG110" i="1"/>
  <c r="CS110" i="1" s="1"/>
  <c r="CG111" i="1"/>
  <c r="CS111" i="1" s="1"/>
  <c r="CG112" i="1"/>
  <c r="CS112" i="1" s="1"/>
  <c r="CG113" i="1"/>
  <c r="CS113" i="1" s="1"/>
  <c r="CG114" i="1"/>
  <c r="CS114" i="1" s="1"/>
  <c r="CG115" i="1"/>
  <c r="CS115" i="1" s="1"/>
  <c r="CG116" i="1"/>
  <c r="CS116" i="1" s="1"/>
  <c r="CG117" i="1"/>
  <c r="CS117" i="1" s="1"/>
  <c r="CG118" i="1"/>
  <c r="CS118" i="1" s="1"/>
  <c r="CG119" i="1"/>
  <c r="CS119" i="1" s="1"/>
  <c r="CG120" i="1"/>
  <c r="CS120" i="1" s="1"/>
  <c r="CG121" i="1"/>
  <c r="CS121" i="1" s="1"/>
  <c r="CG122" i="1"/>
  <c r="CS122" i="1" s="1"/>
  <c r="CG123" i="1"/>
  <c r="CS123" i="1" s="1"/>
  <c r="CG124" i="1"/>
  <c r="CS124" i="1" s="1"/>
  <c r="CG125" i="1"/>
  <c r="CS125" i="1" s="1"/>
  <c r="CG126" i="1"/>
  <c r="CS126" i="1" s="1"/>
  <c r="CG127" i="1"/>
  <c r="CS127" i="1" s="1"/>
  <c r="CG128" i="1"/>
  <c r="CS128" i="1" s="1"/>
  <c r="CG129" i="1"/>
  <c r="CS129" i="1" s="1"/>
  <c r="CG130" i="1"/>
  <c r="CS130" i="1" s="1"/>
  <c r="CG131" i="1"/>
  <c r="CS131" i="1" s="1"/>
  <c r="CG132" i="1"/>
  <c r="CS132" i="1" s="1"/>
  <c r="CG133" i="1"/>
  <c r="CS133" i="1" s="1"/>
  <c r="CG134" i="1"/>
  <c r="CS134" i="1" s="1"/>
  <c r="CG135" i="1"/>
  <c r="CS135" i="1" s="1"/>
  <c r="CG136" i="1"/>
  <c r="CS136" i="1" s="1"/>
  <c r="CG137" i="1"/>
  <c r="CS137" i="1" s="1"/>
  <c r="CG138" i="1"/>
  <c r="CS138" i="1" s="1"/>
  <c r="CG139" i="1"/>
  <c r="CS139" i="1" s="1"/>
  <c r="CG140" i="1"/>
  <c r="CS140" i="1" s="1"/>
  <c r="CG141" i="1"/>
  <c r="CS141" i="1" s="1"/>
  <c r="CG142" i="1"/>
  <c r="CS142" i="1" s="1"/>
  <c r="CG143" i="1"/>
  <c r="CS143" i="1" s="1"/>
  <c r="CG144" i="1"/>
  <c r="CS144" i="1" s="1"/>
  <c r="CG145" i="1"/>
  <c r="CS145" i="1" s="1"/>
  <c r="CG146" i="1"/>
  <c r="CS146" i="1" s="1"/>
  <c r="CG147" i="1"/>
  <c r="CS147" i="1" s="1"/>
  <c r="CG148" i="1"/>
  <c r="CS148" i="1" s="1"/>
  <c r="CG149" i="1"/>
  <c r="CS149" i="1" s="1"/>
  <c r="CG150" i="1"/>
  <c r="CS150" i="1" s="1"/>
  <c r="CG151" i="1"/>
  <c r="CS151" i="1" s="1"/>
  <c r="CG152" i="1"/>
  <c r="CS152" i="1" s="1"/>
  <c r="CG153" i="1"/>
  <c r="CS153" i="1" s="1"/>
  <c r="CG154" i="1"/>
  <c r="CS154" i="1" s="1"/>
  <c r="CG155" i="1"/>
  <c r="CS155" i="1" s="1"/>
  <c r="CG156" i="1"/>
  <c r="CS156" i="1" s="1"/>
  <c r="CG157" i="1"/>
  <c r="CS157" i="1" s="1"/>
  <c r="CG158" i="1"/>
  <c r="CS158" i="1" s="1"/>
  <c r="CG159" i="1"/>
  <c r="CS159" i="1" s="1"/>
  <c r="CG160" i="1"/>
  <c r="CS160" i="1" s="1"/>
  <c r="CG161" i="1"/>
  <c r="CS161" i="1" s="1"/>
  <c r="CG162" i="1"/>
  <c r="CS162" i="1" s="1"/>
  <c r="CG163" i="1"/>
  <c r="CS163" i="1" s="1"/>
  <c r="CG164" i="1"/>
  <c r="CS164" i="1" s="1"/>
  <c r="CG165" i="1"/>
  <c r="CS165" i="1" s="1"/>
  <c r="CG166" i="1"/>
  <c r="CS166" i="1" s="1"/>
  <c r="CG167" i="1"/>
  <c r="CS167" i="1" s="1"/>
  <c r="CG168" i="1"/>
  <c r="CS168" i="1" s="1"/>
  <c r="CG169" i="1"/>
  <c r="CS169" i="1" s="1"/>
  <c r="CG170" i="1"/>
  <c r="CS170" i="1" s="1"/>
  <c r="CG171" i="1"/>
  <c r="CS171" i="1" s="1"/>
  <c r="CG172" i="1"/>
  <c r="CS172" i="1" s="1"/>
  <c r="CG173" i="1"/>
  <c r="CS173" i="1" s="1"/>
  <c r="CG174" i="1"/>
  <c r="CS174" i="1" s="1"/>
  <c r="CG175" i="1"/>
  <c r="CS175" i="1" s="1"/>
  <c r="CG176" i="1"/>
  <c r="CS176" i="1" s="1"/>
  <c r="CG177" i="1"/>
  <c r="CS177" i="1" s="1"/>
  <c r="CG178" i="1"/>
  <c r="CS178" i="1" s="1"/>
  <c r="CG179" i="1"/>
  <c r="CS179" i="1" s="1"/>
  <c r="CG180" i="1"/>
  <c r="CS180" i="1" s="1"/>
  <c r="CG181" i="1"/>
  <c r="CS181" i="1" s="1"/>
  <c r="CG182" i="1"/>
  <c r="CS182" i="1" s="1"/>
  <c r="CG183" i="1"/>
  <c r="CS183" i="1" s="1"/>
  <c r="CG184" i="1"/>
  <c r="CS184" i="1" s="1"/>
  <c r="CG185" i="1"/>
  <c r="CS185" i="1" s="1"/>
  <c r="CG186" i="1"/>
  <c r="CS186" i="1" s="1"/>
  <c r="CG187" i="1"/>
  <c r="CS187" i="1" s="1"/>
  <c r="CG188" i="1"/>
  <c r="CS188" i="1" s="1"/>
  <c r="CG189" i="1"/>
  <c r="CS189" i="1" s="1"/>
  <c r="CG190" i="1"/>
  <c r="CS190" i="1" s="1"/>
  <c r="CG191" i="1"/>
  <c r="CS191" i="1" s="1"/>
  <c r="CG192" i="1"/>
  <c r="CS192" i="1" s="1"/>
  <c r="CG193" i="1"/>
  <c r="CS193" i="1" s="1"/>
  <c r="CG194" i="1"/>
  <c r="CS194" i="1" s="1"/>
  <c r="CG195" i="1"/>
  <c r="CS195" i="1" s="1"/>
  <c r="CG196" i="1"/>
  <c r="CS196" i="1" s="1"/>
  <c r="CG197" i="1"/>
  <c r="CS197" i="1" s="1"/>
  <c r="CG198" i="1"/>
  <c r="CS198" i="1" s="1"/>
  <c r="CG199" i="1"/>
  <c r="CS199" i="1" s="1"/>
  <c r="CG200" i="1"/>
  <c r="CS200" i="1" s="1"/>
  <c r="CG201" i="1"/>
  <c r="CS201" i="1" s="1"/>
  <c r="CG202" i="1"/>
  <c r="CS202" i="1" s="1"/>
  <c r="CG203" i="1"/>
  <c r="CS203" i="1" s="1"/>
  <c r="CG204" i="1"/>
  <c r="CS204" i="1" s="1"/>
  <c r="CG205" i="1"/>
  <c r="CS205" i="1" s="1"/>
  <c r="CG206" i="1"/>
  <c r="CS206" i="1" s="1"/>
  <c r="CG207" i="1"/>
  <c r="CS207" i="1" s="1"/>
  <c r="CG208" i="1"/>
  <c r="CS208" i="1" s="1"/>
  <c r="CG209" i="1"/>
  <c r="CS209" i="1" s="1"/>
  <c r="CG210" i="1"/>
  <c r="CS210" i="1" s="1"/>
  <c r="CG211" i="1"/>
  <c r="CS211" i="1" s="1"/>
  <c r="CG212" i="1"/>
  <c r="CS212" i="1" s="1"/>
  <c r="CG213" i="1"/>
  <c r="CS213" i="1" s="1"/>
  <c r="CG214" i="1"/>
  <c r="CS214" i="1" s="1"/>
  <c r="CG215" i="1"/>
  <c r="CS215" i="1" s="1"/>
  <c r="CG216" i="1"/>
  <c r="CS216" i="1" s="1"/>
  <c r="CG217" i="1"/>
  <c r="CS217" i="1" s="1"/>
  <c r="CG218" i="1"/>
  <c r="CS218" i="1" s="1"/>
  <c r="CG219" i="1"/>
  <c r="CS219" i="1" s="1"/>
  <c r="CG220" i="1"/>
  <c r="CS220" i="1" s="1"/>
  <c r="CG221" i="1"/>
  <c r="CS221" i="1" s="1"/>
  <c r="CG222" i="1"/>
  <c r="CS222" i="1" s="1"/>
  <c r="CG223" i="1"/>
  <c r="CS223" i="1" s="1"/>
  <c r="CG224" i="1"/>
  <c r="CS224" i="1" s="1"/>
  <c r="CG225" i="1"/>
  <c r="CS225" i="1" s="1"/>
  <c r="CG226" i="1"/>
  <c r="CS226" i="1" s="1"/>
  <c r="CG227" i="1"/>
  <c r="CS227" i="1" s="1"/>
  <c r="CG228" i="1"/>
  <c r="CS228" i="1" s="1"/>
  <c r="CG229" i="1"/>
  <c r="CS229" i="1" s="1"/>
  <c r="CG230" i="1"/>
  <c r="CS230" i="1" s="1"/>
  <c r="CG231" i="1"/>
  <c r="CS231" i="1" s="1"/>
  <c r="CG232" i="1"/>
  <c r="CS232" i="1" s="1"/>
  <c r="CG233" i="1"/>
  <c r="CS233" i="1" s="1"/>
  <c r="CG234" i="1"/>
  <c r="CS234" i="1" s="1"/>
  <c r="CG235" i="1"/>
  <c r="CS235" i="1" s="1"/>
  <c r="CG236" i="1"/>
  <c r="CS236" i="1" s="1"/>
  <c r="CG237" i="1"/>
  <c r="CS237" i="1" s="1"/>
  <c r="CG238" i="1"/>
  <c r="CS238" i="1" s="1"/>
  <c r="CG239" i="1"/>
  <c r="CS239" i="1" s="1"/>
  <c r="CG240" i="1"/>
  <c r="CS240" i="1" s="1"/>
  <c r="CG241" i="1"/>
  <c r="CS241" i="1" s="1"/>
  <c r="CG242" i="1"/>
  <c r="CS242" i="1" s="1"/>
  <c r="CG243" i="1"/>
  <c r="CS243" i="1" s="1"/>
  <c r="CG244" i="1"/>
  <c r="CS244" i="1" s="1"/>
  <c r="CG245" i="1"/>
  <c r="CS245" i="1" s="1"/>
  <c r="CG246" i="1"/>
  <c r="CS246" i="1" s="1"/>
  <c r="CG247" i="1"/>
  <c r="CS247" i="1" s="1"/>
  <c r="CG248" i="1"/>
  <c r="CS248" i="1" s="1"/>
  <c r="CG249" i="1"/>
  <c r="CS249" i="1" s="1"/>
  <c r="CG250" i="1"/>
  <c r="CS250" i="1" s="1"/>
  <c r="CG251" i="1"/>
  <c r="CS251" i="1" s="1"/>
  <c r="CG252" i="1"/>
  <c r="CS252" i="1" s="1"/>
  <c r="CG253" i="1"/>
  <c r="CS253" i="1" s="1"/>
  <c r="CG254" i="1"/>
  <c r="CS254" i="1" s="1"/>
  <c r="CG255" i="1"/>
  <c r="CS255" i="1" s="1"/>
  <c r="CG256" i="1"/>
  <c r="CS256" i="1" s="1"/>
  <c r="CG257" i="1"/>
  <c r="CS257" i="1" s="1"/>
  <c r="CG258" i="1"/>
  <c r="CS258" i="1" s="1"/>
  <c r="CG259" i="1"/>
  <c r="CS259" i="1" s="1"/>
  <c r="CG260" i="1"/>
  <c r="CS260" i="1" s="1"/>
  <c r="CG261" i="1"/>
  <c r="CS261" i="1" s="1"/>
  <c r="CG262" i="1"/>
  <c r="CS262" i="1" s="1"/>
  <c r="CG263" i="1"/>
  <c r="CS263" i="1" s="1"/>
  <c r="CG264" i="1"/>
  <c r="CS264" i="1" s="1"/>
  <c r="CG265" i="1"/>
  <c r="CS265" i="1" s="1"/>
  <c r="CG266" i="1"/>
  <c r="CS266" i="1" s="1"/>
  <c r="CG267" i="1"/>
  <c r="CS267" i="1" s="1"/>
  <c r="CG268" i="1"/>
  <c r="CS268" i="1" s="1"/>
  <c r="CG269" i="1"/>
  <c r="CS269" i="1" s="1"/>
  <c r="CG270" i="1"/>
  <c r="CS270" i="1" s="1"/>
  <c r="CG271" i="1"/>
  <c r="CS271" i="1" s="1"/>
  <c r="CG272" i="1"/>
  <c r="CS272" i="1" s="1"/>
  <c r="CG273" i="1"/>
  <c r="CS273" i="1" s="1"/>
  <c r="CG274" i="1"/>
  <c r="CS274" i="1" s="1"/>
  <c r="CG275" i="1"/>
  <c r="CS275" i="1" s="1"/>
  <c r="CG276" i="1"/>
  <c r="CS276" i="1" s="1"/>
  <c r="CG277" i="1"/>
  <c r="CS277" i="1" s="1"/>
  <c r="CG278" i="1"/>
  <c r="CS278" i="1" s="1"/>
  <c r="CG279" i="1"/>
  <c r="CS279" i="1" s="1"/>
  <c r="CG280" i="1"/>
  <c r="CS280" i="1" s="1"/>
  <c r="CG281" i="1"/>
  <c r="CS281" i="1" s="1"/>
  <c r="CG282" i="1"/>
  <c r="CS282" i="1" s="1"/>
  <c r="CG283" i="1"/>
  <c r="CS283" i="1" s="1"/>
  <c r="CG284" i="1"/>
  <c r="CS284" i="1" s="1"/>
  <c r="CG285" i="1"/>
  <c r="CS285" i="1" s="1"/>
  <c r="CG286" i="1"/>
  <c r="CS286" i="1" s="1"/>
  <c r="CG287" i="1"/>
  <c r="CS287" i="1" s="1"/>
  <c r="CG288" i="1"/>
  <c r="CS288" i="1" s="1"/>
  <c r="CG289" i="1"/>
  <c r="CS289" i="1" s="1"/>
  <c r="CG290" i="1"/>
  <c r="CS290" i="1" s="1"/>
  <c r="CG291" i="1"/>
  <c r="CS291" i="1" s="1"/>
  <c r="CG292" i="1"/>
  <c r="CS292" i="1" s="1"/>
  <c r="CG293" i="1"/>
  <c r="CS293" i="1" s="1"/>
  <c r="CG294" i="1"/>
  <c r="CS294" i="1" s="1"/>
  <c r="CG295" i="1"/>
  <c r="CS295" i="1" s="1"/>
  <c r="CG296" i="1"/>
  <c r="CS296" i="1" s="1"/>
  <c r="CG297" i="1"/>
  <c r="CS297" i="1" s="1"/>
  <c r="CG298" i="1"/>
  <c r="CS298" i="1" s="1"/>
  <c r="CG299" i="1"/>
  <c r="CS299" i="1" s="1"/>
  <c r="CG300" i="1"/>
  <c r="CS300" i="1" s="1"/>
  <c r="CG301" i="1"/>
  <c r="CS301" i="1" s="1"/>
  <c r="CG302" i="1"/>
  <c r="CS302" i="1" s="1"/>
  <c r="CG303" i="1"/>
  <c r="CS303" i="1" s="1"/>
  <c r="CG304" i="1"/>
  <c r="CS304" i="1" s="1"/>
  <c r="CG305" i="1"/>
  <c r="CS305" i="1" s="1"/>
  <c r="CG306" i="1"/>
  <c r="CS306" i="1" s="1"/>
  <c r="CG307" i="1"/>
  <c r="CS307" i="1" s="1"/>
  <c r="CG308" i="1"/>
  <c r="CS308" i="1" s="1"/>
  <c r="CG309" i="1"/>
  <c r="CS309" i="1" s="1"/>
  <c r="CG310" i="1"/>
  <c r="CS310" i="1" s="1"/>
  <c r="CG311" i="1"/>
  <c r="CS311" i="1" s="1"/>
  <c r="CG312" i="1"/>
  <c r="CS312" i="1" s="1"/>
  <c r="CG313" i="1"/>
  <c r="CS313" i="1" s="1"/>
  <c r="CG314" i="1"/>
  <c r="CS314" i="1" s="1"/>
  <c r="CG315" i="1"/>
  <c r="CS315" i="1" s="1"/>
  <c r="CG316" i="1"/>
  <c r="CS316" i="1" s="1"/>
  <c r="CG317" i="1"/>
  <c r="CS317" i="1" s="1"/>
  <c r="CG318" i="1"/>
  <c r="CS318" i="1" s="1"/>
  <c r="CG319" i="1"/>
  <c r="CS319" i="1" s="1"/>
  <c r="CG320" i="1"/>
  <c r="CS320" i="1" s="1"/>
  <c r="CG321" i="1"/>
  <c r="CS321" i="1" s="1"/>
  <c r="CG322" i="1"/>
  <c r="CS322" i="1" s="1"/>
  <c r="CG323" i="1"/>
  <c r="CS323" i="1" s="1"/>
  <c r="CG324" i="1"/>
  <c r="CS324" i="1" s="1"/>
  <c r="CG325" i="1"/>
  <c r="CS325" i="1" s="1"/>
  <c r="CG326" i="1"/>
  <c r="CS326" i="1" s="1"/>
  <c r="CG327" i="1"/>
  <c r="CS327" i="1" s="1"/>
  <c r="CG328" i="1"/>
  <c r="CS328" i="1" s="1"/>
  <c r="CG329" i="1"/>
  <c r="CS329" i="1" s="1"/>
  <c r="CG330" i="1"/>
  <c r="CS330" i="1" s="1"/>
  <c r="CG331" i="1"/>
  <c r="CS331" i="1" s="1"/>
  <c r="CG332" i="1"/>
  <c r="CS332" i="1" s="1"/>
  <c r="CG333" i="1"/>
  <c r="CS333" i="1" s="1"/>
  <c r="CG334" i="1"/>
  <c r="CS334" i="1" s="1"/>
  <c r="CG335" i="1"/>
  <c r="CS335" i="1" s="1"/>
  <c r="CG336" i="1"/>
  <c r="CS336" i="1" s="1"/>
  <c r="CG337" i="1"/>
  <c r="CS337" i="1" s="1"/>
  <c r="CG338" i="1"/>
  <c r="CS338" i="1" s="1"/>
  <c r="CG339" i="1"/>
  <c r="CS339" i="1" s="1"/>
  <c r="CG340" i="1"/>
  <c r="CS340" i="1" s="1"/>
  <c r="CG341" i="1"/>
  <c r="CS341" i="1" s="1"/>
  <c r="CG342" i="1"/>
  <c r="CS342" i="1" s="1"/>
  <c r="CG343" i="1"/>
  <c r="CS343" i="1" s="1"/>
  <c r="CG344" i="1"/>
  <c r="CS344" i="1" s="1"/>
  <c r="CG345" i="1"/>
  <c r="CS345" i="1" s="1"/>
  <c r="CG346" i="1"/>
  <c r="CS346" i="1" s="1"/>
  <c r="CG347" i="1"/>
  <c r="CS347" i="1" s="1"/>
  <c r="CG348" i="1"/>
  <c r="CS348" i="1" s="1"/>
  <c r="CG349" i="1"/>
  <c r="CS349" i="1" s="1"/>
  <c r="CG350" i="1"/>
  <c r="CS350" i="1" s="1"/>
  <c r="CG351" i="1"/>
  <c r="CS351" i="1" s="1"/>
  <c r="CG352" i="1"/>
  <c r="CS352" i="1" s="1"/>
  <c r="CG353" i="1"/>
  <c r="CS353" i="1" s="1"/>
  <c r="CG354" i="1"/>
  <c r="CS354" i="1" s="1"/>
  <c r="CG355" i="1"/>
  <c r="CS355" i="1" s="1"/>
  <c r="CG356" i="1"/>
  <c r="CS356" i="1" s="1"/>
  <c r="CG357" i="1"/>
  <c r="CS357" i="1" s="1"/>
  <c r="CG358" i="1"/>
  <c r="CS358" i="1" s="1"/>
  <c r="CG359" i="1"/>
  <c r="CS359" i="1" s="1"/>
  <c r="CG360" i="1"/>
  <c r="CS360" i="1" s="1"/>
  <c r="CG361" i="1"/>
  <c r="CS361" i="1" s="1"/>
  <c r="CG362" i="1"/>
  <c r="CS362" i="1" s="1"/>
  <c r="CG363" i="1"/>
  <c r="CS363" i="1" s="1"/>
  <c r="CG364" i="1"/>
  <c r="CS364" i="1" s="1"/>
  <c r="CG365" i="1"/>
  <c r="CS365" i="1" s="1"/>
  <c r="CG366" i="1"/>
  <c r="CS366" i="1" s="1"/>
  <c r="CG367" i="1"/>
  <c r="CS367" i="1" s="1"/>
  <c r="CG368" i="1"/>
  <c r="CS368" i="1" s="1"/>
  <c r="CG369" i="1"/>
  <c r="CS369" i="1" s="1"/>
  <c r="CG370" i="1"/>
  <c r="CS370" i="1" s="1"/>
  <c r="CG371" i="1"/>
  <c r="CS371" i="1" s="1"/>
  <c r="CG372" i="1"/>
  <c r="CS372" i="1" s="1"/>
  <c r="CG373" i="1"/>
  <c r="CS373" i="1" s="1"/>
  <c r="CG374" i="1"/>
  <c r="CS374" i="1" s="1"/>
  <c r="CG375" i="1"/>
  <c r="CS375" i="1" s="1"/>
  <c r="CG376" i="1"/>
  <c r="CS376" i="1" s="1"/>
  <c r="CG377" i="1"/>
  <c r="CS377" i="1" s="1"/>
  <c r="CG378" i="1"/>
  <c r="CS378" i="1" s="1"/>
  <c r="CG379" i="1"/>
  <c r="CS379" i="1" s="1"/>
  <c r="CG380" i="1"/>
  <c r="CS380" i="1" s="1"/>
  <c r="CG381" i="1"/>
  <c r="CS381" i="1" s="1"/>
  <c r="CG382" i="1"/>
  <c r="CS382" i="1" s="1"/>
  <c r="CG383" i="1"/>
  <c r="CS383" i="1" s="1"/>
  <c r="CG384" i="1"/>
  <c r="CS384" i="1" s="1"/>
  <c r="CG385" i="1"/>
  <c r="CS385" i="1" s="1"/>
  <c r="CG386" i="1"/>
  <c r="CS386" i="1" s="1"/>
  <c r="CG387" i="1"/>
  <c r="CS387" i="1" s="1"/>
  <c r="CG388" i="1"/>
  <c r="CS388" i="1" s="1"/>
  <c r="CG389" i="1"/>
  <c r="CS389" i="1" s="1"/>
  <c r="CG390" i="1"/>
  <c r="CS390" i="1" s="1"/>
  <c r="CG391" i="1"/>
  <c r="CS391" i="1" s="1"/>
  <c r="CG392" i="1"/>
  <c r="CS392" i="1" s="1"/>
  <c r="CG393" i="1"/>
  <c r="CS393" i="1" s="1"/>
  <c r="CG394" i="1"/>
  <c r="CS394" i="1" s="1"/>
  <c r="CG395" i="1"/>
  <c r="CS395" i="1" s="1"/>
  <c r="CG396" i="1"/>
  <c r="CS396" i="1" s="1"/>
  <c r="CG397" i="1"/>
  <c r="CS397" i="1" s="1"/>
  <c r="CG398" i="1"/>
  <c r="CS398" i="1" s="1"/>
  <c r="CG399" i="1"/>
  <c r="CS399" i="1" s="1"/>
  <c r="CG400" i="1"/>
  <c r="CS400" i="1" s="1"/>
  <c r="CG401" i="1"/>
  <c r="CS401" i="1" s="1"/>
  <c r="CG402" i="1"/>
  <c r="CS402" i="1" s="1"/>
  <c r="CG403" i="1"/>
  <c r="CS403" i="1" s="1"/>
  <c r="CG404" i="1"/>
  <c r="CS404" i="1" s="1"/>
  <c r="CG405" i="1"/>
  <c r="CS405" i="1" s="1"/>
  <c r="CG406" i="1"/>
  <c r="CS406" i="1" s="1"/>
  <c r="CG407" i="1"/>
  <c r="CS407" i="1" s="1"/>
  <c r="CG408" i="1"/>
  <c r="CS408" i="1" s="1"/>
  <c r="CG409" i="1"/>
  <c r="CS409" i="1" s="1"/>
  <c r="CG410" i="1"/>
  <c r="CS410" i="1" s="1"/>
  <c r="CG411" i="1"/>
  <c r="CS411" i="1" s="1"/>
  <c r="CG412" i="1"/>
  <c r="CS412" i="1" s="1"/>
  <c r="CG413" i="1"/>
  <c r="CS413" i="1" s="1"/>
  <c r="CG414" i="1"/>
  <c r="CS414" i="1" s="1"/>
  <c r="CG415" i="1"/>
  <c r="CS415" i="1" s="1"/>
  <c r="CG416" i="1"/>
  <c r="CS416" i="1" s="1"/>
  <c r="CG417" i="1"/>
  <c r="CS417" i="1" s="1"/>
  <c r="CG418" i="1"/>
  <c r="CS418" i="1" s="1"/>
  <c r="CG419" i="1"/>
  <c r="CS419" i="1" s="1"/>
  <c r="CG420" i="1"/>
  <c r="CS420" i="1" s="1"/>
  <c r="CG421" i="1"/>
  <c r="CS421" i="1" s="1"/>
  <c r="CG422" i="1"/>
  <c r="CS422" i="1" s="1"/>
  <c r="CG423" i="1"/>
  <c r="CS423" i="1" s="1"/>
  <c r="CG424" i="1"/>
  <c r="CS424" i="1" s="1"/>
  <c r="CG425" i="1"/>
  <c r="CS425" i="1" s="1"/>
  <c r="CG426" i="1"/>
  <c r="CS426" i="1" s="1"/>
  <c r="CG427" i="1"/>
  <c r="CS427" i="1" s="1"/>
  <c r="CG428" i="1"/>
  <c r="CS428" i="1" s="1"/>
  <c r="CG429" i="1"/>
  <c r="CS429" i="1" s="1"/>
  <c r="CG430" i="1"/>
  <c r="CS430" i="1" s="1"/>
  <c r="CG431" i="1"/>
  <c r="CS431" i="1" s="1"/>
  <c r="CG432" i="1"/>
  <c r="CS432" i="1" s="1"/>
  <c r="CG433" i="1"/>
  <c r="CS433" i="1" s="1"/>
  <c r="CG434" i="1"/>
  <c r="CS434" i="1" s="1"/>
  <c r="CG435" i="1"/>
  <c r="CS435" i="1" s="1"/>
  <c r="CG436" i="1"/>
  <c r="CS436" i="1" s="1"/>
  <c r="CG437" i="1"/>
  <c r="CS437" i="1" s="1"/>
  <c r="CG438" i="1"/>
  <c r="CS438" i="1" s="1"/>
  <c r="CG439" i="1"/>
  <c r="CS439" i="1" s="1"/>
  <c r="CG440" i="1"/>
  <c r="CS440" i="1" s="1"/>
  <c r="CG441" i="1"/>
  <c r="CS441" i="1" s="1"/>
  <c r="CG442" i="1"/>
  <c r="CS442" i="1" s="1"/>
  <c r="CG443" i="1"/>
  <c r="CS443" i="1" s="1"/>
  <c r="CG444" i="1"/>
  <c r="CS444" i="1" s="1"/>
  <c r="CG445" i="1"/>
  <c r="CS445" i="1" s="1"/>
  <c r="CG446" i="1"/>
  <c r="CS446" i="1" s="1"/>
  <c r="CG447" i="1"/>
  <c r="CS447" i="1" s="1"/>
  <c r="CG448" i="1"/>
  <c r="CS448" i="1" s="1"/>
  <c r="CG449" i="1"/>
  <c r="CS449" i="1" s="1"/>
  <c r="CG450" i="1"/>
  <c r="CS450" i="1" s="1"/>
  <c r="CG451" i="1"/>
  <c r="CS451" i="1" s="1"/>
  <c r="CG452" i="1"/>
  <c r="CS452" i="1" s="1"/>
  <c r="CG453" i="1"/>
  <c r="CS453" i="1" s="1"/>
  <c r="CG454" i="1"/>
  <c r="CS454" i="1" s="1"/>
  <c r="CG455" i="1"/>
  <c r="CS455" i="1" s="1"/>
  <c r="CG456" i="1"/>
  <c r="CS456" i="1" s="1"/>
  <c r="CG457" i="1"/>
  <c r="CS457" i="1" s="1"/>
  <c r="CG458" i="1"/>
  <c r="CS458" i="1" s="1"/>
  <c r="CG459" i="1"/>
  <c r="CS459" i="1" s="1"/>
  <c r="CG460" i="1"/>
  <c r="CS460" i="1" s="1"/>
  <c r="CG461" i="1"/>
  <c r="CS461" i="1" s="1"/>
  <c r="CG462" i="1"/>
  <c r="CS462" i="1" s="1"/>
  <c r="CG463" i="1"/>
  <c r="CS463" i="1" s="1"/>
  <c r="CG464" i="1"/>
  <c r="CS464" i="1" s="1"/>
  <c r="CG465" i="1"/>
  <c r="CS465" i="1" s="1"/>
  <c r="CG466" i="1"/>
  <c r="CS466" i="1" s="1"/>
  <c r="CG467" i="1"/>
  <c r="CS467" i="1" s="1"/>
  <c r="CG468" i="1"/>
  <c r="CS468" i="1" s="1"/>
  <c r="CG469" i="1"/>
  <c r="CS469" i="1" s="1"/>
  <c r="CG470" i="1"/>
  <c r="CS470" i="1" s="1"/>
  <c r="CG471" i="1"/>
  <c r="CS471" i="1" s="1"/>
  <c r="CG472" i="1"/>
  <c r="CS472" i="1" s="1"/>
  <c r="CG473" i="1"/>
  <c r="CS473" i="1" s="1"/>
  <c r="CG474" i="1"/>
  <c r="CS474" i="1" s="1"/>
  <c r="CG475" i="1"/>
  <c r="CS475" i="1" s="1"/>
  <c r="CG476" i="1"/>
  <c r="CS476" i="1" s="1"/>
  <c r="CG477" i="1"/>
  <c r="CS477" i="1" s="1"/>
  <c r="CG478" i="1"/>
  <c r="CS478" i="1" s="1"/>
  <c r="CG479" i="1"/>
  <c r="CS479" i="1" s="1"/>
  <c r="CG480" i="1"/>
  <c r="CS480" i="1" s="1"/>
  <c r="CG481" i="1"/>
  <c r="CS481" i="1" s="1"/>
  <c r="CG482" i="1"/>
  <c r="CS482" i="1" s="1"/>
  <c r="CG483" i="1"/>
  <c r="CS483" i="1" s="1"/>
  <c r="CG484" i="1"/>
  <c r="CS484" i="1" s="1"/>
  <c r="CG485" i="1"/>
  <c r="CS485" i="1" s="1"/>
  <c r="CG486" i="1"/>
  <c r="CS486" i="1" s="1"/>
  <c r="CG487" i="1"/>
  <c r="CS487" i="1" s="1"/>
  <c r="CG488" i="1"/>
  <c r="CS488" i="1" s="1"/>
  <c r="CG489" i="1"/>
  <c r="CS489" i="1" s="1"/>
  <c r="CG490" i="1"/>
  <c r="CS490" i="1" s="1"/>
  <c r="CG491" i="1"/>
  <c r="CS491" i="1" s="1"/>
  <c r="CG492" i="1"/>
  <c r="CS492" i="1" s="1"/>
  <c r="CG493" i="1"/>
  <c r="CS493" i="1" s="1"/>
  <c r="CG494" i="1"/>
  <c r="CS494" i="1" s="1"/>
  <c r="CG495" i="1"/>
  <c r="CS495" i="1" s="1"/>
  <c r="CG496" i="1"/>
  <c r="CS496" i="1" s="1"/>
  <c r="CG497" i="1"/>
  <c r="CS497" i="1" s="1"/>
  <c r="CG498" i="1"/>
  <c r="CS498" i="1" s="1"/>
  <c r="CG499" i="1"/>
  <c r="CS499" i="1" s="1"/>
  <c r="CG500" i="1"/>
  <c r="CS500" i="1" s="1"/>
  <c r="CG501" i="1"/>
  <c r="CS501" i="1" s="1"/>
  <c r="CG502" i="1"/>
  <c r="CS502" i="1" s="1"/>
  <c r="CG503" i="1"/>
  <c r="CS503" i="1" s="1"/>
  <c r="CG504" i="1"/>
  <c r="CS504" i="1" s="1"/>
  <c r="CG505" i="1"/>
  <c r="CS505" i="1" s="1"/>
  <c r="CG506" i="1"/>
  <c r="CS506" i="1" s="1"/>
  <c r="CG507" i="1"/>
  <c r="CS507" i="1" s="1"/>
  <c r="CG508" i="1"/>
  <c r="CS508" i="1" s="1"/>
  <c r="CG509" i="1"/>
  <c r="CS509" i="1" s="1"/>
  <c r="CG510" i="1"/>
  <c r="CS510" i="1" s="1"/>
  <c r="CG511" i="1"/>
  <c r="CS511" i="1" s="1"/>
  <c r="CG512" i="1"/>
  <c r="CS512" i="1" s="1"/>
  <c r="CG513" i="1"/>
  <c r="CS513" i="1" s="1"/>
  <c r="CG514" i="1"/>
  <c r="CS514" i="1" s="1"/>
  <c r="CG515" i="1"/>
  <c r="CS515" i="1" s="1"/>
  <c r="CG516" i="1"/>
  <c r="CS516" i="1" s="1"/>
  <c r="CG517" i="1"/>
  <c r="CS517" i="1" s="1"/>
  <c r="CG518" i="1"/>
  <c r="CS518" i="1" s="1"/>
  <c r="CG519" i="1"/>
  <c r="CS519" i="1" s="1"/>
  <c r="CG520" i="1"/>
  <c r="CS520" i="1" s="1"/>
  <c r="CG521" i="1"/>
  <c r="CS521" i="1" s="1"/>
  <c r="CG522" i="1"/>
  <c r="CS522" i="1" s="1"/>
  <c r="CG523" i="1"/>
  <c r="CS523" i="1" s="1"/>
  <c r="CG524" i="1"/>
  <c r="CS524" i="1" s="1"/>
  <c r="CG525" i="1"/>
  <c r="CS525" i="1" s="1"/>
  <c r="CG526" i="1"/>
  <c r="CS526" i="1" s="1"/>
  <c r="CG527" i="1"/>
  <c r="CS527" i="1" s="1"/>
  <c r="CG528" i="1"/>
  <c r="CS528" i="1" s="1"/>
  <c r="CG529" i="1"/>
  <c r="CS529" i="1" s="1"/>
  <c r="CG530" i="1"/>
  <c r="CS530" i="1" s="1"/>
  <c r="CG531" i="1"/>
  <c r="CS531" i="1" s="1"/>
  <c r="CG532" i="1"/>
  <c r="CS532" i="1" s="1"/>
  <c r="CG533" i="1"/>
  <c r="CS533" i="1" s="1"/>
  <c r="CG534" i="1"/>
  <c r="CS534" i="1" s="1"/>
  <c r="CG535" i="1"/>
  <c r="CS535" i="1" s="1"/>
  <c r="CG536" i="1"/>
  <c r="CS536" i="1" s="1"/>
  <c r="CG537" i="1"/>
  <c r="CS537" i="1" s="1"/>
  <c r="CG538" i="1"/>
  <c r="CS538" i="1" s="1"/>
  <c r="CG539" i="1"/>
  <c r="CS539" i="1" s="1"/>
  <c r="CG540" i="1"/>
  <c r="CS540" i="1" s="1"/>
  <c r="CG541" i="1"/>
  <c r="CS541" i="1" s="1"/>
  <c r="CG542" i="1"/>
  <c r="CS542" i="1" s="1"/>
  <c r="CG543" i="1"/>
  <c r="CS543" i="1" s="1"/>
  <c r="CG544" i="1"/>
  <c r="CS544" i="1" s="1"/>
  <c r="CG545" i="1"/>
  <c r="CS545" i="1" s="1"/>
  <c r="CG546" i="1"/>
  <c r="CS546" i="1" s="1"/>
  <c r="CG547" i="1"/>
  <c r="CS547" i="1" s="1"/>
  <c r="CG548" i="1"/>
  <c r="CS548" i="1" s="1"/>
  <c r="CG549" i="1"/>
  <c r="CS549" i="1" s="1"/>
  <c r="CG550" i="1"/>
  <c r="CS550" i="1" s="1"/>
  <c r="CG551" i="1"/>
  <c r="CS551" i="1" s="1"/>
  <c r="CG552" i="1"/>
  <c r="CS552" i="1" s="1"/>
  <c r="CG553" i="1"/>
  <c r="CS553" i="1" s="1"/>
  <c r="CG554" i="1"/>
  <c r="CS554" i="1" s="1"/>
  <c r="CG555" i="1"/>
  <c r="CS555" i="1" s="1"/>
  <c r="CG556" i="1"/>
  <c r="CS556" i="1" s="1"/>
  <c r="CG557" i="1"/>
  <c r="CS557" i="1" s="1"/>
  <c r="CG558" i="1"/>
  <c r="CS558" i="1" s="1"/>
  <c r="CG559" i="1"/>
  <c r="CS559" i="1" s="1"/>
  <c r="CG560" i="1"/>
  <c r="CS560" i="1" s="1"/>
  <c r="CG561" i="1"/>
  <c r="CS561" i="1" s="1"/>
  <c r="CG562" i="1"/>
  <c r="CS562" i="1" s="1"/>
  <c r="CG563" i="1"/>
  <c r="CS563" i="1" s="1"/>
  <c r="CG564" i="1"/>
  <c r="CS564" i="1" s="1"/>
  <c r="CG565" i="1"/>
  <c r="CS565" i="1" s="1"/>
  <c r="CG566" i="1"/>
  <c r="CS566" i="1" s="1"/>
  <c r="CG567" i="1"/>
  <c r="CS567" i="1" s="1"/>
  <c r="CG568" i="1"/>
  <c r="CS568" i="1" s="1"/>
  <c r="CG569" i="1"/>
  <c r="CS569" i="1" s="1"/>
  <c r="CG570" i="1"/>
  <c r="CS570" i="1" s="1"/>
  <c r="CG571" i="1"/>
  <c r="CS571" i="1" s="1"/>
  <c r="CG572" i="1"/>
  <c r="CS572" i="1" s="1"/>
  <c r="CG573" i="1"/>
  <c r="CS573" i="1" s="1"/>
  <c r="CG574" i="1"/>
  <c r="CS574" i="1" s="1"/>
  <c r="CG575" i="1"/>
  <c r="CS575" i="1" s="1"/>
  <c r="CG576" i="1"/>
  <c r="CS576" i="1" s="1"/>
  <c r="CG577" i="1"/>
  <c r="CS577" i="1" s="1"/>
  <c r="CG578" i="1"/>
  <c r="CS578" i="1" s="1"/>
  <c r="CG579" i="1"/>
  <c r="CS579" i="1" s="1"/>
  <c r="CG580" i="1"/>
  <c r="CS580" i="1" s="1"/>
  <c r="CG581" i="1"/>
  <c r="CS581" i="1" s="1"/>
  <c r="CG582" i="1"/>
  <c r="CS582" i="1" s="1"/>
  <c r="CG583" i="1"/>
  <c r="CS583" i="1" s="1"/>
  <c r="CG584" i="1"/>
  <c r="CS584" i="1" s="1"/>
  <c r="CG585" i="1"/>
  <c r="CS585" i="1" s="1"/>
  <c r="CG586" i="1"/>
  <c r="CS586" i="1" s="1"/>
  <c r="CG587" i="1"/>
  <c r="CS587" i="1" s="1"/>
  <c r="CG588" i="1"/>
  <c r="CS588" i="1" s="1"/>
  <c r="CG589" i="1"/>
  <c r="CS589" i="1" s="1"/>
  <c r="CG590" i="1"/>
  <c r="CS590" i="1" s="1"/>
  <c r="CG591" i="1"/>
  <c r="CS591" i="1" s="1"/>
  <c r="CG592" i="1"/>
  <c r="CS592" i="1" s="1"/>
  <c r="CG593" i="1"/>
  <c r="CS593" i="1" s="1"/>
  <c r="CG594" i="1"/>
  <c r="CS594" i="1" s="1"/>
  <c r="CG595" i="1"/>
  <c r="CS595" i="1" s="1"/>
  <c r="CG596" i="1"/>
  <c r="CS596" i="1" s="1"/>
  <c r="CG597" i="1"/>
  <c r="CS597" i="1" s="1"/>
  <c r="CG598" i="1"/>
  <c r="CS598" i="1" s="1"/>
  <c r="CG599" i="1"/>
  <c r="CS599" i="1" s="1"/>
  <c r="CG600" i="1"/>
  <c r="CS600" i="1" s="1"/>
  <c r="CG601" i="1"/>
  <c r="CS601" i="1" s="1"/>
  <c r="CG602" i="1"/>
  <c r="CS602" i="1" s="1"/>
  <c r="CG603" i="1"/>
  <c r="CS603" i="1" s="1"/>
  <c r="CG604" i="1"/>
  <c r="CS604" i="1" s="1"/>
  <c r="CG605" i="1"/>
  <c r="CS605" i="1" s="1"/>
  <c r="CG606" i="1"/>
  <c r="CS606" i="1" s="1"/>
  <c r="CG607" i="1"/>
  <c r="CS607" i="1" s="1"/>
  <c r="CG608" i="1"/>
  <c r="CS608" i="1" s="1"/>
  <c r="CG609" i="1"/>
  <c r="CS609" i="1" s="1"/>
  <c r="CG610" i="1"/>
  <c r="CS610" i="1" s="1"/>
  <c r="CG611" i="1"/>
  <c r="CS611" i="1" s="1"/>
  <c r="CG612" i="1"/>
  <c r="CS612" i="1" s="1"/>
  <c r="CG613" i="1"/>
  <c r="CS613" i="1" s="1"/>
  <c r="CG614" i="1"/>
  <c r="CS614" i="1" s="1"/>
  <c r="CG615" i="1"/>
  <c r="CS615" i="1" s="1"/>
  <c r="CG616" i="1"/>
  <c r="CS616" i="1" s="1"/>
  <c r="CG617" i="1"/>
  <c r="CS617" i="1" s="1"/>
  <c r="CG618" i="1"/>
  <c r="CS618" i="1" s="1"/>
  <c r="CG619" i="1"/>
  <c r="CS619" i="1" s="1"/>
  <c r="CG620" i="1"/>
  <c r="CS620" i="1" s="1"/>
  <c r="CG621" i="1"/>
  <c r="CS621" i="1" s="1"/>
  <c r="CG622" i="1"/>
  <c r="CS622" i="1" s="1"/>
  <c r="CG623" i="1"/>
  <c r="CS623" i="1" s="1"/>
  <c r="CG624" i="1"/>
  <c r="CS624" i="1" s="1"/>
  <c r="CG625" i="1"/>
  <c r="CS625" i="1" s="1"/>
  <c r="CG626" i="1"/>
  <c r="CS626" i="1" s="1"/>
  <c r="CG627" i="1"/>
  <c r="CS627" i="1" s="1"/>
  <c r="CG628" i="1"/>
  <c r="CS628" i="1" s="1"/>
  <c r="CG629" i="1"/>
  <c r="CS629" i="1" s="1"/>
  <c r="CG630" i="1"/>
  <c r="CS630" i="1" s="1"/>
  <c r="CG631" i="1"/>
  <c r="CS631" i="1" s="1"/>
  <c r="CG632" i="1"/>
  <c r="CS632" i="1" s="1"/>
  <c r="CG633" i="1"/>
  <c r="CS633" i="1" s="1"/>
  <c r="CG634" i="1"/>
  <c r="CS634" i="1" s="1"/>
  <c r="CG635" i="1"/>
  <c r="CS635" i="1" s="1"/>
  <c r="CG636" i="1"/>
  <c r="CS636" i="1" s="1"/>
  <c r="CG637" i="1"/>
  <c r="CS637" i="1" s="1"/>
  <c r="CG638" i="1"/>
  <c r="CS638" i="1" s="1"/>
  <c r="CG639" i="1"/>
  <c r="CS639" i="1" s="1"/>
  <c r="CG640" i="1"/>
  <c r="CS640" i="1" s="1"/>
  <c r="CG641" i="1"/>
  <c r="CS641" i="1" s="1"/>
  <c r="CG642" i="1"/>
  <c r="CS642" i="1" s="1"/>
  <c r="CG643" i="1"/>
  <c r="CS643" i="1" s="1"/>
  <c r="CG644" i="1"/>
  <c r="CS644" i="1" s="1"/>
  <c r="CG645" i="1"/>
  <c r="CS645" i="1" s="1"/>
  <c r="CG646" i="1"/>
  <c r="CS646" i="1" s="1"/>
  <c r="CG647" i="1"/>
  <c r="CS647" i="1" s="1"/>
  <c r="CG648" i="1"/>
  <c r="CS648" i="1" s="1"/>
  <c r="CG649" i="1"/>
  <c r="CS649" i="1" s="1"/>
  <c r="CG650" i="1"/>
  <c r="CS650" i="1" s="1"/>
  <c r="CG651" i="1"/>
  <c r="CS651" i="1" s="1"/>
  <c r="CG652" i="1"/>
  <c r="CS652" i="1" s="1"/>
  <c r="CG653" i="1"/>
  <c r="CS653" i="1" s="1"/>
  <c r="CG654" i="1"/>
  <c r="CS654" i="1" s="1"/>
  <c r="CG655" i="1"/>
  <c r="CS655" i="1" s="1"/>
  <c r="CG656" i="1"/>
  <c r="CS656" i="1" s="1"/>
  <c r="CG657" i="1"/>
  <c r="CS657" i="1" s="1"/>
  <c r="CG658" i="1"/>
  <c r="CS658" i="1" s="1"/>
  <c r="CG659" i="1"/>
  <c r="CS659" i="1" s="1"/>
  <c r="CG660" i="1"/>
  <c r="CS660" i="1" s="1"/>
  <c r="CG661" i="1"/>
  <c r="CS661" i="1" s="1"/>
  <c r="CG662" i="1"/>
  <c r="CS662" i="1" s="1"/>
  <c r="CG663" i="1"/>
  <c r="CS663" i="1" s="1"/>
  <c r="CG664" i="1"/>
  <c r="CS664" i="1" s="1"/>
  <c r="CG665" i="1"/>
  <c r="CS665" i="1" s="1"/>
  <c r="CG666" i="1"/>
  <c r="CS666" i="1" s="1"/>
  <c r="CG667" i="1"/>
  <c r="CS667" i="1" s="1"/>
  <c r="CG668" i="1"/>
  <c r="CS668" i="1" s="1"/>
  <c r="CG669" i="1"/>
  <c r="CS669" i="1" s="1"/>
  <c r="CG670" i="1"/>
  <c r="CS670" i="1" s="1"/>
  <c r="CG671" i="1"/>
  <c r="CS671" i="1" s="1"/>
  <c r="CG672" i="1"/>
  <c r="CS672" i="1" s="1"/>
  <c r="CG673" i="1"/>
  <c r="CS673" i="1" s="1"/>
  <c r="CG674" i="1"/>
  <c r="CS674" i="1" s="1"/>
  <c r="CG675" i="1"/>
  <c r="CS675" i="1" s="1"/>
  <c r="CG676" i="1"/>
  <c r="CS676" i="1" s="1"/>
  <c r="CG677" i="1"/>
  <c r="CS677" i="1" s="1"/>
  <c r="CG678" i="1"/>
  <c r="CS678" i="1" s="1"/>
  <c r="CG679" i="1"/>
  <c r="CS679" i="1" s="1"/>
  <c r="CG680" i="1"/>
  <c r="CS680" i="1" s="1"/>
  <c r="CG681" i="1"/>
  <c r="CS681" i="1" s="1"/>
  <c r="CG682" i="1"/>
  <c r="CS682" i="1" s="1"/>
  <c r="CG683" i="1"/>
  <c r="CS683" i="1" s="1"/>
  <c r="CG684" i="1"/>
  <c r="CS684" i="1" s="1"/>
  <c r="CG685" i="1"/>
  <c r="CS685" i="1" s="1"/>
  <c r="CG686" i="1"/>
  <c r="CS686" i="1" s="1"/>
  <c r="CG687" i="1"/>
  <c r="CS687" i="1" s="1"/>
  <c r="CG688" i="1"/>
  <c r="CS688" i="1" s="1"/>
  <c r="CG689" i="1"/>
  <c r="CS689" i="1" s="1"/>
  <c r="CG690" i="1"/>
  <c r="CS690" i="1" s="1"/>
  <c r="CG691" i="1"/>
  <c r="CS691" i="1" s="1"/>
  <c r="CG692" i="1"/>
  <c r="CS692" i="1" s="1"/>
  <c r="CG693" i="1"/>
  <c r="CS693" i="1" s="1"/>
  <c r="CG694" i="1"/>
  <c r="CS694" i="1" s="1"/>
  <c r="CG695" i="1"/>
  <c r="CS695" i="1" s="1"/>
  <c r="CG696" i="1"/>
  <c r="CS696" i="1" s="1"/>
  <c r="CG697" i="1"/>
  <c r="CS697" i="1" s="1"/>
  <c r="CG698" i="1"/>
  <c r="CS698" i="1" s="1"/>
  <c r="CG699" i="1"/>
  <c r="CS699" i="1" s="1"/>
  <c r="CG700" i="1"/>
  <c r="CS700" i="1" s="1"/>
  <c r="CG701" i="1"/>
  <c r="CS701" i="1" s="1"/>
  <c r="CG702" i="1"/>
  <c r="CS702" i="1" s="1"/>
  <c r="CG703" i="1"/>
  <c r="CS703" i="1" s="1"/>
  <c r="CG704" i="1"/>
  <c r="CS704" i="1" s="1"/>
  <c r="CG705" i="1"/>
  <c r="CS705" i="1" s="1"/>
  <c r="CG706" i="1"/>
  <c r="CS706" i="1" s="1"/>
  <c r="CG707" i="1"/>
  <c r="CS707" i="1" s="1"/>
  <c r="CG708" i="1"/>
  <c r="CS708" i="1" s="1"/>
  <c r="CG709" i="1"/>
  <c r="CS709" i="1" s="1"/>
  <c r="CG710" i="1"/>
  <c r="CS710" i="1" s="1"/>
  <c r="CG711" i="1"/>
  <c r="CS711" i="1" s="1"/>
  <c r="CG712" i="1"/>
  <c r="CS712" i="1" s="1"/>
  <c r="CG713" i="1"/>
  <c r="CS713" i="1" s="1"/>
  <c r="CG714" i="1"/>
  <c r="CS714" i="1" s="1"/>
  <c r="CG715" i="1"/>
  <c r="CS715" i="1" s="1"/>
  <c r="CG716" i="1"/>
  <c r="CS716" i="1" s="1"/>
  <c r="CG717" i="1"/>
  <c r="CS717" i="1" s="1"/>
  <c r="CG718" i="1"/>
  <c r="CS718" i="1" s="1"/>
  <c r="CG719" i="1"/>
  <c r="CS719" i="1" s="1"/>
  <c r="CG720" i="1"/>
  <c r="CS720" i="1" s="1"/>
  <c r="CG721" i="1"/>
  <c r="CS721" i="1" s="1"/>
  <c r="CG722" i="1"/>
  <c r="CS722" i="1" s="1"/>
  <c r="CG723" i="1"/>
  <c r="CS723" i="1" s="1"/>
  <c r="CG724" i="1"/>
  <c r="CS724" i="1" s="1"/>
  <c r="CG725" i="1"/>
  <c r="CS725" i="1" s="1"/>
  <c r="CG726" i="1"/>
  <c r="CS726" i="1" s="1"/>
  <c r="CG727" i="1"/>
  <c r="CS727" i="1" s="1"/>
  <c r="CG728" i="1"/>
  <c r="CS728" i="1" s="1"/>
  <c r="CG729" i="1"/>
  <c r="CS729" i="1" s="1"/>
  <c r="CG730" i="1"/>
  <c r="CS730" i="1" s="1"/>
  <c r="CG731" i="1"/>
  <c r="CS731" i="1" s="1"/>
  <c r="CG732" i="1"/>
  <c r="CS732" i="1" s="1"/>
  <c r="CG733" i="1"/>
  <c r="CS733" i="1" s="1"/>
  <c r="CG734" i="1"/>
  <c r="CS734" i="1" s="1"/>
  <c r="CG735" i="1"/>
  <c r="CS735" i="1" s="1"/>
  <c r="CG736" i="1"/>
  <c r="CS736" i="1" s="1"/>
  <c r="CG737" i="1"/>
  <c r="CS737" i="1" s="1"/>
  <c r="CG738" i="1"/>
  <c r="CS738" i="1" s="1"/>
  <c r="CG739" i="1"/>
  <c r="CS739" i="1" s="1"/>
  <c r="CG740" i="1"/>
  <c r="CS740" i="1" s="1"/>
  <c r="CG741" i="1"/>
  <c r="CS741" i="1" s="1"/>
  <c r="CG742" i="1"/>
  <c r="CS742" i="1" s="1"/>
  <c r="CG743" i="1"/>
  <c r="CS743" i="1" s="1"/>
  <c r="CG744" i="1"/>
  <c r="CS744" i="1" s="1"/>
  <c r="CG745" i="1"/>
  <c r="CS745" i="1" s="1"/>
  <c r="CG746" i="1"/>
  <c r="CS746" i="1" s="1"/>
  <c r="CG747" i="1"/>
  <c r="CS747" i="1" s="1"/>
  <c r="CG748" i="1"/>
  <c r="CS748" i="1" s="1"/>
  <c r="CG749" i="1"/>
  <c r="CS749" i="1" s="1"/>
  <c r="CG750" i="1"/>
  <c r="CS750" i="1" s="1"/>
  <c r="CG751" i="1"/>
  <c r="CS751" i="1" s="1"/>
  <c r="CG752" i="1"/>
  <c r="CS752" i="1" s="1"/>
  <c r="CG753" i="1"/>
  <c r="CS753" i="1" s="1"/>
  <c r="CG754" i="1"/>
  <c r="CS754" i="1" s="1"/>
  <c r="CG755" i="1"/>
  <c r="CS755" i="1" s="1"/>
  <c r="CG756" i="1"/>
  <c r="CS756" i="1" s="1"/>
  <c r="CG757" i="1"/>
  <c r="CS757" i="1" s="1"/>
  <c r="CG758" i="1"/>
  <c r="CS758" i="1" s="1"/>
  <c r="CG759" i="1"/>
  <c r="CS759" i="1" s="1"/>
  <c r="CG760" i="1"/>
  <c r="CS760" i="1" s="1"/>
  <c r="CG761" i="1"/>
  <c r="CS761" i="1" s="1"/>
  <c r="CG762" i="1"/>
  <c r="CS762" i="1" s="1"/>
  <c r="CG763" i="1"/>
  <c r="CS763" i="1" s="1"/>
  <c r="CG764" i="1"/>
  <c r="CS764" i="1" s="1"/>
  <c r="CG765" i="1"/>
  <c r="CS765" i="1" s="1"/>
  <c r="CG766" i="1"/>
  <c r="CS766" i="1" s="1"/>
  <c r="CG767" i="1"/>
  <c r="CS767" i="1" s="1"/>
  <c r="CG768" i="1"/>
  <c r="CS768" i="1" s="1"/>
  <c r="CG769" i="1"/>
  <c r="CS769" i="1" s="1"/>
  <c r="CG770" i="1"/>
  <c r="CS770" i="1" s="1"/>
  <c r="CG771" i="1"/>
  <c r="CS771" i="1" s="1"/>
  <c r="CG772" i="1"/>
  <c r="CS772" i="1" s="1"/>
  <c r="CG773" i="1"/>
  <c r="CS773" i="1" s="1"/>
  <c r="CG774" i="1"/>
  <c r="CS774" i="1" s="1"/>
  <c r="CG775" i="1"/>
  <c r="CS775" i="1" s="1"/>
  <c r="CG776" i="1"/>
  <c r="CS776" i="1" s="1"/>
  <c r="CG777" i="1"/>
  <c r="CS777" i="1" s="1"/>
  <c r="CG778" i="1"/>
  <c r="CS778" i="1" s="1"/>
  <c r="CG779" i="1"/>
  <c r="CS779" i="1" s="1"/>
  <c r="CG780" i="1"/>
  <c r="CS780" i="1" s="1"/>
  <c r="CG781" i="1"/>
  <c r="CS781" i="1" s="1"/>
  <c r="CG782" i="1"/>
  <c r="CS782" i="1" s="1"/>
  <c r="CG783" i="1"/>
  <c r="CS783" i="1" s="1"/>
  <c r="CG784" i="1"/>
  <c r="CS784" i="1" s="1"/>
  <c r="CG785" i="1"/>
  <c r="CS785" i="1" s="1"/>
  <c r="CG786" i="1"/>
  <c r="CS786" i="1" s="1"/>
  <c r="CG787" i="1"/>
  <c r="CS787" i="1" s="1"/>
  <c r="CG788" i="1"/>
  <c r="CS788" i="1" s="1"/>
  <c r="CG789" i="1"/>
  <c r="CS789" i="1" s="1"/>
  <c r="CG790" i="1"/>
  <c r="CS790" i="1" s="1"/>
  <c r="CG791" i="1"/>
  <c r="CS791" i="1" s="1"/>
  <c r="CG792" i="1"/>
  <c r="CS792" i="1" s="1"/>
  <c r="CG793" i="1"/>
  <c r="CS793" i="1" s="1"/>
  <c r="CG794" i="1"/>
  <c r="CS794" i="1" s="1"/>
  <c r="CG795" i="1"/>
  <c r="CS795" i="1" s="1"/>
  <c r="CG796" i="1"/>
  <c r="CS796" i="1" s="1"/>
  <c r="CG797" i="1"/>
  <c r="CS797" i="1" s="1"/>
  <c r="CG798" i="1"/>
  <c r="CS798" i="1" s="1"/>
  <c r="CG799" i="1"/>
  <c r="CS799" i="1" s="1"/>
  <c r="CG800" i="1"/>
  <c r="CS800" i="1" s="1"/>
  <c r="CG801" i="1"/>
  <c r="CS801" i="1" s="1"/>
  <c r="CG802" i="1"/>
  <c r="CS802" i="1" s="1"/>
  <c r="CG803" i="1"/>
  <c r="CS803" i="1" s="1"/>
  <c r="CG804" i="1"/>
  <c r="CS804" i="1" s="1"/>
  <c r="CG805" i="1"/>
  <c r="CS805" i="1" s="1"/>
  <c r="CG806" i="1"/>
  <c r="CS806" i="1" s="1"/>
  <c r="CG807" i="1"/>
  <c r="CS807" i="1" s="1"/>
  <c r="CG808" i="1"/>
  <c r="CS808" i="1" s="1"/>
  <c r="CG809" i="1"/>
  <c r="CS809" i="1" s="1"/>
  <c r="CG810" i="1"/>
  <c r="CS810" i="1" s="1"/>
  <c r="CG811" i="1"/>
  <c r="CS811" i="1" s="1"/>
  <c r="CG812" i="1"/>
  <c r="CS812" i="1" s="1"/>
  <c r="CG813" i="1"/>
  <c r="CS813" i="1" s="1"/>
  <c r="CG814" i="1"/>
  <c r="CS814" i="1" s="1"/>
  <c r="CG815" i="1"/>
  <c r="CS815" i="1" s="1"/>
  <c r="CG816" i="1"/>
  <c r="CS816" i="1" s="1"/>
  <c r="CG817" i="1"/>
  <c r="CS817" i="1" s="1"/>
  <c r="CG818" i="1"/>
  <c r="CS818" i="1" s="1"/>
  <c r="CG819" i="1"/>
  <c r="CS819" i="1" s="1"/>
  <c r="CG820" i="1"/>
  <c r="CS820" i="1" s="1"/>
  <c r="CG821" i="1"/>
  <c r="CS821" i="1" s="1"/>
  <c r="CG822" i="1"/>
  <c r="CS822" i="1" s="1"/>
  <c r="CG823" i="1"/>
  <c r="CS823" i="1" s="1"/>
  <c r="CG824" i="1"/>
  <c r="CS824" i="1" s="1"/>
  <c r="CG825" i="1"/>
  <c r="CS825" i="1" s="1"/>
  <c r="CG826" i="1"/>
  <c r="CS826" i="1" s="1"/>
  <c r="CG827" i="1"/>
  <c r="CS827" i="1" s="1"/>
  <c r="CG828" i="1"/>
  <c r="CS828" i="1" s="1"/>
  <c r="CG829" i="1"/>
  <c r="CS829" i="1" s="1"/>
  <c r="CG830" i="1"/>
  <c r="CS830" i="1" s="1"/>
  <c r="CG831" i="1"/>
  <c r="CS831" i="1" s="1"/>
  <c r="CG832" i="1"/>
  <c r="CS832" i="1" s="1"/>
  <c r="CG833" i="1"/>
  <c r="CS833" i="1" s="1"/>
  <c r="CG834" i="1"/>
  <c r="CS834" i="1" s="1"/>
  <c r="CG835" i="1"/>
  <c r="CS835" i="1" s="1"/>
  <c r="CG836" i="1"/>
  <c r="CS836" i="1" s="1"/>
  <c r="CG837" i="1"/>
  <c r="CS837" i="1" s="1"/>
  <c r="CG838" i="1"/>
  <c r="CS838" i="1" s="1"/>
  <c r="CG839" i="1"/>
  <c r="CS839" i="1" s="1"/>
  <c r="CG840" i="1"/>
  <c r="CS840" i="1" s="1"/>
  <c r="CG841" i="1"/>
  <c r="CS841" i="1" s="1"/>
  <c r="CG842" i="1"/>
  <c r="CS842" i="1" s="1"/>
  <c r="CG843" i="1"/>
  <c r="CS843" i="1" s="1"/>
  <c r="CG844" i="1"/>
  <c r="CS844" i="1" s="1"/>
  <c r="CG845" i="1"/>
  <c r="CS845" i="1" s="1"/>
  <c r="CG846" i="1"/>
  <c r="CS846" i="1" s="1"/>
  <c r="CG847" i="1"/>
  <c r="CS847" i="1" s="1"/>
  <c r="CG848" i="1"/>
  <c r="CS848" i="1" s="1"/>
  <c r="CG849" i="1"/>
  <c r="CS849" i="1" s="1"/>
  <c r="CG850" i="1"/>
  <c r="CS850" i="1" s="1"/>
  <c r="CG851" i="1"/>
  <c r="CS851" i="1" s="1"/>
  <c r="CG852" i="1"/>
  <c r="CS852" i="1" s="1"/>
  <c r="CG853" i="1"/>
  <c r="CS853" i="1" s="1"/>
  <c r="CG854" i="1"/>
  <c r="CS854" i="1" s="1"/>
  <c r="CG855" i="1"/>
  <c r="CS855" i="1" s="1"/>
  <c r="CG856" i="1"/>
  <c r="CS856" i="1" s="1"/>
  <c r="CG857" i="1"/>
  <c r="CS857" i="1" s="1"/>
  <c r="CG858" i="1"/>
  <c r="CS858" i="1" s="1"/>
  <c r="CG859" i="1"/>
  <c r="CS859" i="1" s="1"/>
  <c r="CG860" i="1"/>
  <c r="CS860" i="1" s="1"/>
  <c r="CG861" i="1"/>
  <c r="CS861" i="1" s="1"/>
  <c r="CG862" i="1"/>
  <c r="CS862" i="1" s="1"/>
  <c r="CG863" i="1"/>
  <c r="CS863" i="1" s="1"/>
  <c r="CG864" i="1"/>
  <c r="CS864" i="1" s="1"/>
  <c r="CG865" i="1"/>
  <c r="CS865" i="1" s="1"/>
  <c r="CG866" i="1"/>
  <c r="CS866" i="1" s="1"/>
  <c r="CG867" i="1"/>
  <c r="CS867" i="1" s="1"/>
  <c r="CG868" i="1"/>
  <c r="CS868" i="1" s="1"/>
  <c r="CG869" i="1"/>
  <c r="CS869" i="1" s="1"/>
  <c r="CG870" i="1"/>
  <c r="CS870" i="1" s="1"/>
  <c r="CG871" i="1"/>
  <c r="CS871" i="1" s="1"/>
  <c r="CG872" i="1"/>
  <c r="CS872" i="1" s="1"/>
  <c r="CG873" i="1"/>
  <c r="CS873" i="1" s="1"/>
  <c r="CG874" i="1"/>
  <c r="CS874" i="1" s="1"/>
  <c r="CG875" i="1"/>
  <c r="CS875" i="1" s="1"/>
  <c r="CG876" i="1"/>
  <c r="CS876" i="1" s="1"/>
  <c r="CG877" i="1"/>
  <c r="CS877" i="1" s="1"/>
  <c r="CG878" i="1"/>
  <c r="CS878" i="1" s="1"/>
  <c r="CG879" i="1"/>
  <c r="CS879" i="1" s="1"/>
  <c r="CG880" i="1"/>
  <c r="CS880" i="1" s="1"/>
  <c r="CG881" i="1"/>
  <c r="CS881" i="1" s="1"/>
  <c r="CG882" i="1"/>
  <c r="CS882" i="1" s="1"/>
  <c r="CG883" i="1"/>
  <c r="CS883" i="1" s="1"/>
  <c r="CG884" i="1"/>
  <c r="CS884" i="1" s="1"/>
  <c r="CG885" i="1"/>
  <c r="CS885" i="1" s="1"/>
  <c r="CG886" i="1"/>
  <c r="CS886" i="1" s="1"/>
  <c r="CG887" i="1"/>
  <c r="CS887" i="1" s="1"/>
  <c r="CG888" i="1"/>
  <c r="CS888" i="1" s="1"/>
  <c r="CG889" i="1"/>
  <c r="CS889" i="1" s="1"/>
  <c r="CG890" i="1"/>
  <c r="CS890" i="1" s="1"/>
  <c r="CG891" i="1"/>
  <c r="CS891" i="1" s="1"/>
  <c r="CG892" i="1"/>
  <c r="CS892" i="1" s="1"/>
  <c r="CG893" i="1"/>
  <c r="CS893" i="1" s="1"/>
  <c r="CG894" i="1"/>
  <c r="CS894" i="1" s="1"/>
  <c r="CG895" i="1"/>
  <c r="CS895" i="1" s="1"/>
  <c r="CG896" i="1"/>
  <c r="CS896" i="1" s="1"/>
  <c r="CG897" i="1"/>
  <c r="CS897" i="1" s="1"/>
  <c r="CG898" i="1"/>
  <c r="CS898" i="1" s="1"/>
  <c r="CG899" i="1"/>
  <c r="CS899" i="1" s="1"/>
  <c r="CG900" i="1"/>
  <c r="CS900" i="1" s="1"/>
  <c r="CG901" i="1"/>
  <c r="CS901" i="1" s="1"/>
  <c r="CG902" i="1"/>
  <c r="CS902" i="1" s="1"/>
  <c r="CG903" i="1"/>
  <c r="CS903" i="1" s="1"/>
  <c r="CG904" i="1"/>
  <c r="CS904" i="1" s="1"/>
  <c r="CG905" i="1"/>
  <c r="CS905" i="1" s="1"/>
  <c r="CG906" i="1"/>
  <c r="CS906" i="1" s="1"/>
  <c r="CG907" i="1"/>
  <c r="CS907" i="1" s="1"/>
  <c r="CG908" i="1"/>
  <c r="CS908" i="1" s="1"/>
  <c r="CG909" i="1"/>
  <c r="CS909" i="1" s="1"/>
  <c r="CG910" i="1"/>
  <c r="CS910" i="1" s="1"/>
  <c r="CG911" i="1"/>
  <c r="CS911" i="1" s="1"/>
  <c r="CG912" i="1"/>
  <c r="CS912" i="1" s="1"/>
  <c r="CG913" i="1"/>
  <c r="CS913" i="1" s="1"/>
  <c r="CG914" i="1"/>
  <c r="CS914" i="1" s="1"/>
  <c r="CG915" i="1"/>
  <c r="CS915" i="1" s="1"/>
  <c r="CG916" i="1"/>
  <c r="CS916" i="1" s="1"/>
  <c r="CG917" i="1"/>
  <c r="CS917" i="1" s="1"/>
  <c r="CG918" i="1"/>
  <c r="CS918" i="1" s="1"/>
  <c r="CG919" i="1"/>
  <c r="CS919" i="1" s="1"/>
  <c r="CG920" i="1"/>
  <c r="CS920" i="1" s="1"/>
  <c r="CG921" i="1"/>
  <c r="CS921" i="1" s="1"/>
  <c r="CG922" i="1"/>
  <c r="CS922" i="1" s="1"/>
  <c r="CG923" i="1"/>
  <c r="CS923" i="1" s="1"/>
  <c r="CG924" i="1"/>
  <c r="CS924" i="1" s="1"/>
  <c r="CG925" i="1"/>
  <c r="CS925" i="1" s="1"/>
  <c r="CG926" i="1"/>
  <c r="CS926" i="1" s="1"/>
  <c r="CG927" i="1"/>
  <c r="CS927" i="1" s="1"/>
  <c r="CG928" i="1"/>
  <c r="CS928" i="1" s="1"/>
  <c r="CG929" i="1"/>
  <c r="CS929" i="1" s="1"/>
  <c r="CG930" i="1"/>
  <c r="CS930" i="1" s="1"/>
  <c r="CG931" i="1"/>
  <c r="CS931" i="1" s="1"/>
  <c r="CG932" i="1"/>
  <c r="CS932" i="1" s="1"/>
  <c r="CG933" i="1"/>
  <c r="CS933" i="1" s="1"/>
  <c r="CG934" i="1"/>
  <c r="CS934" i="1" s="1"/>
  <c r="CG935" i="1"/>
  <c r="CS935" i="1" s="1"/>
  <c r="CG936" i="1"/>
  <c r="CS936" i="1" s="1"/>
  <c r="CG937" i="1"/>
  <c r="CS937" i="1" s="1"/>
  <c r="CG938" i="1"/>
  <c r="CS938" i="1" s="1"/>
  <c r="CG939" i="1"/>
  <c r="CS939" i="1" s="1"/>
  <c r="CG940" i="1"/>
  <c r="CS940" i="1" s="1"/>
  <c r="CG941" i="1"/>
  <c r="CS941" i="1" s="1"/>
  <c r="CG942" i="1"/>
  <c r="CS942" i="1" s="1"/>
  <c r="CG943" i="1"/>
  <c r="CS943" i="1" s="1"/>
  <c r="CG944" i="1"/>
  <c r="CS944" i="1" s="1"/>
  <c r="CG945" i="1"/>
  <c r="CS945" i="1" s="1"/>
  <c r="CG946" i="1"/>
  <c r="CS946" i="1" s="1"/>
  <c r="CG947" i="1"/>
  <c r="CS947" i="1" s="1"/>
  <c r="CG948" i="1"/>
  <c r="CS948" i="1" s="1"/>
  <c r="CG949" i="1"/>
  <c r="CS949" i="1" s="1"/>
  <c r="CG950" i="1"/>
  <c r="CS950" i="1" s="1"/>
  <c r="CG951" i="1"/>
  <c r="CS951" i="1" s="1"/>
  <c r="CG952" i="1"/>
  <c r="CS952" i="1" s="1"/>
  <c r="CG953" i="1"/>
  <c r="CS953" i="1" s="1"/>
  <c r="CG954" i="1"/>
  <c r="CS954" i="1" s="1"/>
  <c r="CG955" i="1"/>
  <c r="CS955" i="1" s="1"/>
  <c r="CG956" i="1"/>
  <c r="CS956" i="1" s="1"/>
  <c r="CG957" i="1"/>
  <c r="CS957" i="1" s="1"/>
  <c r="CG958" i="1"/>
  <c r="CS958" i="1" s="1"/>
  <c r="CG959" i="1"/>
  <c r="CS959" i="1" s="1"/>
  <c r="CG960" i="1"/>
  <c r="CS960" i="1" s="1"/>
  <c r="CG961" i="1"/>
  <c r="CS961" i="1" s="1"/>
  <c r="CG962" i="1"/>
  <c r="CS962" i="1" s="1"/>
  <c r="CG963" i="1"/>
  <c r="CS963" i="1" s="1"/>
  <c r="CG964" i="1"/>
  <c r="CS964" i="1" s="1"/>
  <c r="CG965" i="1"/>
  <c r="CS965" i="1" s="1"/>
  <c r="CG966" i="1"/>
  <c r="CS966" i="1" s="1"/>
  <c r="CG967" i="1"/>
  <c r="CS967" i="1" s="1"/>
  <c r="CG968" i="1"/>
  <c r="CS968" i="1" s="1"/>
  <c r="CG969" i="1"/>
  <c r="CS969" i="1" s="1"/>
  <c r="CG970" i="1"/>
  <c r="CS970" i="1" s="1"/>
  <c r="CG971" i="1"/>
  <c r="CS971" i="1" s="1"/>
  <c r="CG972" i="1"/>
  <c r="CS972" i="1" s="1"/>
  <c r="CG973" i="1"/>
  <c r="CS973" i="1" s="1"/>
  <c r="CG974" i="1"/>
  <c r="CS974" i="1" s="1"/>
  <c r="CG975" i="1"/>
  <c r="CS975" i="1" s="1"/>
  <c r="CG976" i="1"/>
  <c r="CS976" i="1" s="1"/>
  <c r="CG977" i="1"/>
  <c r="CS977" i="1" s="1"/>
  <c r="CG978" i="1"/>
  <c r="CS978" i="1" s="1"/>
  <c r="CG979" i="1"/>
  <c r="CS979" i="1" s="1"/>
  <c r="CG980" i="1"/>
  <c r="CS980" i="1" s="1"/>
  <c r="CG981" i="1"/>
  <c r="CS981" i="1" s="1"/>
  <c r="CG982" i="1"/>
  <c r="CS982" i="1" s="1"/>
  <c r="CG983" i="1"/>
  <c r="CS983" i="1" s="1"/>
  <c r="CG984" i="1"/>
  <c r="CS984" i="1" s="1"/>
  <c r="CG985" i="1"/>
  <c r="CS985" i="1" s="1"/>
  <c r="CG986" i="1"/>
  <c r="CS986" i="1" s="1"/>
  <c r="CG987" i="1"/>
  <c r="CS987" i="1" s="1"/>
  <c r="CG988" i="1"/>
  <c r="CS988" i="1" s="1"/>
  <c r="CG989" i="1"/>
  <c r="CS989" i="1" s="1"/>
  <c r="CG990" i="1"/>
  <c r="CS990" i="1" s="1"/>
  <c r="CG991" i="1"/>
  <c r="CS991" i="1" s="1"/>
  <c r="CG992" i="1"/>
  <c r="CS992" i="1" s="1"/>
  <c r="CG993" i="1"/>
  <c r="CS993" i="1" s="1"/>
  <c r="CG994" i="1"/>
  <c r="CS994" i="1" s="1"/>
  <c r="CG995" i="1"/>
  <c r="CS995" i="1" s="1"/>
  <c r="CG996" i="1"/>
  <c r="CS996" i="1" s="1"/>
  <c r="CG997" i="1"/>
  <c r="CS997" i="1" s="1"/>
  <c r="CG998" i="1"/>
  <c r="CS998" i="1" s="1"/>
  <c r="CG999" i="1"/>
  <c r="CS999" i="1" s="1"/>
  <c r="CG1000" i="1"/>
  <c r="CS1000" i="1" s="1"/>
  <c r="CG1001" i="1"/>
  <c r="CS1001" i="1" s="1"/>
  <c r="CG1002" i="1"/>
  <c r="CS1002" i="1" s="1"/>
  <c r="CG1003" i="1"/>
  <c r="CS1003" i="1" s="1"/>
  <c r="CG1004" i="1"/>
  <c r="CS1004" i="1" s="1"/>
  <c r="CG1005" i="1"/>
  <c r="CS1005" i="1" s="1"/>
  <c r="CG1006" i="1"/>
  <c r="CS1006" i="1" s="1"/>
  <c r="CG1007" i="1"/>
  <c r="CS1007" i="1" s="1"/>
  <c r="CG1008" i="1"/>
  <c r="CS1008" i="1" s="1"/>
  <c r="CG1009" i="1"/>
  <c r="CS1009" i="1" s="1"/>
  <c r="CG1010" i="1"/>
  <c r="CS1010" i="1" s="1"/>
  <c r="CG1011" i="1"/>
  <c r="CS1011" i="1" s="1"/>
  <c r="CG1012" i="1"/>
  <c r="CS1012" i="1" s="1"/>
  <c r="CG1013" i="1"/>
  <c r="CS1013" i="1" s="1"/>
  <c r="CG1014" i="1"/>
  <c r="CS1014" i="1" s="1"/>
  <c r="CG1015" i="1"/>
  <c r="CS1015" i="1" s="1"/>
  <c r="CG1016" i="1"/>
  <c r="CS1016" i="1" s="1"/>
  <c r="CG1017" i="1"/>
  <c r="CS1017" i="1" s="1"/>
  <c r="CG1018" i="1"/>
  <c r="CS1018" i="1" s="1"/>
  <c r="CG1019" i="1"/>
  <c r="CS1019" i="1" s="1"/>
  <c r="CG1020" i="1"/>
  <c r="CS1020" i="1" s="1"/>
  <c r="CG1021" i="1"/>
  <c r="CS1021" i="1" s="1"/>
  <c r="CG1022" i="1"/>
  <c r="CS1022" i="1" s="1"/>
  <c r="CG1023" i="1"/>
  <c r="CS1023" i="1" s="1"/>
  <c r="CG1024" i="1"/>
  <c r="CS1024" i="1" s="1"/>
  <c r="CG1025" i="1"/>
  <c r="CS1025" i="1" s="1"/>
  <c r="CG1026" i="1"/>
  <c r="CS1026" i="1" s="1"/>
  <c r="CG1027" i="1"/>
  <c r="CS1027" i="1" s="1"/>
  <c r="CG1028" i="1"/>
  <c r="CS1028" i="1" s="1"/>
  <c r="CG1029" i="1"/>
  <c r="CS1029" i="1" s="1"/>
  <c r="CG1030" i="1"/>
  <c r="CS1030" i="1" s="1"/>
  <c r="CG1031" i="1"/>
  <c r="CS1031" i="1" s="1"/>
  <c r="CG1032" i="1"/>
  <c r="CS1032" i="1" s="1"/>
  <c r="CG1033" i="1"/>
  <c r="CS1033" i="1" s="1"/>
  <c r="CG1034" i="1"/>
  <c r="CS1034" i="1" s="1"/>
  <c r="CG1035" i="1"/>
  <c r="CS1035" i="1" s="1"/>
  <c r="CG1036" i="1"/>
  <c r="CS1036" i="1" s="1"/>
  <c r="CG1037" i="1"/>
  <c r="CS1037" i="1" s="1"/>
  <c r="CG1038" i="1"/>
  <c r="CS1038" i="1" s="1"/>
  <c r="CG1039" i="1"/>
  <c r="CS1039" i="1" s="1"/>
  <c r="CG1040" i="1"/>
  <c r="CS1040" i="1" s="1"/>
  <c r="CG1041" i="1"/>
  <c r="CS1041" i="1" s="1"/>
  <c r="CG1042" i="1"/>
  <c r="CS1042" i="1" s="1"/>
  <c r="CG1043" i="1"/>
  <c r="CS1043" i="1" s="1"/>
  <c r="CG1044" i="1"/>
  <c r="CS1044" i="1" s="1"/>
  <c r="CG1045" i="1"/>
  <c r="CS1045" i="1" s="1"/>
  <c r="CG1046" i="1"/>
  <c r="CS1046" i="1" s="1"/>
  <c r="CG1047" i="1"/>
  <c r="CS1047" i="1" s="1"/>
  <c r="CG1048" i="1"/>
  <c r="CS1048" i="1" s="1"/>
  <c r="CG1049" i="1"/>
  <c r="CS1049" i="1" s="1"/>
  <c r="CG1050" i="1"/>
  <c r="CS1050" i="1" s="1"/>
  <c r="CG1051" i="1"/>
  <c r="CS1051" i="1" s="1"/>
  <c r="CG1052" i="1"/>
  <c r="CS1052" i="1" s="1"/>
  <c r="CG1053" i="1"/>
  <c r="CS1053" i="1" s="1"/>
  <c r="CG1054" i="1"/>
  <c r="CS1054" i="1" s="1"/>
  <c r="CG1055" i="1"/>
  <c r="CS1055" i="1" s="1"/>
  <c r="CG1056" i="1"/>
  <c r="CS1056" i="1" s="1"/>
  <c r="CG1057" i="1"/>
  <c r="CS1057" i="1" s="1"/>
  <c r="CG1058" i="1"/>
  <c r="CS1058" i="1" s="1"/>
  <c r="CG1059" i="1"/>
  <c r="CS1059" i="1" s="1"/>
  <c r="CG1060" i="1"/>
  <c r="CS1060" i="1" s="1"/>
  <c r="CG1061" i="1"/>
  <c r="CS1061" i="1" s="1"/>
  <c r="CG1062" i="1"/>
  <c r="CS1062" i="1" s="1"/>
  <c r="CG1063" i="1"/>
  <c r="CS1063" i="1" s="1"/>
  <c r="CG1064" i="1"/>
  <c r="CS1064" i="1" s="1"/>
  <c r="CG1065" i="1"/>
  <c r="CS1065" i="1" s="1"/>
  <c r="CG1066" i="1"/>
  <c r="CS1066" i="1" s="1"/>
  <c r="CG1067" i="1"/>
  <c r="CS1067" i="1" s="1"/>
  <c r="CG1068" i="1"/>
  <c r="CS1068" i="1" s="1"/>
  <c r="CG1069" i="1"/>
  <c r="CS1069" i="1" s="1"/>
  <c r="CG1070" i="1"/>
  <c r="CS1070" i="1" s="1"/>
  <c r="CG1071" i="1"/>
  <c r="CS1071" i="1" s="1"/>
  <c r="CG1072" i="1"/>
  <c r="CS1072" i="1" s="1"/>
  <c r="CG1073" i="1"/>
  <c r="CS1073" i="1" s="1"/>
  <c r="CG1074" i="1"/>
  <c r="CS1074" i="1" s="1"/>
  <c r="CG1075" i="1"/>
  <c r="CS1075" i="1" s="1"/>
  <c r="CG1076" i="1"/>
  <c r="CS1076" i="1" s="1"/>
  <c r="CG1077" i="1"/>
  <c r="CS1077" i="1" s="1"/>
  <c r="CG1078" i="1"/>
  <c r="CS1078" i="1" s="1"/>
  <c r="CG1079" i="1"/>
  <c r="CS1079" i="1" s="1"/>
  <c r="CG1080" i="1"/>
  <c r="CS1080" i="1" s="1"/>
  <c r="CG1081" i="1"/>
  <c r="CS1081" i="1" s="1"/>
  <c r="CG1082" i="1"/>
  <c r="CS1082" i="1" s="1"/>
  <c r="CG1083" i="1"/>
  <c r="CS1083" i="1" s="1"/>
  <c r="CG1084" i="1"/>
  <c r="CS1084" i="1" s="1"/>
  <c r="CG1085" i="1"/>
  <c r="CS1085" i="1" s="1"/>
  <c r="CG1086" i="1"/>
  <c r="CS1086" i="1" s="1"/>
  <c r="CG1087" i="1"/>
  <c r="CS1087" i="1" s="1"/>
  <c r="CG1088" i="1"/>
  <c r="CS1088" i="1" s="1"/>
  <c r="CG1089" i="1"/>
  <c r="CS1089" i="1" s="1"/>
  <c r="CG1090" i="1"/>
  <c r="CS1090" i="1" s="1"/>
  <c r="CG1091" i="1"/>
  <c r="CS1091" i="1" s="1"/>
  <c r="CG1092" i="1"/>
  <c r="CS1092" i="1" s="1"/>
  <c r="CG1093" i="1"/>
  <c r="CS1093" i="1" s="1"/>
  <c r="CG1094" i="1"/>
  <c r="CS1094" i="1" s="1"/>
  <c r="CG1095" i="1"/>
  <c r="CS1095" i="1" s="1"/>
  <c r="CG1096" i="1"/>
  <c r="CS1096" i="1" s="1"/>
  <c r="CG1097" i="1"/>
  <c r="CS1097" i="1" s="1"/>
  <c r="CG1098" i="1"/>
  <c r="CS1098" i="1" s="1"/>
  <c r="CG1099" i="1"/>
  <c r="CS1099" i="1" s="1"/>
  <c r="CG1100" i="1"/>
  <c r="CS1100" i="1" s="1"/>
  <c r="CG1101" i="1"/>
  <c r="CS1101" i="1" s="1"/>
  <c r="CG1102" i="1"/>
  <c r="CS1102" i="1" s="1"/>
  <c r="CG1103" i="1"/>
  <c r="CS1103" i="1" s="1"/>
  <c r="CG1104" i="1"/>
  <c r="CS1104" i="1" s="1"/>
  <c r="CG1105" i="1"/>
  <c r="CS1105" i="1" s="1"/>
  <c r="CG1106" i="1"/>
  <c r="CS1106" i="1" s="1"/>
  <c r="CG1107" i="1"/>
  <c r="CS1107" i="1" s="1"/>
  <c r="CG1108" i="1"/>
  <c r="CS1108" i="1" s="1"/>
  <c r="CG1109" i="1"/>
  <c r="CS1109" i="1" s="1"/>
  <c r="CG1110" i="1"/>
  <c r="CS1110" i="1" s="1"/>
  <c r="CG1111" i="1"/>
  <c r="CS1111" i="1" s="1"/>
  <c r="CG1112" i="1"/>
  <c r="CS1112" i="1" s="1"/>
  <c r="CG1113" i="1"/>
  <c r="CS1113" i="1" s="1"/>
  <c r="CG1114" i="1"/>
  <c r="CS1114" i="1" s="1"/>
  <c r="CG1115" i="1"/>
  <c r="CS1115" i="1" s="1"/>
  <c r="CG1116" i="1"/>
  <c r="CS1116" i="1" s="1"/>
  <c r="CG1117" i="1"/>
  <c r="CS1117" i="1" s="1"/>
  <c r="CG1118" i="1"/>
  <c r="CS1118" i="1" s="1"/>
  <c r="CG1119" i="1"/>
  <c r="CS1119" i="1" s="1"/>
  <c r="CG1120" i="1"/>
  <c r="CS1120" i="1" s="1"/>
  <c r="CG1121" i="1"/>
  <c r="CS1121" i="1" s="1"/>
  <c r="CG1122" i="1"/>
  <c r="CS1122" i="1" s="1"/>
  <c r="CG1123" i="1"/>
  <c r="CS1123" i="1" s="1"/>
  <c r="CG1124" i="1"/>
  <c r="CS1124" i="1" s="1"/>
  <c r="CG1125" i="1"/>
  <c r="CS1125" i="1" s="1"/>
  <c r="CG1127" i="1"/>
  <c r="CS1127" i="1" s="1"/>
  <c r="CG1128" i="1"/>
  <c r="CS1128" i="1" s="1"/>
  <c r="CG1129" i="1"/>
  <c r="CS1129" i="1" s="1"/>
  <c r="CG1130" i="1"/>
  <c r="CS1130" i="1" s="1"/>
  <c r="CG1131" i="1"/>
  <c r="CS1131" i="1" s="1"/>
  <c r="CG1132" i="1"/>
  <c r="CS1132" i="1" s="1"/>
  <c r="CG1133" i="1"/>
  <c r="CS1133" i="1" s="1"/>
  <c r="CG1134" i="1"/>
  <c r="CS1134" i="1" s="1"/>
  <c r="CG1135" i="1"/>
  <c r="CS1135" i="1" s="1"/>
  <c r="CG3" i="1"/>
  <c r="CS3" i="1" s="1"/>
  <c r="CS1136" i="1" l="1"/>
  <c r="CG1136" i="1"/>
  <c r="CE1136" i="1" l="1"/>
  <c r="AW1139" i="1" l="1"/>
  <c r="CF1136" i="1"/>
  <c r="CD1136" i="1"/>
  <c r="CC1136" i="1"/>
  <c r="CB1136" i="1"/>
  <c r="CA1136" i="1"/>
  <c r="BZ1136" i="1"/>
  <c r="BY1136" i="1"/>
  <c r="BX1136" i="1"/>
  <c r="BW1136" i="1"/>
  <c r="BV1136" i="1"/>
  <c r="BU1136" i="1"/>
  <c r="BT1136" i="1"/>
  <c r="BS1136" i="1"/>
  <c r="BR1136" i="1"/>
  <c r="BQ1136" i="1"/>
  <c r="BP1136" i="1"/>
  <c r="BO1136" i="1"/>
  <c r="BN1136" i="1"/>
  <c r="BM1136" i="1"/>
  <c r="BL1136" i="1"/>
  <c r="BK1136" i="1"/>
  <c r="BJ1136" i="1"/>
  <c r="BI1136" i="1"/>
  <c r="BH1136" i="1"/>
  <c r="BG1136" i="1"/>
  <c r="BF1136" i="1"/>
  <c r="BE1136" i="1"/>
  <c r="BD1136" i="1"/>
  <c r="AZ1136" i="1"/>
  <c r="AY1136" i="1"/>
  <c r="AX1136" i="1"/>
  <c r="AW1136" i="1"/>
  <c r="AV1136" i="1"/>
  <c r="AU1136" i="1"/>
  <c r="AT1136" i="1"/>
  <c r="AS1136" i="1"/>
  <c r="AR1136" i="1"/>
  <c r="AQ1136" i="1"/>
  <c r="AM1136" i="1"/>
  <c r="AL1136" i="1"/>
  <c r="AK1136" i="1"/>
  <c r="AJ1136" i="1"/>
  <c r="AI1136" i="1"/>
  <c r="AH1136" i="1"/>
  <c r="AG1136" i="1"/>
  <c r="AF1136" i="1"/>
  <c r="AE1136" i="1"/>
  <c r="AD1136" i="1"/>
  <c r="AB1136" i="1"/>
  <c r="AA1136" i="1"/>
  <c r="Z1136" i="1"/>
  <c r="X1136" i="1"/>
  <c r="W1136" i="1"/>
  <c r="T1136" i="1"/>
  <c r="R1136" i="1"/>
  <c r="O1136" i="1"/>
  <c r="L1136" i="1"/>
  <c r="K1136" i="1"/>
  <c r="J1136" i="1"/>
  <c r="H1136" i="1"/>
  <c r="G1136" i="1"/>
  <c r="DT1135" i="1"/>
  <c r="BA1135" i="1"/>
  <c r="CU1135" i="1" s="1"/>
  <c r="U1135" i="1"/>
  <c r="AN1135" i="1" s="1"/>
  <c r="BA1134" i="1"/>
  <c r="CU1134" i="1" s="1"/>
  <c r="S1134" i="1"/>
  <c r="Q1134" i="1"/>
  <c r="M1134" i="1"/>
  <c r="U1133" i="1"/>
  <c r="AN1133" i="1" s="1"/>
  <c r="BC1133" i="1" s="1"/>
  <c r="BA1132" i="1"/>
  <c r="CU1132" i="1" s="1"/>
  <c r="U1132" i="1"/>
  <c r="BA1131" i="1"/>
  <c r="CU1131" i="1" s="1"/>
  <c r="U1131" i="1"/>
  <c r="AN1131" i="1" s="1"/>
  <c r="BA1130" i="1"/>
  <c r="CU1130" i="1" s="1"/>
  <c r="U1130" i="1"/>
  <c r="AN1130" i="1" s="1"/>
  <c r="BA1129" i="1"/>
  <c r="CU1129" i="1" s="1"/>
  <c r="U1129" i="1"/>
  <c r="BA1128" i="1"/>
  <c r="CU1128" i="1" s="1"/>
  <c r="U1128" i="1"/>
  <c r="U1127" i="1"/>
  <c r="AN1127" i="1" s="1"/>
  <c r="BC1127" i="1" s="1"/>
  <c r="S1126" i="1"/>
  <c r="Q1126" i="1"/>
  <c r="M1126" i="1"/>
  <c r="U1125" i="1"/>
  <c r="AN1125" i="1" s="1"/>
  <c r="BC1125" i="1" s="1"/>
  <c r="S1124" i="1"/>
  <c r="Q1124" i="1"/>
  <c r="M1124" i="1"/>
  <c r="BA1123" i="1"/>
  <c r="CU1123" i="1" s="1"/>
  <c r="U1123" i="1"/>
  <c r="U1122" i="1"/>
  <c r="AN1122" i="1" s="1"/>
  <c r="BC1122" i="1" s="1"/>
  <c r="BB1121" i="1"/>
  <c r="BA1121" i="1"/>
  <c r="U1121" i="1"/>
  <c r="AN1121" i="1" s="1"/>
  <c r="CV1120" i="1"/>
  <c r="CW1120" i="1" s="1"/>
  <c r="U1120" i="1"/>
  <c r="AN1120" i="1" s="1"/>
  <c r="BC1120" i="1" s="1"/>
  <c r="BA1119" i="1"/>
  <c r="CU1119" i="1" s="1"/>
  <c r="U1119" i="1"/>
  <c r="BA1118" i="1"/>
  <c r="CU1118" i="1" s="1"/>
  <c r="U1118" i="1"/>
  <c r="AN1118" i="1" s="1"/>
  <c r="U1117" i="1"/>
  <c r="AN1117" i="1" s="1"/>
  <c r="BC1117" i="1" s="1"/>
  <c r="U1116" i="1"/>
  <c r="AN1116" i="1" s="1"/>
  <c r="BC1116" i="1" s="1"/>
  <c r="BA1115" i="1"/>
  <c r="CU1115" i="1" s="1"/>
  <c r="U1115" i="1"/>
  <c r="AN1115" i="1" s="1"/>
  <c r="U1114" i="1"/>
  <c r="AN1114" i="1" s="1"/>
  <c r="BC1114" i="1" s="1"/>
  <c r="U1113" i="1"/>
  <c r="AN1113" i="1" s="1"/>
  <c r="BC1113" i="1" s="1"/>
  <c r="U1112" i="1"/>
  <c r="AN1112" i="1" s="1"/>
  <c r="BC1112" i="1" s="1"/>
  <c r="BA1111" i="1"/>
  <c r="CU1111" i="1" s="1"/>
  <c r="S1111" i="1"/>
  <c r="Q1111" i="1"/>
  <c r="I1111" i="1"/>
  <c r="M1111" i="1" s="1"/>
  <c r="BA1110" i="1"/>
  <c r="CU1110" i="1" s="1"/>
  <c r="U1110" i="1"/>
  <c r="U1109" i="1"/>
  <c r="AN1109" i="1" s="1"/>
  <c r="BC1109" i="1" s="1"/>
  <c r="BA1108" i="1"/>
  <c r="CU1108" i="1" s="1"/>
  <c r="U1108" i="1"/>
  <c r="U1107" i="1"/>
  <c r="AN1107" i="1" s="1"/>
  <c r="BC1107" i="1" s="1"/>
  <c r="BB1106" i="1"/>
  <c r="CU1106" i="1" s="1"/>
  <c r="U1106" i="1"/>
  <c r="AN1106" i="1" s="1"/>
  <c r="BA1105" i="1"/>
  <c r="CU1105" i="1" s="1"/>
  <c r="U1105" i="1"/>
  <c r="AN1105" i="1" s="1"/>
  <c r="U1104" i="1"/>
  <c r="AN1104" i="1" s="1"/>
  <c r="BC1104" i="1" s="1"/>
  <c r="U1103" i="1"/>
  <c r="AN1103" i="1" s="1"/>
  <c r="BC1103" i="1" s="1"/>
  <c r="BA1102" i="1"/>
  <c r="CU1102" i="1" s="1"/>
  <c r="U1102" i="1"/>
  <c r="AN1102" i="1" s="1"/>
  <c r="BA1101" i="1"/>
  <c r="CU1101" i="1" s="1"/>
  <c r="U1101" i="1"/>
  <c r="U1100" i="1"/>
  <c r="AN1100" i="1" s="1"/>
  <c r="BC1100" i="1" s="1"/>
  <c r="BA1099" i="1"/>
  <c r="CU1099" i="1" s="1"/>
  <c r="U1099" i="1"/>
  <c r="AN1099" i="1" s="1"/>
  <c r="BA1098" i="1"/>
  <c r="CU1098" i="1" s="1"/>
  <c r="U1098" i="1"/>
  <c r="AN1098" i="1" s="1"/>
  <c r="BA1097" i="1"/>
  <c r="CU1097" i="1" s="1"/>
  <c r="U1097" i="1"/>
  <c r="AN1097" i="1" s="1"/>
  <c r="BA1096" i="1"/>
  <c r="CU1096" i="1" s="1"/>
  <c r="U1096" i="1"/>
  <c r="U1095" i="1"/>
  <c r="AN1095" i="1" s="1"/>
  <c r="BC1095" i="1" s="1"/>
  <c r="CV1094" i="1"/>
  <c r="CW1094" i="1" s="1"/>
  <c r="U1094" i="1"/>
  <c r="AN1094" i="1" s="1"/>
  <c r="BC1094" i="1" s="1"/>
  <c r="U1093" i="1"/>
  <c r="AN1093" i="1" s="1"/>
  <c r="BC1093" i="1" s="1"/>
  <c r="U1092" i="1"/>
  <c r="AN1092" i="1" s="1"/>
  <c r="BC1092" i="1" s="1"/>
  <c r="BA1091" i="1"/>
  <c r="CU1091" i="1" s="1"/>
  <c r="U1091" i="1"/>
  <c r="CV1090" i="1"/>
  <c r="CW1090" i="1" s="1"/>
  <c r="U1090" i="1"/>
  <c r="AN1090" i="1" s="1"/>
  <c r="BC1090" i="1" s="1"/>
  <c r="U1089" i="1"/>
  <c r="AN1089" i="1" s="1"/>
  <c r="BC1089" i="1" s="1"/>
  <c r="BA1088" i="1"/>
  <c r="CU1088" i="1" s="1"/>
  <c r="U1088" i="1"/>
  <c r="AN1088" i="1" s="1"/>
  <c r="U1087" i="1"/>
  <c r="AN1087" i="1" s="1"/>
  <c r="BC1087" i="1" s="1"/>
  <c r="BA1086" i="1"/>
  <c r="CU1086" i="1" s="1"/>
  <c r="U1086" i="1"/>
  <c r="AN1086" i="1" s="1"/>
  <c r="U1085" i="1"/>
  <c r="AN1085" i="1" s="1"/>
  <c r="BC1085" i="1" s="1"/>
  <c r="BA1084" i="1"/>
  <c r="CU1084" i="1" s="1"/>
  <c r="U1084" i="1"/>
  <c r="BA1083" i="1"/>
  <c r="CU1083" i="1" s="1"/>
  <c r="U1083" i="1"/>
  <c r="AN1083" i="1" s="1"/>
  <c r="BA1082" i="1"/>
  <c r="CU1082" i="1" s="1"/>
  <c r="U1082" i="1"/>
  <c r="BB1081" i="1"/>
  <c r="BA1081" i="1"/>
  <c r="S1081" i="1"/>
  <c r="Q1081" i="1"/>
  <c r="I1081" i="1"/>
  <c r="M1081" i="1" s="1"/>
  <c r="U1080" i="1"/>
  <c r="AN1080" i="1" s="1"/>
  <c r="BC1080" i="1" s="1"/>
  <c r="BA1079" i="1"/>
  <c r="CU1079" i="1" s="1"/>
  <c r="U1079" i="1"/>
  <c r="AN1079" i="1" s="1"/>
  <c r="BA1078" i="1"/>
  <c r="CU1078" i="1" s="1"/>
  <c r="U1078" i="1"/>
  <c r="AN1078" i="1" s="1"/>
  <c r="U1077" i="1"/>
  <c r="AN1077" i="1" s="1"/>
  <c r="BC1077" i="1" s="1"/>
  <c r="BA1076" i="1"/>
  <c r="CU1076" i="1" s="1"/>
  <c r="U1076" i="1"/>
  <c r="BB1075" i="1"/>
  <c r="CU1075" i="1" s="1"/>
  <c r="U1075" i="1"/>
  <c r="AN1075" i="1" s="1"/>
  <c r="BA1074" i="1"/>
  <c r="CU1074" i="1" s="1"/>
  <c r="U1074" i="1"/>
  <c r="BA1073" i="1"/>
  <c r="CU1073" i="1" s="1"/>
  <c r="U1073" i="1"/>
  <c r="U1072" i="1"/>
  <c r="AN1072" i="1" s="1"/>
  <c r="BC1072" i="1" s="1"/>
  <c r="Y1071" i="1"/>
  <c r="S1071" i="1"/>
  <c r="Q1071" i="1"/>
  <c r="I1071" i="1"/>
  <c r="M1071" i="1" s="1"/>
  <c r="U1070" i="1"/>
  <c r="AN1070" i="1" s="1"/>
  <c r="BC1070" i="1" s="1"/>
  <c r="U1069" i="1"/>
  <c r="AN1069" i="1" s="1"/>
  <c r="BC1069" i="1" s="1"/>
  <c r="S1068" i="1"/>
  <c r="Q1068" i="1"/>
  <c r="I1068" i="1"/>
  <c r="M1068" i="1" s="1"/>
  <c r="CV1067" i="1"/>
  <c r="CW1067" i="1" s="1"/>
  <c r="U1067" i="1"/>
  <c r="AN1067" i="1" s="1"/>
  <c r="BC1067" i="1" s="1"/>
  <c r="U1066" i="1"/>
  <c r="AN1066" i="1" s="1"/>
  <c r="BC1066" i="1" s="1"/>
  <c r="BA1065" i="1"/>
  <c r="CU1065" i="1" s="1"/>
  <c r="U1065" i="1"/>
  <c r="BA1064" i="1"/>
  <c r="CU1064" i="1" s="1"/>
  <c r="U1064" i="1"/>
  <c r="CV1063" i="1"/>
  <c r="CW1063" i="1" s="1"/>
  <c r="U1063" i="1"/>
  <c r="AN1063" i="1" s="1"/>
  <c r="BC1063" i="1" s="1"/>
  <c r="U1062" i="1"/>
  <c r="AN1062" i="1" s="1"/>
  <c r="BC1062" i="1" s="1"/>
  <c r="CV1061" i="1"/>
  <c r="CW1061" i="1" s="1"/>
  <c r="U1061" i="1"/>
  <c r="AN1061" i="1" s="1"/>
  <c r="BC1061" i="1" s="1"/>
  <c r="BA1060" i="1"/>
  <c r="CU1060" i="1" s="1"/>
  <c r="U1060" i="1"/>
  <c r="BA1059" i="1"/>
  <c r="CU1059" i="1" s="1"/>
  <c r="U1059" i="1"/>
  <c r="AN1059" i="1" s="1"/>
  <c r="BA1058" i="1"/>
  <c r="CU1058" i="1" s="1"/>
  <c r="U1058" i="1"/>
  <c r="AN1058" i="1" s="1"/>
  <c r="BB1057" i="1"/>
  <c r="BA1057" i="1"/>
  <c r="S1057" i="1"/>
  <c r="Q1057" i="1"/>
  <c r="I1057" i="1"/>
  <c r="M1057" i="1" s="1"/>
  <c r="CV1056" i="1"/>
  <c r="CW1056" i="1" s="1"/>
  <c r="U1056" i="1"/>
  <c r="AN1056" i="1" s="1"/>
  <c r="BC1056" i="1" s="1"/>
  <c r="CV1055" i="1"/>
  <c r="CW1055" i="1" s="1"/>
  <c r="U1055" i="1"/>
  <c r="AN1055" i="1" s="1"/>
  <c r="BC1055" i="1" s="1"/>
  <c r="U1054" i="1"/>
  <c r="AN1054" i="1" s="1"/>
  <c r="BC1054" i="1" s="1"/>
  <c r="BA1053" i="1"/>
  <c r="CU1053" i="1" s="1"/>
  <c r="U1053" i="1"/>
  <c r="BA1052" i="1"/>
  <c r="CU1052" i="1" s="1"/>
  <c r="S1052" i="1"/>
  <c r="Q1052" i="1"/>
  <c r="I1052" i="1"/>
  <c r="M1052" i="1" s="1"/>
  <c r="S1051" i="1"/>
  <c r="Q1051" i="1"/>
  <c r="I1051" i="1"/>
  <c r="M1051" i="1" s="1"/>
  <c r="BA1050" i="1"/>
  <c r="CU1050" i="1" s="1"/>
  <c r="S1050" i="1"/>
  <c r="Q1050" i="1"/>
  <c r="I1050" i="1"/>
  <c r="M1050" i="1" s="1"/>
  <c r="BC1049" i="1"/>
  <c r="U1049" i="1"/>
  <c r="BA1048" i="1"/>
  <c r="CU1048" i="1" s="1"/>
  <c r="U1048" i="1"/>
  <c r="AN1048" i="1" s="1"/>
  <c r="BA1047" i="1"/>
  <c r="CU1047" i="1" s="1"/>
  <c r="U1047" i="1"/>
  <c r="BA1046" i="1"/>
  <c r="CU1046" i="1" s="1"/>
  <c r="U1046" i="1"/>
  <c r="AN1046" i="1" s="1"/>
  <c r="BA1045" i="1"/>
  <c r="CU1045" i="1" s="1"/>
  <c r="U1045" i="1"/>
  <c r="AN1045" i="1" s="1"/>
  <c r="BA1044" i="1"/>
  <c r="CU1044" i="1" s="1"/>
  <c r="U1044" i="1"/>
  <c r="BA1043" i="1"/>
  <c r="CU1043" i="1" s="1"/>
  <c r="U1043" i="1"/>
  <c r="BC1042" i="1"/>
  <c r="U1042" i="1"/>
  <c r="CV1041" i="1"/>
  <c r="CW1041" i="1" s="1"/>
  <c r="U1041" i="1"/>
  <c r="AN1041" i="1" s="1"/>
  <c r="BC1041" i="1" s="1"/>
  <c r="BA1040" i="1"/>
  <c r="CU1040" i="1" s="1"/>
  <c r="U1040" i="1"/>
  <c r="BA1039" i="1"/>
  <c r="CU1039" i="1" s="1"/>
  <c r="U1039" i="1"/>
  <c r="AN1039" i="1" s="1"/>
  <c r="BA1038" i="1"/>
  <c r="CU1038" i="1" s="1"/>
  <c r="U1038" i="1"/>
  <c r="AN1038" i="1" s="1"/>
  <c r="BA1037" i="1"/>
  <c r="CU1037" i="1" s="1"/>
  <c r="U1037" i="1"/>
  <c r="AN1037" i="1" s="1"/>
  <c r="BA1036" i="1"/>
  <c r="CU1036" i="1" s="1"/>
  <c r="U1036" i="1"/>
  <c r="BA1035" i="1"/>
  <c r="CU1035" i="1" s="1"/>
  <c r="U1035" i="1"/>
  <c r="BA1034" i="1"/>
  <c r="CU1034" i="1" s="1"/>
  <c r="U1034" i="1"/>
  <c r="U1033" i="1"/>
  <c r="AN1033" i="1" s="1"/>
  <c r="BC1033" i="1" s="1"/>
  <c r="U1032" i="1"/>
  <c r="AN1032" i="1" s="1"/>
  <c r="BC1032" i="1" s="1"/>
  <c r="BA1031" i="1"/>
  <c r="CU1031" i="1" s="1"/>
  <c r="U1031" i="1"/>
  <c r="BA1030" i="1"/>
  <c r="CU1030" i="1" s="1"/>
  <c r="U1030" i="1"/>
  <c r="AN1030" i="1" s="1"/>
  <c r="BA1029" i="1"/>
  <c r="CU1029" i="1" s="1"/>
  <c r="U1029" i="1"/>
  <c r="AN1029" i="1" s="1"/>
  <c r="BA1028" i="1"/>
  <c r="CU1028" i="1" s="1"/>
  <c r="U1028" i="1"/>
  <c r="U1027" i="1"/>
  <c r="AN1027" i="1" s="1"/>
  <c r="BC1027" i="1" s="1"/>
  <c r="BA1026" i="1"/>
  <c r="CU1026" i="1" s="1"/>
  <c r="U1026" i="1"/>
  <c r="BA1025" i="1"/>
  <c r="CU1025" i="1" s="1"/>
  <c r="U1025" i="1"/>
  <c r="BA1024" i="1"/>
  <c r="CU1024" i="1" s="1"/>
  <c r="U1024" i="1"/>
  <c r="U1023" i="1"/>
  <c r="AN1023" i="1" s="1"/>
  <c r="BC1023" i="1" s="1"/>
  <c r="BA1022" i="1"/>
  <c r="CU1022" i="1" s="1"/>
  <c r="U1022" i="1"/>
  <c r="AN1022" i="1" s="1"/>
  <c r="U1021" i="1"/>
  <c r="AN1021" i="1" s="1"/>
  <c r="BC1021" i="1" s="1"/>
  <c r="BA1020" i="1"/>
  <c r="CU1020" i="1" s="1"/>
  <c r="U1020" i="1"/>
  <c r="AN1020" i="1" s="1"/>
  <c r="BA1019" i="1"/>
  <c r="CU1019" i="1" s="1"/>
  <c r="U1019" i="1"/>
  <c r="U1018" i="1"/>
  <c r="AN1018" i="1" s="1"/>
  <c r="BC1018" i="1" s="1"/>
  <c r="BA1017" i="1"/>
  <c r="CU1017" i="1" s="1"/>
  <c r="U1017" i="1"/>
  <c r="BA1016" i="1"/>
  <c r="CU1016" i="1" s="1"/>
  <c r="U1016" i="1"/>
  <c r="BA1015" i="1"/>
  <c r="CU1015" i="1" s="1"/>
  <c r="U1015" i="1"/>
  <c r="BA1014" i="1"/>
  <c r="CU1014" i="1" s="1"/>
  <c r="U1014" i="1"/>
  <c r="U1013" i="1"/>
  <c r="AN1013" i="1" s="1"/>
  <c r="BC1013" i="1" s="1"/>
  <c r="BA1012" i="1"/>
  <c r="CU1012" i="1" s="1"/>
  <c r="U1012" i="1"/>
  <c r="AN1012" i="1" s="1"/>
  <c r="CV1011" i="1"/>
  <c r="CW1011" i="1" s="1"/>
  <c r="U1011" i="1"/>
  <c r="AN1011" i="1" s="1"/>
  <c r="BC1011" i="1" s="1"/>
  <c r="BA1010" i="1"/>
  <c r="CU1010" i="1" s="1"/>
  <c r="U1010" i="1"/>
  <c r="AN1010" i="1" s="1"/>
  <c r="U1009" i="1"/>
  <c r="AN1009" i="1" s="1"/>
  <c r="BC1009" i="1" s="1"/>
  <c r="BA1008" i="1"/>
  <c r="CU1008" i="1" s="1"/>
  <c r="U1008" i="1"/>
  <c r="AN1008" i="1" s="1"/>
  <c r="BA1007" i="1"/>
  <c r="CU1007" i="1" s="1"/>
  <c r="U1007" i="1"/>
  <c r="BA1006" i="1"/>
  <c r="CU1006" i="1" s="1"/>
  <c r="U1006" i="1"/>
  <c r="BA1005" i="1"/>
  <c r="CU1005" i="1" s="1"/>
  <c r="U1005" i="1"/>
  <c r="BA1004" i="1"/>
  <c r="CU1004" i="1" s="1"/>
  <c r="U1004" i="1"/>
  <c r="CV1003" i="1"/>
  <c r="CW1003" i="1" s="1"/>
  <c r="BC1003" i="1"/>
  <c r="U1003" i="1"/>
  <c r="U1002" i="1"/>
  <c r="AN1002" i="1" s="1"/>
  <c r="BC1002" i="1" s="1"/>
  <c r="BA1001" i="1"/>
  <c r="CU1001" i="1" s="1"/>
  <c r="U1001" i="1"/>
  <c r="AN1001" i="1" s="1"/>
  <c r="BA1000" i="1"/>
  <c r="CU1000" i="1" s="1"/>
  <c r="U1000" i="1"/>
  <c r="AN1000" i="1" s="1"/>
  <c r="BA999" i="1"/>
  <c r="CU999" i="1" s="1"/>
  <c r="U999" i="1"/>
  <c r="AN999" i="1" s="1"/>
  <c r="BA998" i="1"/>
  <c r="CU998" i="1" s="1"/>
  <c r="U998" i="1"/>
  <c r="AN998" i="1" s="1"/>
  <c r="BA997" i="1"/>
  <c r="CU997" i="1" s="1"/>
  <c r="U997" i="1"/>
  <c r="AN997" i="1" s="1"/>
  <c r="U996" i="1"/>
  <c r="AN996" i="1" s="1"/>
  <c r="BC996" i="1" s="1"/>
  <c r="U995" i="1"/>
  <c r="AN995" i="1" s="1"/>
  <c r="BC995" i="1" s="1"/>
  <c r="U994" i="1"/>
  <c r="AN994" i="1" s="1"/>
  <c r="BC994" i="1" s="1"/>
  <c r="BA993" i="1"/>
  <c r="CU993" i="1" s="1"/>
  <c r="U993" i="1"/>
  <c r="CV992" i="1"/>
  <c r="CW992" i="1" s="1"/>
  <c r="U992" i="1"/>
  <c r="AN992" i="1" s="1"/>
  <c r="BC992" i="1" s="1"/>
  <c r="BA991" i="1"/>
  <c r="CU991" i="1" s="1"/>
  <c r="U991" i="1"/>
  <c r="U990" i="1"/>
  <c r="AN990" i="1" s="1"/>
  <c r="BC990" i="1" s="1"/>
  <c r="BA989" i="1"/>
  <c r="CU989" i="1" s="1"/>
  <c r="U989" i="1"/>
  <c r="BA988" i="1"/>
  <c r="CU988" i="1" s="1"/>
  <c r="U988" i="1"/>
  <c r="AN988" i="1" s="1"/>
  <c r="U987" i="1"/>
  <c r="AN987" i="1" s="1"/>
  <c r="BC987" i="1" s="1"/>
  <c r="BB986" i="1"/>
  <c r="CU986" i="1" s="1"/>
  <c r="U986" i="1"/>
  <c r="AN986" i="1" s="1"/>
  <c r="BB985" i="1"/>
  <c r="CU985" i="1" s="1"/>
  <c r="U985" i="1"/>
  <c r="AN985" i="1" s="1"/>
  <c r="BA984" i="1"/>
  <c r="CU984" i="1" s="1"/>
  <c r="U984" i="1"/>
  <c r="BA983" i="1"/>
  <c r="CU983" i="1" s="1"/>
  <c r="U983" i="1"/>
  <c r="AN983" i="1" s="1"/>
  <c r="CV982" i="1"/>
  <c r="CW982" i="1" s="1"/>
  <c r="U982" i="1"/>
  <c r="AN982" i="1" s="1"/>
  <c r="BC982" i="1" s="1"/>
  <c r="U981" i="1"/>
  <c r="AN981" i="1" s="1"/>
  <c r="BC981" i="1" s="1"/>
  <c r="BA980" i="1"/>
  <c r="CU980" i="1" s="1"/>
  <c r="U980" i="1"/>
  <c r="BA979" i="1"/>
  <c r="CU979" i="1" s="1"/>
  <c r="U979" i="1"/>
  <c r="BA978" i="1"/>
  <c r="CU978" i="1" s="1"/>
  <c r="U978" i="1"/>
  <c r="AN978" i="1" s="1"/>
  <c r="BA977" i="1"/>
  <c r="CU977" i="1" s="1"/>
  <c r="U977" i="1"/>
  <c r="U976" i="1"/>
  <c r="AN976" i="1" s="1"/>
  <c r="BC976" i="1" s="1"/>
  <c r="BA975" i="1"/>
  <c r="CU975" i="1" s="1"/>
  <c r="U975" i="1"/>
  <c r="AN975" i="1" s="1"/>
  <c r="BA974" i="1"/>
  <c r="CU974" i="1" s="1"/>
  <c r="U974" i="1"/>
  <c r="U973" i="1"/>
  <c r="AN973" i="1" s="1"/>
  <c r="BC973" i="1" s="1"/>
  <c r="U972" i="1"/>
  <c r="AN972" i="1" s="1"/>
  <c r="BC972" i="1" s="1"/>
  <c r="CV971" i="1"/>
  <c r="CW971" i="1" s="1"/>
  <c r="U971" i="1"/>
  <c r="AN971" i="1" s="1"/>
  <c r="BC971" i="1" s="1"/>
  <c r="U970" i="1"/>
  <c r="AN970" i="1" s="1"/>
  <c r="BC970" i="1" s="1"/>
  <c r="BA969" i="1"/>
  <c r="CU969" i="1" s="1"/>
  <c r="U969" i="1"/>
  <c r="U968" i="1"/>
  <c r="AN968" i="1" s="1"/>
  <c r="BC968" i="1" s="1"/>
  <c r="BA967" i="1"/>
  <c r="CU967" i="1" s="1"/>
  <c r="U967" i="1"/>
  <c r="BA966" i="1"/>
  <c r="CU966" i="1" s="1"/>
  <c r="U966" i="1"/>
  <c r="AN966" i="1" s="1"/>
  <c r="BA965" i="1"/>
  <c r="CU965" i="1" s="1"/>
  <c r="S965" i="1"/>
  <c r="Q965" i="1"/>
  <c r="I965" i="1"/>
  <c r="M965" i="1" s="1"/>
  <c r="BA964" i="1"/>
  <c r="CU964" i="1" s="1"/>
  <c r="U964" i="1"/>
  <c r="AN964" i="1" s="1"/>
  <c r="BA963" i="1"/>
  <c r="CU963" i="1" s="1"/>
  <c r="S963" i="1"/>
  <c r="Q963" i="1"/>
  <c r="I963" i="1"/>
  <c r="M963" i="1" s="1"/>
  <c r="BA962" i="1"/>
  <c r="CU962" i="1" s="1"/>
  <c r="U962" i="1"/>
  <c r="BA961" i="1"/>
  <c r="CU961" i="1" s="1"/>
  <c r="U961" i="1"/>
  <c r="AN961" i="1" s="1"/>
  <c r="BA960" i="1"/>
  <c r="CU960" i="1" s="1"/>
  <c r="U960" i="1"/>
  <c r="BA959" i="1"/>
  <c r="CU959" i="1" s="1"/>
  <c r="U959" i="1"/>
  <c r="S958" i="1"/>
  <c r="Q958" i="1"/>
  <c r="I958" i="1"/>
  <c r="M958" i="1" s="1"/>
  <c r="BA957" i="1"/>
  <c r="CU957" i="1" s="1"/>
  <c r="U957" i="1"/>
  <c r="BA956" i="1"/>
  <c r="CU956" i="1" s="1"/>
  <c r="U956" i="1"/>
  <c r="AN956" i="1" s="1"/>
  <c r="U955" i="1"/>
  <c r="AN955" i="1" s="1"/>
  <c r="BC955" i="1" s="1"/>
  <c r="BA954" i="1"/>
  <c r="CU954" i="1" s="1"/>
  <c r="U954" i="1"/>
  <c r="BA953" i="1"/>
  <c r="CU953" i="1" s="1"/>
  <c r="S953" i="1"/>
  <c r="Q953" i="1"/>
  <c r="I953" i="1"/>
  <c r="M953" i="1" s="1"/>
  <c r="BA952" i="1"/>
  <c r="CU952" i="1" s="1"/>
  <c r="U952" i="1"/>
  <c r="U951" i="1"/>
  <c r="AN951" i="1" s="1"/>
  <c r="BC951" i="1" s="1"/>
  <c r="BA950" i="1"/>
  <c r="CU950" i="1" s="1"/>
  <c r="U950" i="1"/>
  <c r="BA949" i="1"/>
  <c r="CU949" i="1" s="1"/>
  <c r="U949" i="1"/>
  <c r="AN949" i="1" s="1"/>
  <c r="U948" i="1"/>
  <c r="AN948" i="1" s="1"/>
  <c r="BC948" i="1" s="1"/>
  <c r="BA947" i="1"/>
  <c r="CU947" i="1" s="1"/>
  <c r="U947" i="1"/>
  <c r="AN947" i="1" s="1"/>
  <c r="U946" i="1"/>
  <c r="AN946" i="1" s="1"/>
  <c r="BC946" i="1" s="1"/>
  <c r="CV945" i="1"/>
  <c r="CW945" i="1" s="1"/>
  <c r="U945" i="1"/>
  <c r="AN945" i="1" s="1"/>
  <c r="BC945" i="1" s="1"/>
  <c r="BA944" i="1"/>
  <c r="CU944" i="1" s="1"/>
  <c r="U944" i="1"/>
  <c r="AN944" i="1" s="1"/>
  <c r="BA943" i="1"/>
  <c r="CU943" i="1" s="1"/>
  <c r="U943" i="1"/>
  <c r="AN943" i="1" s="1"/>
  <c r="U942" i="1"/>
  <c r="AN942" i="1" s="1"/>
  <c r="BC942" i="1" s="1"/>
  <c r="BA941" i="1"/>
  <c r="CU941" i="1" s="1"/>
  <c r="U941" i="1"/>
  <c r="BA940" i="1"/>
  <c r="CU940" i="1" s="1"/>
  <c r="U940" i="1"/>
  <c r="BA939" i="1"/>
  <c r="CU939" i="1" s="1"/>
  <c r="U939" i="1"/>
  <c r="U938" i="1"/>
  <c r="AN938" i="1" s="1"/>
  <c r="BC938" i="1" s="1"/>
  <c r="BA937" i="1"/>
  <c r="CU937" i="1" s="1"/>
  <c r="U937" i="1"/>
  <c r="AN937" i="1" s="1"/>
  <c r="BA936" i="1"/>
  <c r="CU936" i="1" s="1"/>
  <c r="U936" i="1"/>
  <c r="AN936" i="1" s="1"/>
  <c r="U935" i="1"/>
  <c r="AN935" i="1" s="1"/>
  <c r="BC935" i="1" s="1"/>
  <c r="U934" i="1"/>
  <c r="AN934" i="1" s="1"/>
  <c r="BC934" i="1" s="1"/>
  <c r="BA933" i="1"/>
  <c r="CU933" i="1" s="1"/>
  <c r="U933" i="1"/>
  <c r="BA932" i="1"/>
  <c r="CU932" i="1" s="1"/>
  <c r="U932" i="1"/>
  <c r="BB931" i="1"/>
  <c r="CU931" i="1" s="1"/>
  <c r="U931" i="1"/>
  <c r="AN931" i="1" s="1"/>
  <c r="BA930" i="1"/>
  <c r="CU930" i="1" s="1"/>
  <c r="U930" i="1"/>
  <c r="AN930" i="1" s="1"/>
  <c r="BA929" i="1"/>
  <c r="CU929" i="1" s="1"/>
  <c r="U929" i="1"/>
  <c r="AN929" i="1" s="1"/>
  <c r="U928" i="1"/>
  <c r="AN928" i="1" s="1"/>
  <c r="BC928" i="1" s="1"/>
  <c r="U927" i="1"/>
  <c r="AN927" i="1" s="1"/>
  <c r="BC927" i="1" s="1"/>
  <c r="BA926" i="1"/>
  <c r="CU926" i="1" s="1"/>
  <c r="U926" i="1"/>
  <c r="BA925" i="1"/>
  <c r="CU925" i="1" s="1"/>
  <c r="U925" i="1"/>
  <c r="U924" i="1"/>
  <c r="AN924" i="1" s="1"/>
  <c r="BC924" i="1" s="1"/>
  <c r="BA923" i="1"/>
  <c r="CU923" i="1" s="1"/>
  <c r="U923" i="1"/>
  <c r="AN923" i="1" s="1"/>
  <c r="BA922" i="1"/>
  <c r="CU922" i="1" s="1"/>
  <c r="U922" i="1"/>
  <c r="BA921" i="1"/>
  <c r="CU921" i="1" s="1"/>
  <c r="U921" i="1"/>
  <c r="AN921" i="1" s="1"/>
  <c r="U920" i="1"/>
  <c r="AN920" i="1" s="1"/>
  <c r="BC920" i="1" s="1"/>
  <c r="BA919" i="1"/>
  <c r="CU919" i="1" s="1"/>
  <c r="U919" i="1"/>
  <c r="AN919" i="1" s="1"/>
  <c r="BA918" i="1"/>
  <c r="CU918" i="1" s="1"/>
  <c r="U918" i="1"/>
  <c r="U917" i="1"/>
  <c r="AN917" i="1" s="1"/>
  <c r="BC917" i="1" s="1"/>
  <c r="BA916" i="1"/>
  <c r="CU916" i="1" s="1"/>
  <c r="U916" i="1"/>
  <c r="AN916" i="1" s="1"/>
  <c r="BA915" i="1"/>
  <c r="CU915" i="1" s="1"/>
  <c r="U915" i="1"/>
  <c r="BA914" i="1"/>
  <c r="CU914" i="1" s="1"/>
  <c r="U914" i="1"/>
  <c r="AN914" i="1" s="1"/>
  <c r="BA913" i="1"/>
  <c r="CU913" i="1" s="1"/>
  <c r="U913" i="1"/>
  <c r="BA912" i="1"/>
  <c r="CU912" i="1" s="1"/>
  <c r="U912" i="1"/>
  <c r="BA911" i="1"/>
  <c r="CU911" i="1" s="1"/>
  <c r="U911" i="1"/>
  <c r="U910" i="1"/>
  <c r="AN910" i="1" s="1"/>
  <c r="BC910" i="1" s="1"/>
  <c r="U909" i="1"/>
  <c r="AN909" i="1" s="1"/>
  <c r="BC909" i="1" s="1"/>
  <c r="BA908" i="1"/>
  <c r="CU908" i="1" s="1"/>
  <c r="U908" i="1"/>
  <c r="BA907" i="1"/>
  <c r="CU907" i="1" s="1"/>
  <c r="U907" i="1"/>
  <c r="BB906" i="1"/>
  <c r="BA906" i="1"/>
  <c r="U906" i="1"/>
  <c r="AN906" i="1" s="1"/>
  <c r="BA905" i="1"/>
  <c r="CU905" i="1" s="1"/>
  <c r="U905" i="1"/>
  <c r="BA904" i="1"/>
  <c r="CU904" i="1" s="1"/>
  <c r="U904" i="1"/>
  <c r="AN904" i="1" s="1"/>
  <c r="BB903" i="1"/>
  <c r="BA903" i="1"/>
  <c r="U903" i="1"/>
  <c r="AN903" i="1" s="1"/>
  <c r="BA902" i="1"/>
  <c r="CU902" i="1" s="1"/>
  <c r="U902" i="1"/>
  <c r="AN902" i="1" s="1"/>
  <c r="BA901" i="1"/>
  <c r="CU901" i="1" s="1"/>
  <c r="U901" i="1"/>
  <c r="AN901" i="1" s="1"/>
  <c r="BA900" i="1"/>
  <c r="CU900" i="1" s="1"/>
  <c r="U900" i="1"/>
  <c r="BA899" i="1"/>
  <c r="CU899" i="1" s="1"/>
  <c r="U899" i="1"/>
  <c r="U898" i="1"/>
  <c r="AN898" i="1" s="1"/>
  <c r="BC898" i="1" s="1"/>
  <c r="U897" i="1"/>
  <c r="AN897" i="1" s="1"/>
  <c r="BC897" i="1" s="1"/>
  <c r="BA896" i="1"/>
  <c r="CU896" i="1" s="1"/>
  <c r="U896" i="1"/>
  <c r="BA895" i="1"/>
  <c r="CU895" i="1" s="1"/>
  <c r="U895" i="1"/>
  <c r="BA894" i="1"/>
  <c r="CU894" i="1" s="1"/>
  <c r="U894" i="1"/>
  <c r="BA893" i="1"/>
  <c r="CU893" i="1" s="1"/>
  <c r="U893" i="1"/>
  <c r="BA892" i="1"/>
  <c r="CU892" i="1" s="1"/>
  <c r="U892" i="1"/>
  <c r="BA891" i="1"/>
  <c r="CU891" i="1" s="1"/>
  <c r="U891" i="1"/>
  <c r="AN891" i="1" s="1"/>
  <c r="BA890" i="1"/>
  <c r="CU890" i="1" s="1"/>
  <c r="U890" i="1"/>
  <c r="BA889" i="1"/>
  <c r="CU889" i="1" s="1"/>
  <c r="U889" i="1"/>
  <c r="BA888" i="1"/>
  <c r="CU888" i="1" s="1"/>
  <c r="U888" i="1"/>
  <c r="BA887" i="1"/>
  <c r="CU887" i="1" s="1"/>
  <c r="U887" i="1"/>
  <c r="AN887" i="1" s="1"/>
  <c r="BA886" i="1"/>
  <c r="CU886" i="1" s="1"/>
  <c r="U886" i="1"/>
  <c r="AN886" i="1" s="1"/>
  <c r="BA885" i="1"/>
  <c r="CU885" i="1" s="1"/>
  <c r="U885" i="1"/>
  <c r="U884" i="1"/>
  <c r="AN884" i="1" s="1"/>
  <c r="BC884" i="1" s="1"/>
  <c r="BA883" i="1"/>
  <c r="CU883" i="1" s="1"/>
  <c r="U883" i="1"/>
  <c r="AN883" i="1" s="1"/>
  <c r="BA882" i="1"/>
  <c r="CU882" i="1" s="1"/>
  <c r="U882" i="1"/>
  <c r="AN882" i="1" s="1"/>
  <c r="BA881" i="1"/>
  <c r="CU881" i="1" s="1"/>
  <c r="U881" i="1"/>
  <c r="AN881" i="1" s="1"/>
  <c r="BA880" i="1"/>
  <c r="CU880" i="1" s="1"/>
  <c r="U880" i="1"/>
  <c r="AN880" i="1" s="1"/>
  <c r="U879" i="1"/>
  <c r="AN879" i="1" s="1"/>
  <c r="BC879" i="1" s="1"/>
  <c r="BA878" i="1"/>
  <c r="CU878" i="1" s="1"/>
  <c r="U878" i="1"/>
  <c r="BA877" i="1"/>
  <c r="CU877" i="1" s="1"/>
  <c r="U877" i="1"/>
  <c r="AN877" i="1" s="1"/>
  <c r="U876" i="1"/>
  <c r="AN876" i="1" s="1"/>
  <c r="BC876" i="1" s="1"/>
  <c r="BA875" i="1"/>
  <c r="CU875" i="1" s="1"/>
  <c r="U875" i="1"/>
  <c r="BA874" i="1"/>
  <c r="CU874" i="1" s="1"/>
  <c r="U874" i="1"/>
  <c r="AN874" i="1" s="1"/>
  <c r="CV873" i="1"/>
  <c r="CW873" i="1" s="1"/>
  <c r="U873" i="1"/>
  <c r="AN873" i="1" s="1"/>
  <c r="BC873" i="1" s="1"/>
  <c r="U872" i="1"/>
  <c r="AN872" i="1" s="1"/>
  <c r="BC872" i="1" s="1"/>
  <c r="BA871" i="1"/>
  <c r="CU871" i="1" s="1"/>
  <c r="U871" i="1"/>
  <c r="AN871" i="1" s="1"/>
  <c r="U870" i="1"/>
  <c r="AN870" i="1" s="1"/>
  <c r="BC870" i="1" s="1"/>
  <c r="U869" i="1"/>
  <c r="AN869" i="1" s="1"/>
  <c r="BC869" i="1" s="1"/>
  <c r="U868" i="1"/>
  <c r="AN868" i="1" s="1"/>
  <c r="BC868" i="1" s="1"/>
  <c r="U867" i="1"/>
  <c r="AN867" i="1" s="1"/>
  <c r="BC867" i="1" s="1"/>
  <c r="U866" i="1"/>
  <c r="AN866" i="1" s="1"/>
  <c r="BC866" i="1" s="1"/>
  <c r="BA865" i="1"/>
  <c r="CU865" i="1" s="1"/>
  <c r="U865" i="1"/>
  <c r="AN865" i="1" s="1"/>
  <c r="U864" i="1"/>
  <c r="AN864" i="1" s="1"/>
  <c r="BC864" i="1" s="1"/>
  <c r="BA863" i="1"/>
  <c r="CU863" i="1" s="1"/>
  <c r="U863" i="1"/>
  <c r="BA862" i="1"/>
  <c r="CU862" i="1" s="1"/>
  <c r="U862" i="1"/>
  <c r="CV861" i="1"/>
  <c r="CW861" i="1" s="1"/>
  <c r="BC861" i="1"/>
  <c r="U861" i="1"/>
  <c r="BA860" i="1"/>
  <c r="CU860" i="1" s="1"/>
  <c r="U860" i="1"/>
  <c r="U859" i="1"/>
  <c r="AN859" i="1" s="1"/>
  <c r="BC859" i="1" s="1"/>
  <c r="BA858" i="1"/>
  <c r="CU858" i="1" s="1"/>
  <c r="U858" i="1"/>
  <c r="AN858" i="1" s="1"/>
  <c r="U857" i="1"/>
  <c r="AN857" i="1" s="1"/>
  <c r="BC857" i="1" s="1"/>
  <c r="BA856" i="1"/>
  <c r="CU856" i="1" s="1"/>
  <c r="U856" i="1"/>
  <c r="CV855" i="1"/>
  <c r="CW855" i="1" s="1"/>
  <c r="U855" i="1"/>
  <c r="AN855" i="1" s="1"/>
  <c r="BC855" i="1" s="1"/>
  <c r="BA854" i="1"/>
  <c r="CU854" i="1" s="1"/>
  <c r="U854" i="1"/>
  <c r="AN854" i="1" s="1"/>
  <c r="BA853" i="1"/>
  <c r="CU853" i="1" s="1"/>
  <c r="U853" i="1"/>
  <c r="BA852" i="1"/>
  <c r="CU852" i="1" s="1"/>
  <c r="U852" i="1"/>
  <c r="U851" i="1"/>
  <c r="AN851" i="1" s="1"/>
  <c r="BC851" i="1" s="1"/>
  <c r="U850" i="1"/>
  <c r="AN850" i="1" s="1"/>
  <c r="BC850" i="1" s="1"/>
  <c r="U849" i="1"/>
  <c r="AN849" i="1" s="1"/>
  <c r="BC849" i="1" s="1"/>
  <c r="BA848" i="1"/>
  <c r="CU848" i="1" s="1"/>
  <c r="U848" i="1"/>
  <c r="AN848" i="1" s="1"/>
  <c r="BA847" i="1"/>
  <c r="CU847" i="1" s="1"/>
  <c r="U847" i="1"/>
  <c r="BA846" i="1"/>
  <c r="CU846" i="1" s="1"/>
  <c r="U846" i="1"/>
  <c r="AN846" i="1" s="1"/>
  <c r="BA845" i="1"/>
  <c r="CU845" i="1" s="1"/>
  <c r="U845" i="1"/>
  <c r="AN845" i="1" s="1"/>
  <c r="U844" i="1"/>
  <c r="AN844" i="1" s="1"/>
  <c r="BC844" i="1" s="1"/>
  <c r="U843" i="1"/>
  <c r="AN843" i="1" s="1"/>
  <c r="BC843" i="1" s="1"/>
  <c r="BA842" i="1"/>
  <c r="CU842" i="1" s="1"/>
  <c r="U842" i="1"/>
  <c r="AN842" i="1" s="1"/>
  <c r="BA841" i="1"/>
  <c r="CU841" i="1" s="1"/>
  <c r="U841" i="1"/>
  <c r="AN841" i="1" s="1"/>
  <c r="BA840" i="1"/>
  <c r="CU840" i="1" s="1"/>
  <c r="U840" i="1"/>
  <c r="BA839" i="1"/>
  <c r="CU839" i="1" s="1"/>
  <c r="U839" i="1"/>
  <c r="AN839" i="1" s="1"/>
  <c r="BA838" i="1"/>
  <c r="CU838" i="1" s="1"/>
  <c r="U838" i="1"/>
  <c r="AN838" i="1" s="1"/>
  <c r="U837" i="1"/>
  <c r="AN837" i="1" s="1"/>
  <c r="BC837" i="1" s="1"/>
  <c r="BA836" i="1"/>
  <c r="CU836" i="1" s="1"/>
  <c r="U836" i="1"/>
  <c r="AN836" i="1" s="1"/>
  <c r="BA835" i="1"/>
  <c r="CU835" i="1" s="1"/>
  <c r="U835" i="1"/>
  <c r="U834" i="1"/>
  <c r="AN834" i="1" s="1"/>
  <c r="BC834" i="1" s="1"/>
  <c r="BA833" i="1"/>
  <c r="CU833" i="1" s="1"/>
  <c r="U833" i="1"/>
  <c r="BA832" i="1"/>
  <c r="CU832" i="1" s="1"/>
  <c r="U832" i="1"/>
  <c r="BA831" i="1"/>
  <c r="CU831" i="1" s="1"/>
  <c r="U831" i="1"/>
  <c r="AN831" i="1" s="1"/>
  <c r="BA830" i="1"/>
  <c r="CU830" i="1" s="1"/>
  <c r="U830" i="1"/>
  <c r="AN830" i="1" s="1"/>
  <c r="BB829" i="1"/>
  <c r="CU829" i="1" s="1"/>
  <c r="U829" i="1"/>
  <c r="AN829" i="1" s="1"/>
  <c r="BA828" i="1"/>
  <c r="CU828" i="1" s="1"/>
  <c r="U828" i="1"/>
  <c r="AN828" i="1" s="1"/>
  <c r="U827" i="1"/>
  <c r="AN827" i="1" s="1"/>
  <c r="BC827" i="1" s="1"/>
  <c r="BA826" i="1"/>
  <c r="CU826" i="1" s="1"/>
  <c r="U826" i="1"/>
  <c r="BA825" i="1"/>
  <c r="CU825" i="1" s="1"/>
  <c r="U825" i="1"/>
  <c r="AN825" i="1" s="1"/>
  <c r="BA824" i="1"/>
  <c r="CU824" i="1" s="1"/>
  <c r="U824" i="1"/>
  <c r="AN824" i="1" s="1"/>
  <c r="U823" i="1"/>
  <c r="AN823" i="1" s="1"/>
  <c r="BC823" i="1" s="1"/>
  <c r="BA822" i="1"/>
  <c r="CU822" i="1" s="1"/>
  <c r="U822" i="1"/>
  <c r="AN822" i="1" s="1"/>
  <c r="BA821" i="1"/>
  <c r="CU821" i="1" s="1"/>
  <c r="U821" i="1"/>
  <c r="BA820" i="1"/>
  <c r="CU820" i="1" s="1"/>
  <c r="S820" i="1"/>
  <c r="Q820" i="1"/>
  <c r="I820" i="1"/>
  <c r="M820" i="1" s="1"/>
  <c r="BA819" i="1"/>
  <c r="CU819" i="1" s="1"/>
  <c r="U819" i="1"/>
  <c r="U818" i="1"/>
  <c r="AN818" i="1" s="1"/>
  <c r="BC818" i="1" s="1"/>
  <c r="BA817" i="1"/>
  <c r="CU817" i="1" s="1"/>
  <c r="U817" i="1"/>
  <c r="AN817" i="1" s="1"/>
  <c r="S816" i="1"/>
  <c r="Q816" i="1"/>
  <c r="I816" i="1"/>
  <c r="M816" i="1" s="1"/>
  <c r="BA815" i="1"/>
  <c r="CU815" i="1" s="1"/>
  <c r="U815" i="1"/>
  <c r="U814" i="1"/>
  <c r="AN814" i="1" s="1"/>
  <c r="BC814" i="1" s="1"/>
  <c r="U813" i="1"/>
  <c r="AN813" i="1" s="1"/>
  <c r="BC813" i="1" s="1"/>
  <c r="BA812" i="1"/>
  <c r="CU812" i="1" s="1"/>
  <c r="U812" i="1"/>
  <c r="BA811" i="1"/>
  <c r="CU811" i="1" s="1"/>
  <c r="U811" i="1"/>
  <c r="AN811" i="1" s="1"/>
  <c r="BA810" i="1"/>
  <c r="CU810" i="1" s="1"/>
  <c r="U810" i="1"/>
  <c r="AN810" i="1" s="1"/>
  <c r="BA809" i="1"/>
  <c r="CU809" i="1" s="1"/>
  <c r="U809" i="1"/>
  <c r="AN809" i="1" s="1"/>
  <c r="BA808" i="1"/>
  <c r="CU808" i="1" s="1"/>
  <c r="U808" i="1"/>
  <c r="AN808" i="1" s="1"/>
  <c r="BA807" i="1"/>
  <c r="CU807" i="1" s="1"/>
  <c r="U807" i="1"/>
  <c r="AN807" i="1" s="1"/>
  <c r="BA806" i="1"/>
  <c r="CU806" i="1" s="1"/>
  <c r="U806" i="1"/>
  <c r="AN806" i="1" s="1"/>
  <c r="BA805" i="1"/>
  <c r="CU805" i="1" s="1"/>
  <c r="U805" i="1"/>
  <c r="AN805" i="1" s="1"/>
  <c r="BA804" i="1"/>
  <c r="CU804" i="1" s="1"/>
  <c r="U804" i="1"/>
  <c r="BA803" i="1"/>
  <c r="CU803" i="1" s="1"/>
  <c r="U803" i="1"/>
  <c r="AN803" i="1" s="1"/>
  <c r="BA802" i="1"/>
  <c r="CU802" i="1" s="1"/>
  <c r="U802" i="1"/>
  <c r="BA801" i="1"/>
  <c r="CU801" i="1" s="1"/>
  <c r="U801" i="1"/>
  <c r="AN801" i="1" s="1"/>
  <c r="U800" i="1"/>
  <c r="AN800" i="1" s="1"/>
  <c r="BC800" i="1" s="1"/>
  <c r="BB799" i="1"/>
  <c r="CU799" i="1" s="1"/>
  <c r="U799" i="1"/>
  <c r="AN799" i="1" s="1"/>
  <c r="U798" i="1"/>
  <c r="AN798" i="1" s="1"/>
  <c r="BC798" i="1" s="1"/>
  <c r="S797" i="1"/>
  <c r="Q797" i="1"/>
  <c r="I797" i="1"/>
  <c r="M797" i="1" s="1"/>
  <c r="BB796" i="1"/>
  <c r="BA796" i="1"/>
  <c r="S796" i="1"/>
  <c r="Q796" i="1"/>
  <c r="I796" i="1"/>
  <c r="M796" i="1" s="1"/>
  <c r="BA795" i="1"/>
  <c r="CU795" i="1" s="1"/>
  <c r="U795" i="1"/>
  <c r="AN795" i="1" s="1"/>
  <c r="BA794" i="1"/>
  <c r="CU794" i="1" s="1"/>
  <c r="U794" i="1"/>
  <c r="BA793" i="1"/>
  <c r="CU793" i="1" s="1"/>
  <c r="U793" i="1"/>
  <c r="AN793" i="1" s="1"/>
  <c r="U792" i="1"/>
  <c r="AN792" i="1" s="1"/>
  <c r="BC792" i="1" s="1"/>
  <c r="U791" i="1"/>
  <c r="AN791" i="1" s="1"/>
  <c r="BC791" i="1" s="1"/>
  <c r="U790" i="1"/>
  <c r="AN790" i="1" s="1"/>
  <c r="BC790" i="1" s="1"/>
  <c r="BA789" i="1"/>
  <c r="CU789" i="1" s="1"/>
  <c r="U789" i="1"/>
  <c r="BA788" i="1"/>
  <c r="CU788" i="1" s="1"/>
  <c r="U788" i="1"/>
  <c r="U787" i="1"/>
  <c r="AN787" i="1" s="1"/>
  <c r="BC787" i="1" s="1"/>
  <c r="U786" i="1"/>
  <c r="AN786" i="1" s="1"/>
  <c r="BC786" i="1" s="1"/>
  <c r="CV785" i="1"/>
  <c r="CW785" i="1" s="1"/>
  <c r="U785" i="1"/>
  <c r="AN785" i="1" s="1"/>
  <c r="BC785" i="1" s="1"/>
  <c r="U784" i="1"/>
  <c r="AN784" i="1" s="1"/>
  <c r="BC784" i="1" s="1"/>
  <c r="BA783" i="1"/>
  <c r="CU783" i="1" s="1"/>
  <c r="U783" i="1"/>
  <c r="BA782" i="1"/>
  <c r="CU782" i="1" s="1"/>
  <c r="U782" i="1"/>
  <c r="AN782" i="1" s="1"/>
  <c r="BA781" i="1"/>
  <c r="CU781" i="1" s="1"/>
  <c r="U781" i="1"/>
  <c r="BA780" i="1"/>
  <c r="CU780" i="1" s="1"/>
  <c r="U780" i="1"/>
  <c r="AN780" i="1" s="1"/>
  <c r="U779" i="1"/>
  <c r="AN779" i="1" s="1"/>
  <c r="BC779" i="1" s="1"/>
  <c r="BA778" i="1"/>
  <c r="CU778" i="1" s="1"/>
  <c r="U778" i="1"/>
  <c r="BA777" i="1"/>
  <c r="CU777" i="1" s="1"/>
  <c r="U777" i="1"/>
  <c r="BA776" i="1"/>
  <c r="CU776" i="1" s="1"/>
  <c r="U776" i="1"/>
  <c r="U775" i="1"/>
  <c r="AN775" i="1" s="1"/>
  <c r="BC775" i="1" s="1"/>
  <c r="BA774" i="1"/>
  <c r="CU774" i="1" s="1"/>
  <c r="U774" i="1"/>
  <c r="AN774" i="1" s="1"/>
  <c r="U773" i="1"/>
  <c r="AN773" i="1" s="1"/>
  <c r="BC773" i="1" s="1"/>
  <c r="U772" i="1"/>
  <c r="AN772" i="1" s="1"/>
  <c r="BC772" i="1" s="1"/>
  <c r="BA771" i="1"/>
  <c r="CU771" i="1" s="1"/>
  <c r="S771" i="1"/>
  <c r="Q771" i="1"/>
  <c r="I771" i="1"/>
  <c r="M771" i="1" s="1"/>
  <c r="U770" i="1"/>
  <c r="AN770" i="1" s="1"/>
  <c r="BC770" i="1" s="1"/>
  <c r="U769" i="1"/>
  <c r="AN769" i="1" s="1"/>
  <c r="BC769" i="1" s="1"/>
  <c r="U768" i="1"/>
  <c r="AN768" i="1" s="1"/>
  <c r="BC768" i="1" s="1"/>
  <c r="BA767" i="1"/>
  <c r="CU767" i="1" s="1"/>
  <c r="U767" i="1"/>
  <c r="AN767" i="1" s="1"/>
  <c r="U766" i="1"/>
  <c r="AN766" i="1" s="1"/>
  <c r="BC766" i="1" s="1"/>
  <c r="BA765" i="1"/>
  <c r="CU765" i="1" s="1"/>
  <c r="U765" i="1"/>
  <c r="AN765" i="1" s="1"/>
  <c r="CV764" i="1"/>
  <c r="CW764" i="1" s="1"/>
  <c r="U764" i="1"/>
  <c r="AN764" i="1" s="1"/>
  <c r="BC764" i="1" s="1"/>
  <c r="BA763" i="1"/>
  <c r="CU763" i="1" s="1"/>
  <c r="U763" i="1"/>
  <c r="BA762" i="1"/>
  <c r="CU762" i="1" s="1"/>
  <c r="U762" i="1"/>
  <c r="BA761" i="1"/>
  <c r="CU761" i="1" s="1"/>
  <c r="U761" i="1"/>
  <c r="AN761" i="1" s="1"/>
  <c r="BA760" i="1"/>
  <c r="CU760" i="1" s="1"/>
  <c r="U760" i="1"/>
  <c r="U759" i="1"/>
  <c r="AN759" i="1" s="1"/>
  <c r="BC759" i="1" s="1"/>
  <c r="BA758" i="1"/>
  <c r="CU758" i="1" s="1"/>
  <c r="U758" i="1"/>
  <c r="BA757" i="1"/>
  <c r="CU757" i="1" s="1"/>
  <c r="U757" i="1"/>
  <c r="AN757" i="1" s="1"/>
  <c r="BA756" i="1"/>
  <c r="CU756" i="1" s="1"/>
  <c r="U756" i="1"/>
  <c r="AN756" i="1" s="1"/>
  <c r="U755" i="1"/>
  <c r="AN755" i="1" s="1"/>
  <c r="BC755" i="1" s="1"/>
  <c r="U754" i="1"/>
  <c r="AN754" i="1" s="1"/>
  <c r="BC754" i="1" s="1"/>
  <c r="BA753" i="1"/>
  <c r="CU753" i="1" s="1"/>
  <c r="U753" i="1"/>
  <c r="BA752" i="1"/>
  <c r="CU752" i="1" s="1"/>
  <c r="U752" i="1"/>
  <c r="AN752" i="1" s="1"/>
  <c r="U751" i="1"/>
  <c r="AN751" i="1" s="1"/>
  <c r="BC751" i="1" s="1"/>
  <c r="U750" i="1"/>
  <c r="AN750" i="1" s="1"/>
  <c r="BC750" i="1" s="1"/>
  <c r="BA749" i="1"/>
  <c r="CU749" i="1" s="1"/>
  <c r="U749" i="1"/>
  <c r="AN749" i="1" s="1"/>
  <c r="BA748" i="1"/>
  <c r="CU748" i="1" s="1"/>
  <c r="U748" i="1"/>
  <c r="AN748" i="1" s="1"/>
  <c r="BA747" i="1"/>
  <c r="CU747" i="1" s="1"/>
  <c r="U747" i="1"/>
  <c r="AN747" i="1" s="1"/>
  <c r="BA746" i="1"/>
  <c r="CU746" i="1" s="1"/>
  <c r="U746" i="1"/>
  <c r="AN746" i="1" s="1"/>
  <c r="U745" i="1"/>
  <c r="AN745" i="1" s="1"/>
  <c r="BC745" i="1" s="1"/>
  <c r="BA744" i="1"/>
  <c r="CU744" i="1" s="1"/>
  <c r="U744" i="1"/>
  <c r="AN744" i="1" s="1"/>
  <c r="CV743" i="1"/>
  <c r="CW743" i="1" s="1"/>
  <c r="BC743" i="1"/>
  <c r="U743" i="1"/>
  <c r="BA742" i="1"/>
  <c r="CU742" i="1" s="1"/>
  <c r="U742" i="1"/>
  <c r="AN742" i="1" s="1"/>
  <c r="BA741" i="1"/>
  <c r="CU741" i="1" s="1"/>
  <c r="U741" i="1"/>
  <c r="AN741" i="1" s="1"/>
  <c r="U740" i="1"/>
  <c r="AN740" i="1" s="1"/>
  <c r="BC740" i="1" s="1"/>
  <c r="BA739" i="1"/>
  <c r="CU739" i="1" s="1"/>
  <c r="U739" i="1"/>
  <c r="AN739" i="1" s="1"/>
  <c r="BA738" i="1"/>
  <c r="CU738" i="1" s="1"/>
  <c r="U738" i="1"/>
  <c r="U737" i="1"/>
  <c r="AN737" i="1" s="1"/>
  <c r="BC737" i="1" s="1"/>
  <c r="BA736" i="1"/>
  <c r="CU736" i="1" s="1"/>
  <c r="U736" i="1"/>
  <c r="BA735" i="1"/>
  <c r="CU735" i="1" s="1"/>
  <c r="U735" i="1"/>
  <c r="BA734" i="1"/>
  <c r="CU734" i="1" s="1"/>
  <c r="U734" i="1"/>
  <c r="BA733" i="1"/>
  <c r="CU733" i="1" s="1"/>
  <c r="U733" i="1"/>
  <c r="AN733" i="1" s="1"/>
  <c r="BA732" i="1"/>
  <c r="CU732" i="1" s="1"/>
  <c r="U732" i="1"/>
  <c r="AN732" i="1" s="1"/>
  <c r="BA731" i="1"/>
  <c r="CU731" i="1" s="1"/>
  <c r="U731" i="1"/>
  <c r="BC730" i="1"/>
  <c r="U730" i="1"/>
  <c r="BA729" i="1"/>
  <c r="CU729" i="1" s="1"/>
  <c r="U729" i="1"/>
  <c r="BA728" i="1"/>
  <c r="CU728" i="1" s="1"/>
  <c r="U728" i="1"/>
  <c r="U727" i="1"/>
  <c r="AN727" i="1" s="1"/>
  <c r="BC727" i="1" s="1"/>
  <c r="U726" i="1"/>
  <c r="AN726" i="1" s="1"/>
  <c r="BC726" i="1" s="1"/>
  <c r="BA725" i="1"/>
  <c r="CU725" i="1" s="1"/>
  <c r="S725" i="1"/>
  <c r="Q725" i="1"/>
  <c r="I725" i="1"/>
  <c r="M725" i="1" s="1"/>
  <c r="BA724" i="1"/>
  <c r="CU724" i="1" s="1"/>
  <c r="U724" i="1"/>
  <c r="AN724" i="1" s="1"/>
  <c r="CV723" i="1"/>
  <c r="CW723" i="1" s="1"/>
  <c r="U723" i="1"/>
  <c r="AN723" i="1" s="1"/>
  <c r="BC723" i="1" s="1"/>
  <c r="BA722" i="1"/>
  <c r="CU722" i="1" s="1"/>
  <c r="U722" i="1"/>
  <c r="AN722" i="1" s="1"/>
  <c r="BB721" i="1"/>
  <c r="BA721" i="1"/>
  <c r="U721" i="1"/>
  <c r="AN721" i="1" s="1"/>
  <c r="U720" i="1"/>
  <c r="AN720" i="1" s="1"/>
  <c r="BC720" i="1" s="1"/>
  <c r="BA719" i="1"/>
  <c r="CU719" i="1" s="1"/>
  <c r="U719" i="1"/>
  <c r="BA718" i="1"/>
  <c r="CU718" i="1" s="1"/>
  <c r="U718" i="1"/>
  <c r="AN718" i="1" s="1"/>
  <c r="S717" i="1"/>
  <c r="Q717" i="1"/>
  <c r="I717" i="1"/>
  <c r="M717" i="1" s="1"/>
  <c r="BA716" i="1"/>
  <c r="CU716" i="1" s="1"/>
  <c r="U716" i="1"/>
  <c r="BA715" i="1"/>
  <c r="CU715" i="1" s="1"/>
  <c r="U715" i="1"/>
  <c r="BA714" i="1"/>
  <c r="CU714" i="1" s="1"/>
  <c r="U714" i="1"/>
  <c r="BA713" i="1"/>
  <c r="CU713" i="1" s="1"/>
  <c r="U713" i="1"/>
  <c r="AN713" i="1" s="1"/>
  <c r="U712" i="1"/>
  <c r="AN712" i="1" s="1"/>
  <c r="BC712" i="1" s="1"/>
  <c r="BA711" i="1"/>
  <c r="CU711" i="1" s="1"/>
  <c r="U711" i="1"/>
  <c r="AN711" i="1" s="1"/>
  <c r="BA710" i="1"/>
  <c r="CU710" i="1" s="1"/>
  <c r="U710" i="1"/>
  <c r="BA709" i="1"/>
  <c r="CU709" i="1" s="1"/>
  <c r="U709" i="1"/>
  <c r="AN709" i="1" s="1"/>
  <c r="BA708" i="1"/>
  <c r="CU708" i="1" s="1"/>
  <c r="U708" i="1"/>
  <c r="S707" i="1"/>
  <c r="Q707" i="1"/>
  <c r="I707" i="1"/>
  <c r="M707" i="1" s="1"/>
  <c r="BC706" i="1"/>
  <c r="U706" i="1"/>
  <c r="BA705" i="1"/>
  <c r="CU705" i="1" s="1"/>
  <c r="U705" i="1"/>
  <c r="AN705" i="1" s="1"/>
  <c r="BA704" i="1"/>
  <c r="CU704" i="1" s="1"/>
  <c r="S704" i="1"/>
  <c r="Q704" i="1"/>
  <c r="I704" i="1"/>
  <c r="M704" i="1" s="1"/>
  <c r="BA703" i="1"/>
  <c r="CU703" i="1" s="1"/>
  <c r="U703" i="1"/>
  <c r="U702" i="1"/>
  <c r="AN702" i="1" s="1"/>
  <c r="BC702" i="1" s="1"/>
  <c r="BA701" i="1"/>
  <c r="CU701" i="1" s="1"/>
  <c r="U701" i="1"/>
  <c r="BA700" i="1"/>
  <c r="CU700" i="1" s="1"/>
  <c r="U700" i="1"/>
  <c r="BB699" i="1"/>
  <c r="BA699" i="1"/>
  <c r="U699" i="1"/>
  <c r="AN699" i="1" s="1"/>
  <c r="BA698" i="1"/>
  <c r="CU698" i="1" s="1"/>
  <c r="U698" i="1"/>
  <c r="U697" i="1"/>
  <c r="AN697" i="1" s="1"/>
  <c r="BC697" i="1" s="1"/>
  <c r="BA696" i="1"/>
  <c r="CU696" i="1" s="1"/>
  <c r="U696" i="1"/>
  <c r="AN696" i="1" s="1"/>
  <c r="BA695" i="1"/>
  <c r="CU695" i="1" s="1"/>
  <c r="U695" i="1"/>
  <c r="BA694" i="1"/>
  <c r="CU694" i="1" s="1"/>
  <c r="U694" i="1"/>
  <c r="AN694" i="1" s="1"/>
  <c r="BA693" i="1"/>
  <c r="CU693" i="1" s="1"/>
  <c r="S693" i="1"/>
  <c r="Q693" i="1"/>
  <c r="I693" i="1"/>
  <c r="M693" i="1" s="1"/>
  <c r="U692" i="1"/>
  <c r="AN692" i="1" s="1"/>
  <c r="BC692" i="1" s="1"/>
  <c r="U691" i="1"/>
  <c r="AN691" i="1" s="1"/>
  <c r="BC691" i="1" s="1"/>
  <c r="U690" i="1"/>
  <c r="AN690" i="1" s="1"/>
  <c r="BC690" i="1" s="1"/>
  <c r="BA689" i="1"/>
  <c r="CU689" i="1" s="1"/>
  <c r="U689" i="1"/>
  <c r="U688" i="1"/>
  <c r="AN688" i="1" s="1"/>
  <c r="BC688" i="1" s="1"/>
  <c r="BA687" i="1"/>
  <c r="CU687" i="1" s="1"/>
  <c r="U687" i="1"/>
  <c r="AN687" i="1" s="1"/>
  <c r="BA686" i="1"/>
  <c r="CU686" i="1" s="1"/>
  <c r="U686" i="1"/>
  <c r="AN686" i="1" s="1"/>
  <c r="BA685" i="1"/>
  <c r="CU685" i="1" s="1"/>
  <c r="U685" i="1"/>
  <c r="U684" i="1"/>
  <c r="AN684" i="1" s="1"/>
  <c r="BC684" i="1" s="1"/>
  <c r="BB683" i="1"/>
  <c r="BA683" i="1"/>
  <c r="S683" i="1"/>
  <c r="Q683" i="1"/>
  <c r="I683" i="1"/>
  <c r="M683" i="1" s="1"/>
  <c r="U682" i="1"/>
  <c r="AN682" i="1" s="1"/>
  <c r="BC682" i="1" s="1"/>
  <c r="CV681" i="1"/>
  <c r="CW681" i="1" s="1"/>
  <c r="U681" i="1"/>
  <c r="AN681" i="1" s="1"/>
  <c r="BC681" i="1" s="1"/>
  <c r="BA680" i="1"/>
  <c r="CU680" i="1" s="1"/>
  <c r="U680" i="1"/>
  <c r="AN680" i="1" s="1"/>
  <c r="BA679" i="1"/>
  <c r="CU679" i="1" s="1"/>
  <c r="U679" i="1"/>
  <c r="U678" i="1"/>
  <c r="AN678" i="1" s="1"/>
  <c r="BC678" i="1" s="1"/>
  <c r="U677" i="1"/>
  <c r="AN677" i="1" s="1"/>
  <c r="BC677" i="1" s="1"/>
  <c r="U676" i="1"/>
  <c r="AN676" i="1" s="1"/>
  <c r="BC676" i="1" s="1"/>
  <c r="BA675" i="1"/>
  <c r="CU675" i="1" s="1"/>
  <c r="U675" i="1"/>
  <c r="AN675" i="1" s="1"/>
  <c r="U674" i="1"/>
  <c r="AN674" i="1" s="1"/>
  <c r="BC674" i="1" s="1"/>
  <c r="BA673" i="1"/>
  <c r="CU673" i="1" s="1"/>
  <c r="U673" i="1"/>
  <c r="AN673" i="1" s="1"/>
  <c r="BA672" i="1"/>
  <c r="CU672" i="1" s="1"/>
  <c r="U672" i="1"/>
  <c r="BA671" i="1"/>
  <c r="CU671" i="1" s="1"/>
  <c r="U671" i="1"/>
  <c r="BA670" i="1"/>
  <c r="CU670" i="1" s="1"/>
  <c r="U670" i="1"/>
  <c r="BA669" i="1"/>
  <c r="CU669" i="1" s="1"/>
  <c r="U669" i="1"/>
  <c r="U668" i="1"/>
  <c r="AN668" i="1" s="1"/>
  <c r="BC668" i="1" s="1"/>
  <c r="U667" i="1"/>
  <c r="AN667" i="1" s="1"/>
  <c r="BC667" i="1" s="1"/>
  <c r="BA666" i="1"/>
  <c r="CU666" i="1" s="1"/>
  <c r="U666" i="1"/>
  <c r="BA665" i="1"/>
  <c r="CU665" i="1" s="1"/>
  <c r="U665" i="1"/>
  <c r="BA664" i="1"/>
  <c r="CU664" i="1" s="1"/>
  <c r="U664" i="1"/>
  <c r="U663" i="1"/>
  <c r="AN663" i="1" s="1"/>
  <c r="BC663" i="1" s="1"/>
  <c r="U662" i="1"/>
  <c r="AN662" i="1" s="1"/>
  <c r="BC662" i="1" s="1"/>
  <c r="BA661" i="1"/>
  <c r="CU661" i="1" s="1"/>
  <c r="U661" i="1"/>
  <c r="AN661" i="1" s="1"/>
  <c r="U660" i="1"/>
  <c r="AN660" i="1" s="1"/>
  <c r="BC660" i="1" s="1"/>
  <c r="BA659" i="1"/>
  <c r="CU659" i="1" s="1"/>
  <c r="U659" i="1"/>
  <c r="AN659" i="1" s="1"/>
  <c r="BA658" i="1"/>
  <c r="CU658" i="1" s="1"/>
  <c r="U658" i="1"/>
  <c r="AN658" i="1" s="1"/>
  <c r="BA657" i="1"/>
  <c r="CU657" i="1" s="1"/>
  <c r="U657" i="1"/>
  <c r="BA656" i="1"/>
  <c r="CU656" i="1" s="1"/>
  <c r="U656" i="1"/>
  <c r="BA655" i="1"/>
  <c r="CU655" i="1" s="1"/>
  <c r="U655" i="1"/>
  <c r="U654" i="1"/>
  <c r="AN654" i="1" s="1"/>
  <c r="BC654" i="1" s="1"/>
  <c r="U653" i="1"/>
  <c r="AN653" i="1" s="1"/>
  <c r="BC653" i="1" s="1"/>
  <c r="BA652" i="1"/>
  <c r="CU652" i="1" s="1"/>
  <c r="U652" i="1"/>
  <c r="AN652" i="1" s="1"/>
  <c r="BA651" i="1"/>
  <c r="CU651" i="1" s="1"/>
  <c r="U651" i="1"/>
  <c r="AN651" i="1" s="1"/>
  <c r="U650" i="1"/>
  <c r="AN650" i="1" s="1"/>
  <c r="BC650" i="1" s="1"/>
  <c r="U649" i="1"/>
  <c r="AN649" i="1" s="1"/>
  <c r="BC649" i="1" s="1"/>
  <c r="BB648" i="1"/>
  <c r="CU648" i="1" s="1"/>
  <c r="U648" i="1"/>
  <c r="AN648" i="1" s="1"/>
  <c r="BA647" i="1"/>
  <c r="CU647" i="1" s="1"/>
  <c r="U647" i="1"/>
  <c r="U646" i="1"/>
  <c r="AN646" i="1" s="1"/>
  <c r="BC646" i="1" s="1"/>
  <c r="U645" i="1"/>
  <c r="AN645" i="1" s="1"/>
  <c r="BC645" i="1" s="1"/>
  <c r="BC644" i="1"/>
  <c r="U644" i="1"/>
  <c r="U643" i="1"/>
  <c r="AN643" i="1" s="1"/>
  <c r="BC643" i="1" s="1"/>
  <c r="U642" i="1"/>
  <c r="AN642" i="1" s="1"/>
  <c r="BC642" i="1" s="1"/>
  <c r="U641" i="1"/>
  <c r="AN641" i="1" s="1"/>
  <c r="BC641" i="1" s="1"/>
  <c r="U640" i="1"/>
  <c r="AN640" i="1" s="1"/>
  <c r="BC640" i="1" s="1"/>
  <c r="U639" i="1"/>
  <c r="AN639" i="1" s="1"/>
  <c r="BC639" i="1" s="1"/>
  <c r="U638" i="1"/>
  <c r="AN638" i="1" s="1"/>
  <c r="BC638" i="1" s="1"/>
  <c r="U637" i="1"/>
  <c r="AN637" i="1" s="1"/>
  <c r="BC637" i="1" s="1"/>
  <c r="BA636" i="1"/>
  <c r="CU636" i="1" s="1"/>
  <c r="U636" i="1"/>
  <c r="BA635" i="1"/>
  <c r="CU635" i="1" s="1"/>
  <c r="U635" i="1"/>
  <c r="AN635" i="1" s="1"/>
  <c r="BA634" i="1"/>
  <c r="CU634" i="1" s="1"/>
  <c r="U634" i="1"/>
  <c r="BA633" i="1"/>
  <c r="CU633" i="1" s="1"/>
  <c r="U633" i="1"/>
  <c r="BA632" i="1"/>
  <c r="CU632" i="1" s="1"/>
  <c r="U632" i="1"/>
  <c r="U631" i="1"/>
  <c r="AN631" i="1" s="1"/>
  <c r="BC631" i="1" s="1"/>
  <c r="U630" i="1"/>
  <c r="AN630" i="1" s="1"/>
  <c r="BC630" i="1" s="1"/>
  <c r="BA629" i="1"/>
  <c r="CU629" i="1" s="1"/>
  <c r="U629" i="1"/>
  <c r="BA628" i="1"/>
  <c r="CU628" i="1" s="1"/>
  <c r="U628" i="1"/>
  <c r="BA627" i="1"/>
  <c r="CU627" i="1" s="1"/>
  <c r="U627" i="1"/>
  <c r="BB626" i="1"/>
  <c r="CU626" i="1" s="1"/>
  <c r="U626" i="1"/>
  <c r="AN626" i="1" s="1"/>
  <c r="BA625" i="1"/>
  <c r="CU625" i="1" s="1"/>
  <c r="U625" i="1"/>
  <c r="BB624" i="1"/>
  <c r="BA624" i="1"/>
  <c r="S624" i="1"/>
  <c r="Q624" i="1"/>
  <c r="I624" i="1"/>
  <c r="M624" i="1" s="1"/>
  <c r="BA623" i="1"/>
  <c r="CU623" i="1" s="1"/>
  <c r="S623" i="1"/>
  <c r="Q623" i="1"/>
  <c r="I623" i="1"/>
  <c r="M623" i="1" s="1"/>
  <c r="U623" i="1" s="1"/>
  <c r="AC623" i="1" s="1"/>
  <c r="AN623" i="1" s="1"/>
  <c r="U622" i="1"/>
  <c r="AN622" i="1" s="1"/>
  <c r="BC622" i="1" s="1"/>
  <c r="U621" i="1"/>
  <c r="AN621" i="1" s="1"/>
  <c r="BC621" i="1" s="1"/>
  <c r="BA620" i="1"/>
  <c r="CU620" i="1" s="1"/>
  <c r="S620" i="1"/>
  <c r="Q620" i="1"/>
  <c r="I620" i="1"/>
  <c r="M620" i="1" s="1"/>
  <c r="BA619" i="1"/>
  <c r="CU619" i="1" s="1"/>
  <c r="U619" i="1"/>
  <c r="AN619" i="1" s="1"/>
  <c r="U618" i="1"/>
  <c r="AN618" i="1" s="1"/>
  <c r="BC618" i="1" s="1"/>
  <c r="BA617" i="1"/>
  <c r="CU617" i="1" s="1"/>
  <c r="U617" i="1"/>
  <c r="AN617" i="1" s="1"/>
  <c r="BA616" i="1"/>
  <c r="CU616" i="1" s="1"/>
  <c r="U616" i="1"/>
  <c r="AN616" i="1" s="1"/>
  <c r="U615" i="1"/>
  <c r="AN615" i="1" s="1"/>
  <c r="BC615" i="1" s="1"/>
  <c r="U614" i="1"/>
  <c r="AN614" i="1" s="1"/>
  <c r="BC614" i="1" s="1"/>
  <c r="BB613" i="1"/>
  <c r="CU613" i="1" s="1"/>
  <c r="S613" i="1"/>
  <c r="Q613" i="1"/>
  <c r="I613" i="1"/>
  <c r="M613" i="1" s="1"/>
  <c r="BA612" i="1"/>
  <c r="CU612" i="1" s="1"/>
  <c r="U612" i="1"/>
  <c r="AN612" i="1" s="1"/>
  <c r="U611" i="1"/>
  <c r="AN611" i="1" s="1"/>
  <c r="BC611" i="1" s="1"/>
  <c r="CV610" i="1"/>
  <c r="CW610" i="1" s="1"/>
  <c r="BC610" i="1"/>
  <c r="U610" i="1"/>
  <c r="BA609" i="1"/>
  <c r="CU609" i="1" s="1"/>
  <c r="U609" i="1"/>
  <c r="BA608" i="1"/>
  <c r="CU608" i="1" s="1"/>
  <c r="U608" i="1"/>
  <c r="AN608" i="1" s="1"/>
  <c r="BA607" i="1"/>
  <c r="CU607" i="1" s="1"/>
  <c r="U607" i="1"/>
  <c r="AN607" i="1" s="1"/>
  <c r="BA606" i="1"/>
  <c r="CU606" i="1" s="1"/>
  <c r="U606" i="1"/>
  <c r="BB605" i="1"/>
  <c r="BA605" i="1"/>
  <c r="U605" i="1"/>
  <c r="AN605" i="1" s="1"/>
  <c r="U604" i="1"/>
  <c r="AN604" i="1" s="1"/>
  <c r="BC604" i="1" s="1"/>
  <c r="BA603" i="1"/>
  <c r="CU603" i="1" s="1"/>
  <c r="U603" i="1"/>
  <c r="AN603" i="1" s="1"/>
  <c r="BA602" i="1"/>
  <c r="CU602" i="1" s="1"/>
  <c r="U602" i="1"/>
  <c r="BA601" i="1"/>
  <c r="CU601" i="1" s="1"/>
  <c r="U601" i="1"/>
  <c r="AN601" i="1" s="1"/>
  <c r="U600" i="1"/>
  <c r="AN600" i="1" s="1"/>
  <c r="BC600" i="1" s="1"/>
  <c r="BA599" i="1"/>
  <c r="CU599" i="1" s="1"/>
  <c r="U599" i="1"/>
  <c r="BA598" i="1"/>
  <c r="CU598" i="1" s="1"/>
  <c r="U598" i="1"/>
  <c r="AN598" i="1" s="1"/>
  <c r="U597" i="1"/>
  <c r="AN597" i="1" s="1"/>
  <c r="BC597" i="1" s="1"/>
  <c r="BA596" i="1"/>
  <c r="CU596" i="1" s="1"/>
  <c r="U596" i="1"/>
  <c r="U595" i="1"/>
  <c r="AN595" i="1" s="1"/>
  <c r="BC595" i="1" s="1"/>
  <c r="BA594" i="1"/>
  <c r="CU594" i="1" s="1"/>
  <c r="U594" i="1"/>
  <c r="AN594" i="1" s="1"/>
  <c r="BA593" i="1"/>
  <c r="CU593" i="1" s="1"/>
  <c r="U593" i="1"/>
  <c r="U592" i="1"/>
  <c r="AN592" i="1" s="1"/>
  <c r="BC592" i="1" s="1"/>
  <c r="U591" i="1"/>
  <c r="AN591" i="1" s="1"/>
  <c r="BC591" i="1" s="1"/>
  <c r="U590" i="1"/>
  <c r="AN590" i="1" s="1"/>
  <c r="BC590" i="1" s="1"/>
  <c r="U589" i="1"/>
  <c r="AN589" i="1" s="1"/>
  <c r="BC589" i="1" s="1"/>
  <c r="U588" i="1"/>
  <c r="AN588" i="1" s="1"/>
  <c r="BC588" i="1" s="1"/>
  <c r="BB587" i="1"/>
  <c r="BA587" i="1"/>
  <c r="S587" i="1"/>
  <c r="Q587" i="1"/>
  <c r="I587" i="1"/>
  <c r="M587" i="1" s="1"/>
  <c r="U586" i="1"/>
  <c r="AN586" i="1" s="1"/>
  <c r="BC586" i="1" s="1"/>
  <c r="U585" i="1"/>
  <c r="AN585" i="1" s="1"/>
  <c r="BC585" i="1" s="1"/>
  <c r="U584" i="1"/>
  <c r="AN584" i="1" s="1"/>
  <c r="BC584" i="1" s="1"/>
  <c r="U583" i="1"/>
  <c r="AN583" i="1" s="1"/>
  <c r="BC583" i="1" s="1"/>
  <c r="U582" i="1"/>
  <c r="AN582" i="1" s="1"/>
  <c r="BC582" i="1" s="1"/>
  <c r="U581" i="1"/>
  <c r="AN581" i="1" s="1"/>
  <c r="BC581" i="1" s="1"/>
  <c r="BA580" i="1"/>
  <c r="CU580" i="1" s="1"/>
  <c r="U580" i="1"/>
  <c r="AN580" i="1" s="1"/>
  <c r="BA579" i="1"/>
  <c r="CU579" i="1" s="1"/>
  <c r="U579" i="1"/>
  <c r="AN579" i="1" s="1"/>
  <c r="BA578" i="1"/>
  <c r="CU578" i="1" s="1"/>
  <c r="U578" i="1"/>
  <c r="AN578" i="1" s="1"/>
  <c r="U577" i="1"/>
  <c r="AN577" i="1" s="1"/>
  <c r="BC577" i="1" s="1"/>
  <c r="CV576" i="1"/>
  <c r="CW576" i="1" s="1"/>
  <c r="U576" i="1"/>
  <c r="AN576" i="1" s="1"/>
  <c r="BC576" i="1" s="1"/>
  <c r="U575" i="1"/>
  <c r="AN575" i="1" s="1"/>
  <c r="BC575" i="1" s="1"/>
  <c r="U574" i="1"/>
  <c r="AN574" i="1" s="1"/>
  <c r="BC574" i="1" s="1"/>
  <c r="S573" i="1"/>
  <c r="Q573" i="1"/>
  <c r="I573" i="1"/>
  <c r="M573" i="1" s="1"/>
  <c r="BA572" i="1"/>
  <c r="CU572" i="1" s="1"/>
  <c r="U572" i="1"/>
  <c r="AN572" i="1" s="1"/>
  <c r="BA571" i="1"/>
  <c r="CU571" i="1" s="1"/>
  <c r="U571" i="1"/>
  <c r="BA570" i="1"/>
  <c r="CU570" i="1" s="1"/>
  <c r="U570" i="1"/>
  <c r="AN570" i="1" s="1"/>
  <c r="BA569" i="1"/>
  <c r="CU569" i="1" s="1"/>
  <c r="U569" i="1"/>
  <c r="AN569" i="1" s="1"/>
  <c r="BA568" i="1"/>
  <c r="CU568" i="1" s="1"/>
  <c r="U568" i="1"/>
  <c r="S567" i="1"/>
  <c r="Q567" i="1"/>
  <c r="M567" i="1"/>
  <c r="U566" i="1"/>
  <c r="AN566" i="1" s="1"/>
  <c r="BC566" i="1" s="1"/>
  <c r="BA565" i="1"/>
  <c r="CU565" i="1" s="1"/>
  <c r="U565" i="1"/>
  <c r="BA564" i="1"/>
  <c r="CU564" i="1" s="1"/>
  <c r="S564" i="1"/>
  <c r="Q564" i="1"/>
  <c r="I564" i="1"/>
  <c r="M564" i="1" s="1"/>
  <c r="BA563" i="1"/>
  <c r="CU563" i="1" s="1"/>
  <c r="U563" i="1"/>
  <c r="AN563" i="1" s="1"/>
  <c r="BA562" i="1"/>
  <c r="CU562" i="1" s="1"/>
  <c r="U562" i="1"/>
  <c r="BB561" i="1"/>
  <c r="BA561" i="1"/>
  <c r="S561" i="1"/>
  <c r="Q561" i="1"/>
  <c r="I561" i="1"/>
  <c r="M561" i="1" s="1"/>
  <c r="CV560" i="1"/>
  <c r="CW560" i="1" s="1"/>
  <c r="U560" i="1"/>
  <c r="AN560" i="1" s="1"/>
  <c r="BC560" i="1" s="1"/>
  <c r="U559" i="1"/>
  <c r="AN559" i="1" s="1"/>
  <c r="BC559" i="1" s="1"/>
  <c r="BA558" i="1"/>
  <c r="CU558" i="1" s="1"/>
  <c r="U558" i="1"/>
  <c r="BA557" i="1"/>
  <c r="CU557" i="1" s="1"/>
  <c r="U557" i="1"/>
  <c r="BA556" i="1"/>
  <c r="CU556" i="1" s="1"/>
  <c r="U556" i="1"/>
  <c r="BA555" i="1"/>
  <c r="CU555" i="1" s="1"/>
  <c r="U555" i="1"/>
  <c r="AN555" i="1" s="1"/>
  <c r="BA554" i="1"/>
  <c r="CU554" i="1" s="1"/>
  <c r="U554" i="1"/>
  <c r="BA553" i="1"/>
  <c r="CU553" i="1" s="1"/>
  <c r="U553" i="1"/>
  <c r="AN553" i="1" s="1"/>
  <c r="BA552" i="1"/>
  <c r="CU552" i="1" s="1"/>
  <c r="U552" i="1"/>
  <c r="AN552" i="1" s="1"/>
  <c r="BA551" i="1"/>
  <c r="CU551" i="1" s="1"/>
  <c r="U551" i="1"/>
  <c r="U550" i="1"/>
  <c r="AN550" i="1" s="1"/>
  <c r="BC550" i="1" s="1"/>
  <c r="BA549" i="1"/>
  <c r="CU549" i="1" s="1"/>
  <c r="U549" i="1"/>
  <c r="AN549" i="1" s="1"/>
  <c r="S548" i="1"/>
  <c r="Q548" i="1"/>
  <c r="I548" i="1"/>
  <c r="M548" i="1" s="1"/>
  <c r="BA547" i="1"/>
  <c r="CU547" i="1" s="1"/>
  <c r="U547" i="1"/>
  <c r="U546" i="1"/>
  <c r="AN546" i="1" s="1"/>
  <c r="BC546" i="1" s="1"/>
  <c r="U545" i="1"/>
  <c r="AN545" i="1" s="1"/>
  <c r="BC545" i="1" s="1"/>
  <c r="BA544" i="1"/>
  <c r="CU544" i="1" s="1"/>
  <c r="U544" i="1"/>
  <c r="BA543" i="1"/>
  <c r="CU543" i="1" s="1"/>
  <c r="U543" i="1"/>
  <c r="U542" i="1"/>
  <c r="AN542" i="1" s="1"/>
  <c r="BC542" i="1" s="1"/>
  <c r="BB541" i="1"/>
  <c r="CU541" i="1" s="1"/>
  <c r="U541" i="1"/>
  <c r="AN541" i="1" s="1"/>
  <c r="U540" i="1"/>
  <c r="AN540" i="1" s="1"/>
  <c r="BC540" i="1" s="1"/>
  <c r="CV539" i="1"/>
  <c r="CW539" i="1" s="1"/>
  <c r="U539" i="1"/>
  <c r="AN539" i="1" s="1"/>
  <c r="BC539" i="1" s="1"/>
  <c r="BA538" i="1"/>
  <c r="CU538" i="1" s="1"/>
  <c r="U538" i="1"/>
  <c r="AN538" i="1" s="1"/>
  <c r="BA537" i="1"/>
  <c r="CU537" i="1" s="1"/>
  <c r="U537" i="1"/>
  <c r="AN537" i="1" s="1"/>
  <c r="BA536" i="1"/>
  <c r="CU536" i="1" s="1"/>
  <c r="U536" i="1"/>
  <c r="BA535" i="1"/>
  <c r="CU535" i="1" s="1"/>
  <c r="U535" i="1"/>
  <c r="BA534" i="1"/>
  <c r="CU534" i="1" s="1"/>
  <c r="U534" i="1"/>
  <c r="BA533" i="1"/>
  <c r="CU533" i="1" s="1"/>
  <c r="U533" i="1"/>
  <c r="U532" i="1"/>
  <c r="AN532" i="1" s="1"/>
  <c r="BC532" i="1" s="1"/>
  <c r="U531" i="1"/>
  <c r="AN531" i="1" s="1"/>
  <c r="BC531" i="1" s="1"/>
  <c r="BA530" i="1"/>
  <c r="CU530" i="1" s="1"/>
  <c r="U530" i="1"/>
  <c r="CV529" i="1"/>
  <c r="CW529" i="1" s="1"/>
  <c r="U529" i="1"/>
  <c r="AN529" i="1" s="1"/>
  <c r="BC529" i="1" s="1"/>
  <c r="BA528" i="1"/>
  <c r="CU528" i="1" s="1"/>
  <c r="U528" i="1"/>
  <c r="BA527" i="1"/>
  <c r="CU527" i="1" s="1"/>
  <c r="U527" i="1"/>
  <c r="U526" i="1"/>
  <c r="AN526" i="1" s="1"/>
  <c r="BC526" i="1" s="1"/>
  <c r="U525" i="1"/>
  <c r="AN525" i="1" s="1"/>
  <c r="BC525" i="1" s="1"/>
  <c r="BA524" i="1"/>
  <c r="CU524" i="1" s="1"/>
  <c r="U524" i="1"/>
  <c r="BA523" i="1"/>
  <c r="CU523" i="1" s="1"/>
  <c r="U523" i="1"/>
  <c r="AN523" i="1" s="1"/>
  <c r="U522" i="1"/>
  <c r="AN522" i="1" s="1"/>
  <c r="BC522" i="1" s="1"/>
  <c r="BA521" i="1"/>
  <c r="CU521" i="1" s="1"/>
  <c r="U521" i="1"/>
  <c r="BA520" i="1"/>
  <c r="CU520" i="1" s="1"/>
  <c r="U520" i="1"/>
  <c r="AN520" i="1" s="1"/>
  <c r="BA519" i="1"/>
  <c r="CU519" i="1" s="1"/>
  <c r="U519" i="1"/>
  <c r="AN519" i="1" s="1"/>
  <c r="U518" i="1"/>
  <c r="AN518" i="1" s="1"/>
  <c r="BC518" i="1" s="1"/>
  <c r="BA517" i="1"/>
  <c r="CU517" i="1" s="1"/>
  <c r="U517" i="1"/>
  <c r="BA516" i="1"/>
  <c r="CU516" i="1" s="1"/>
  <c r="U516" i="1"/>
  <c r="AN516" i="1" s="1"/>
  <c r="BA515" i="1"/>
  <c r="CU515" i="1" s="1"/>
  <c r="U515" i="1"/>
  <c r="AN515" i="1" s="1"/>
  <c r="BA514" i="1"/>
  <c r="CU514" i="1" s="1"/>
  <c r="U514" i="1"/>
  <c r="AN514" i="1" s="1"/>
  <c r="U513" i="1"/>
  <c r="AN513" i="1" s="1"/>
  <c r="BC513" i="1" s="1"/>
  <c r="BA512" i="1"/>
  <c r="CU512" i="1" s="1"/>
  <c r="U512" i="1"/>
  <c r="BA511" i="1"/>
  <c r="CU511" i="1" s="1"/>
  <c r="U511" i="1"/>
  <c r="AN511" i="1" s="1"/>
  <c r="CV510" i="1"/>
  <c r="CW510" i="1" s="1"/>
  <c r="U510" i="1"/>
  <c r="AN510" i="1" s="1"/>
  <c r="BC510" i="1" s="1"/>
  <c r="BA509" i="1"/>
  <c r="CU509" i="1" s="1"/>
  <c r="U509" i="1"/>
  <c r="AN509" i="1" s="1"/>
  <c r="U508" i="1"/>
  <c r="AN508" i="1" s="1"/>
  <c r="BC508" i="1" s="1"/>
  <c r="BB507" i="1"/>
  <c r="CU507" i="1" s="1"/>
  <c r="U507" i="1"/>
  <c r="AN507" i="1" s="1"/>
  <c r="U506" i="1"/>
  <c r="AN506" i="1" s="1"/>
  <c r="BC506" i="1" s="1"/>
  <c r="CV505" i="1"/>
  <c r="CW505" i="1" s="1"/>
  <c r="U505" i="1"/>
  <c r="AN505" i="1" s="1"/>
  <c r="BC505" i="1" s="1"/>
  <c r="BA504" i="1"/>
  <c r="CU504" i="1" s="1"/>
  <c r="U504" i="1"/>
  <c r="BA503" i="1"/>
  <c r="CU503" i="1" s="1"/>
  <c r="U503" i="1"/>
  <c r="BA502" i="1"/>
  <c r="CU502" i="1" s="1"/>
  <c r="U502" i="1"/>
  <c r="U501" i="1"/>
  <c r="AN501" i="1" s="1"/>
  <c r="BC501" i="1" s="1"/>
  <c r="U500" i="1"/>
  <c r="AN500" i="1" s="1"/>
  <c r="BC500" i="1" s="1"/>
  <c r="BA499" i="1"/>
  <c r="CU499" i="1" s="1"/>
  <c r="U499" i="1"/>
  <c r="BA498" i="1"/>
  <c r="CU498" i="1" s="1"/>
  <c r="U498" i="1"/>
  <c r="AN498" i="1" s="1"/>
  <c r="BA497" i="1"/>
  <c r="CU497" i="1" s="1"/>
  <c r="U497" i="1"/>
  <c r="AN497" i="1" s="1"/>
  <c r="BA496" i="1"/>
  <c r="CU496" i="1" s="1"/>
  <c r="U496" i="1"/>
  <c r="BA495" i="1"/>
  <c r="CU495" i="1" s="1"/>
  <c r="U495" i="1"/>
  <c r="BB494" i="1"/>
  <c r="BA494" i="1"/>
  <c r="U494" i="1"/>
  <c r="AN494" i="1" s="1"/>
  <c r="BA493" i="1"/>
  <c r="CU493" i="1" s="1"/>
  <c r="U493" i="1"/>
  <c r="U492" i="1"/>
  <c r="AN492" i="1" s="1"/>
  <c r="BC492" i="1" s="1"/>
  <c r="BA491" i="1"/>
  <c r="CU491" i="1" s="1"/>
  <c r="U491" i="1"/>
  <c r="BA490" i="1"/>
  <c r="CU490" i="1" s="1"/>
  <c r="U490" i="1"/>
  <c r="BB489" i="1"/>
  <c r="CU489" i="1" s="1"/>
  <c r="U489" i="1"/>
  <c r="AN489" i="1" s="1"/>
  <c r="U488" i="1"/>
  <c r="AN488" i="1" s="1"/>
  <c r="BC488" i="1" s="1"/>
  <c r="CV487" i="1"/>
  <c r="CW487" i="1" s="1"/>
  <c r="U487" i="1"/>
  <c r="AN487" i="1" s="1"/>
  <c r="BC487" i="1" s="1"/>
  <c r="BA486" i="1"/>
  <c r="CU486" i="1" s="1"/>
  <c r="U486" i="1"/>
  <c r="AN486" i="1" s="1"/>
  <c r="BA485" i="1"/>
  <c r="CU485" i="1" s="1"/>
  <c r="U485" i="1"/>
  <c r="BA484" i="1"/>
  <c r="CU484" i="1" s="1"/>
  <c r="U484" i="1"/>
  <c r="U483" i="1"/>
  <c r="AN483" i="1" s="1"/>
  <c r="BC483" i="1" s="1"/>
  <c r="BA482" i="1"/>
  <c r="CU482" i="1" s="1"/>
  <c r="U482" i="1"/>
  <c r="BA481" i="1"/>
  <c r="CU481" i="1" s="1"/>
  <c r="U481" i="1"/>
  <c r="AN481" i="1" s="1"/>
  <c r="BA480" i="1"/>
  <c r="CU480" i="1" s="1"/>
  <c r="U480" i="1"/>
  <c r="U479" i="1"/>
  <c r="AN479" i="1" s="1"/>
  <c r="BC479" i="1" s="1"/>
  <c r="BA478" i="1"/>
  <c r="CU478" i="1" s="1"/>
  <c r="S478" i="1"/>
  <c r="Q478" i="1"/>
  <c r="I478" i="1"/>
  <c r="M478" i="1" s="1"/>
  <c r="U478" i="1" s="1"/>
  <c r="AC478" i="1" s="1"/>
  <c r="AN478" i="1" s="1"/>
  <c r="BC477" i="1"/>
  <c r="U477" i="1"/>
  <c r="BA476" i="1"/>
  <c r="CU476" i="1" s="1"/>
  <c r="U476" i="1"/>
  <c r="BA475" i="1"/>
  <c r="CU475" i="1" s="1"/>
  <c r="U475" i="1"/>
  <c r="U474" i="1"/>
  <c r="AN474" i="1" s="1"/>
  <c r="BC474" i="1" s="1"/>
  <c r="BB473" i="1"/>
  <c r="CU473" i="1" s="1"/>
  <c r="S473" i="1"/>
  <c r="Q473" i="1"/>
  <c r="I473" i="1"/>
  <c r="M473" i="1" s="1"/>
  <c r="BA472" i="1"/>
  <c r="CU472" i="1" s="1"/>
  <c r="U472" i="1"/>
  <c r="AN472" i="1" s="1"/>
  <c r="BA471" i="1"/>
  <c r="CU471" i="1" s="1"/>
  <c r="U471" i="1"/>
  <c r="AN471" i="1" s="1"/>
  <c r="BA470" i="1"/>
  <c r="CU470" i="1" s="1"/>
  <c r="S470" i="1"/>
  <c r="Q470" i="1"/>
  <c r="I470" i="1"/>
  <c r="M470" i="1" s="1"/>
  <c r="BA469" i="1"/>
  <c r="CU469" i="1" s="1"/>
  <c r="U469" i="1"/>
  <c r="BA468" i="1"/>
  <c r="CU468" i="1" s="1"/>
  <c r="U468" i="1"/>
  <c r="CV467" i="1"/>
  <c r="CW467" i="1" s="1"/>
  <c r="U467" i="1"/>
  <c r="AN467" i="1" s="1"/>
  <c r="BC467" i="1" s="1"/>
  <c r="BA466" i="1"/>
  <c r="CU466" i="1" s="1"/>
  <c r="U466" i="1"/>
  <c r="AN466" i="1" s="1"/>
  <c r="BA465" i="1"/>
  <c r="CU465" i="1" s="1"/>
  <c r="U465" i="1"/>
  <c r="BB464" i="1"/>
  <c r="CU464" i="1" s="1"/>
  <c r="S464" i="1"/>
  <c r="Q464" i="1"/>
  <c r="I464" i="1"/>
  <c r="M464" i="1" s="1"/>
  <c r="U463" i="1"/>
  <c r="AN463" i="1" s="1"/>
  <c r="BC463" i="1" s="1"/>
  <c r="BA462" i="1"/>
  <c r="CU462" i="1" s="1"/>
  <c r="U462" i="1"/>
  <c r="U461" i="1"/>
  <c r="AN461" i="1" s="1"/>
  <c r="BC461" i="1" s="1"/>
  <c r="BA460" i="1"/>
  <c r="CU460" i="1" s="1"/>
  <c r="U460" i="1"/>
  <c r="AN460" i="1" s="1"/>
  <c r="BA459" i="1"/>
  <c r="CU459" i="1" s="1"/>
  <c r="U459" i="1"/>
  <c r="BA458" i="1"/>
  <c r="CU458" i="1" s="1"/>
  <c r="U458" i="1"/>
  <c r="BA457" i="1"/>
  <c r="CU457" i="1" s="1"/>
  <c r="U457" i="1"/>
  <c r="U456" i="1"/>
  <c r="AN456" i="1" s="1"/>
  <c r="BC456" i="1" s="1"/>
  <c r="BA455" i="1"/>
  <c r="CU455" i="1" s="1"/>
  <c r="U455" i="1"/>
  <c r="AN455" i="1" s="1"/>
  <c r="BA454" i="1"/>
  <c r="CU454" i="1" s="1"/>
  <c r="U454" i="1"/>
  <c r="AN454" i="1" s="1"/>
  <c r="U453" i="1"/>
  <c r="AN453" i="1" s="1"/>
  <c r="BC453" i="1" s="1"/>
  <c r="U452" i="1"/>
  <c r="AN452" i="1" s="1"/>
  <c r="BC452" i="1" s="1"/>
  <c r="BA451" i="1"/>
  <c r="CU451" i="1" s="1"/>
  <c r="U451" i="1"/>
  <c r="BA450" i="1"/>
  <c r="CU450" i="1" s="1"/>
  <c r="U450" i="1"/>
  <c r="BA449" i="1"/>
  <c r="CU449" i="1" s="1"/>
  <c r="U449" i="1"/>
  <c r="U448" i="1"/>
  <c r="AN448" i="1" s="1"/>
  <c r="BC448" i="1" s="1"/>
  <c r="BA447" i="1"/>
  <c r="CU447" i="1" s="1"/>
  <c r="U447" i="1"/>
  <c r="CV446" i="1"/>
  <c r="CW446" i="1" s="1"/>
  <c r="U446" i="1"/>
  <c r="AN446" i="1" s="1"/>
  <c r="BC446" i="1" s="1"/>
  <c r="BA445" i="1"/>
  <c r="CU445" i="1" s="1"/>
  <c r="U445" i="1"/>
  <c r="BA444" i="1"/>
  <c r="CU444" i="1" s="1"/>
  <c r="U444" i="1"/>
  <c r="AN444" i="1" s="1"/>
  <c r="BA443" i="1"/>
  <c r="CU443" i="1" s="1"/>
  <c r="U443" i="1"/>
  <c r="CV442" i="1"/>
  <c r="CW442" i="1" s="1"/>
  <c r="U442" i="1"/>
  <c r="AN442" i="1" s="1"/>
  <c r="BC442" i="1" s="1"/>
  <c r="U441" i="1"/>
  <c r="AN441" i="1" s="1"/>
  <c r="BC441" i="1" s="1"/>
  <c r="BA440" i="1"/>
  <c r="CU440" i="1" s="1"/>
  <c r="U440" i="1"/>
  <c r="CV439" i="1"/>
  <c r="CW439" i="1" s="1"/>
  <c r="U439" i="1"/>
  <c r="AN439" i="1" s="1"/>
  <c r="BC439" i="1" s="1"/>
  <c r="BA438" i="1"/>
  <c r="CU438" i="1" s="1"/>
  <c r="U438" i="1"/>
  <c r="AN438" i="1" s="1"/>
  <c r="BA437" i="1"/>
  <c r="CU437" i="1" s="1"/>
  <c r="U437" i="1"/>
  <c r="U436" i="1"/>
  <c r="AN436" i="1" s="1"/>
  <c r="BC436" i="1" s="1"/>
  <c r="BA435" i="1"/>
  <c r="CU435" i="1" s="1"/>
  <c r="U435" i="1"/>
  <c r="AN435" i="1" s="1"/>
  <c r="U434" i="1"/>
  <c r="AN434" i="1" s="1"/>
  <c r="BC434" i="1" s="1"/>
  <c r="U433" i="1"/>
  <c r="AN433" i="1" s="1"/>
  <c r="BC433" i="1" s="1"/>
  <c r="BA432" i="1"/>
  <c r="CU432" i="1" s="1"/>
  <c r="U432" i="1"/>
  <c r="AN432" i="1" s="1"/>
  <c r="U431" i="1"/>
  <c r="AN431" i="1" s="1"/>
  <c r="BC431" i="1" s="1"/>
  <c r="BA430" i="1"/>
  <c r="CU430" i="1" s="1"/>
  <c r="U430" i="1"/>
  <c r="AN430" i="1" s="1"/>
  <c r="U429" i="1"/>
  <c r="AN429" i="1" s="1"/>
  <c r="BC429" i="1" s="1"/>
  <c r="BA428" i="1"/>
  <c r="CU428" i="1" s="1"/>
  <c r="U428" i="1"/>
  <c r="BA427" i="1"/>
  <c r="CU427" i="1" s="1"/>
  <c r="U427" i="1"/>
  <c r="BA426" i="1"/>
  <c r="CU426" i="1" s="1"/>
  <c r="U426" i="1"/>
  <c r="BA425" i="1"/>
  <c r="CU425" i="1" s="1"/>
  <c r="U425" i="1"/>
  <c r="AN425" i="1" s="1"/>
  <c r="U424" i="1"/>
  <c r="AN424" i="1" s="1"/>
  <c r="BC424" i="1" s="1"/>
  <c r="BA423" i="1"/>
  <c r="CU423" i="1" s="1"/>
  <c r="U423" i="1"/>
  <c r="AN423" i="1" s="1"/>
  <c r="BA422" i="1"/>
  <c r="CU422" i="1" s="1"/>
  <c r="U422" i="1"/>
  <c r="BA421" i="1"/>
  <c r="CU421" i="1" s="1"/>
  <c r="U421" i="1"/>
  <c r="BA420" i="1"/>
  <c r="CU420" i="1" s="1"/>
  <c r="U420" i="1"/>
  <c r="BA419" i="1"/>
  <c r="CU419" i="1" s="1"/>
  <c r="U419" i="1"/>
  <c r="U418" i="1"/>
  <c r="AN418" i="1" s="1"/>
  <c r="BC418" i="1" s="1"/>
  <c r="U417" i="1"/>
  <c r="AN417" i="1" s="1"/>
  <c r="BC417" i="1" s="1"/>
  <c r="U416" i="1"/>
  <c r="AN416" i="1" s="1"/>
  <c r="BC416" i="1" s="1"/>
  <c r="BA415" i="1"/>
  <c r="CU415" i="1" s="1"/>
  <c r="U415" i="1"/>
  <c r="AN415" i="1" s="1"/>
  <c r="BA414" i="1"/>
  <c r="CU414" i="1" s="1"/>
  <c r="U414" i="1"/>
  <c r="BA413" i="1"/>
  <c r="CU413" i="1" s="1"/>
  <c r="U413" i="1"/>
  <c r="BA412" i="1"/>
  <c r="CU412" i="1" s="1"/>
  <c r="S412" i="1"/>
  <c r="Q412" i="1"/>
  <c r="I412" i="1"/>
  <c r="M412" i="1" s="1"/>
  <c r="BA411" i="1"/>
  <c r="CU411" i="1" s="1"/>
  <c r="U411" i="1"/>
  <c r="AN411" i="1" s="1"/>
  <c r="S410" i="1"/>
  <c r="Q410" i="1"/>
  <c r="I410" i="1"/>
  <c r="M410" i="1" s="1"/>
  <c r="U410" i="1" s="1"/>
  <c r="AC410" i="1" s="1"/>
  <c r="AN410" i="1" s="1"/>
  <c r="BC410" i="1" s="1"/>
  <c r="BA409" i="1"/>
  <c r="CU409" i="1" s="1"/>
  <c r="U409" i="1"/>
  <c r="U408" i="1"/>
  <c r="AN408" i="1" s="1"/>
  <c r="BC408" i="1" s="1"/>
  <c r="BA407" i="1"/>
  <c r="CU407" i="1" s="1"/>
  <c r="U407" i="1"/>
  <c r="U406" i="1"/>
  <c r="AN406" i="1" s="1"/>
  <c r="BC406" i="1" s="1"/>
  <c r="U405" i="1"/>
  <c r="AN405" i="1" s="1"/>
  <c r="BC405" i="1" s="1"/>
  <c r="BA404" i="1"/>
  <c r="CU404" i="1" s="1"/>
  <c r="U404" i="1"/>
  <c r="BA403" i="1"/>
  <c r="CU403" i="1" s="1"/>
  <c r="U403" i="1"/>
  <c r="BA402" i="1"/>
  <c r="CU402" i="1" s="1"/>
  <c r="U402" i="1"/>
  <c r="BA401" i="1"/>
  <c r="CU401" i="1" s="1"/>
  <c r="U401" i="1"/>
  <c r="AN401" i="1" s="1"/>
  <c r="CV400" i="1"/>
  <c r="CW400" i="1" s="1"/>
  <c r="U400" i="1"/>
  <c r="AN400" i="1" s="1"/>
  <c r="BC400" i="1" s="1"/>
  <c r="BA399" i="1"/>
  <c r="CU399" i="1" s="1"/>
  <c r="U399" i="1"/>
  <c r="AN399" i="1" s="1"/>
  <c r="U398" i="1"/>
  <c r="AN398" i="1" s="1"/>
  <c r="BC398" i="1" s="1"/>
  <c r="BA397" i="1"/>
  <c r="CU397" i="1" s="1"/>
  <c r="U397" i="1"/>
  <c r="AN397" i="1" s="1"/>
  <c r="U396" i="1"/>
  <c r="AN396" i="1" s="1"/>
  <c r="BC396" i="1" s="1"/>
  <c r="BA395" i="1"/>
  <c r="CU395" i="1" s="1"/>
  <c r="U395" i="1"/>
  <c r="U394" i="1"/>
  <c r="AN394" i="1" s="1"/>
  <c r="BC394" i="1" s="1"/>
  <c r="CV393" i="1"/>
  <c r="CW393" i="1" s="1"/>
  <c r="U393" i="1"/>
  <c r="AN393" i="1" s="1"/>
  <c r="BC393" i="1" s="1"/>
  <c r="BA392" i="1"/>
  <c r="CU392" i="1" s="1"/>
  <c r="U392" i="1"/>
  <c r="AN392" i="1" s="1"/>
  <c r="U391" i="1"/>
  <c r="AN391" i="1" s="1"/>
  <c r="BC391" i="1" s="1"/>
  <c r="BA390" i="1"/>
  <c r="CU390" i="1" s="1"/>
  <c r="U390" i="1"/>
  <c r="AN390" i="1" s="1"/>
  <c r="BB389" i="1"/>
  <c r="BA389" i="1"/>
  <c r="U389" i="1"/>
  <c r="AN389" i="1" s="1"/>
  <c r="BA388" i="1"/>
  <c r="CU388" i="1" s="1"/>
  <c r="U388" i="1"/>
  <c r="BB387" i="1"/>
  <c r="BA387" i="1"/>
  <c r="U387" i="1"/>
  <c r="AN387" i="1" s="1"/>
  <c r="CV386" i="1"/>
  <c r="CW386" i="1" s="1"/>
  <c r="U386" i="1"/>
  <c r="AN386" i="1" s="1"/>
  <c r="BC386" i="1" s="1"/>
  <c r="CV385" i="1"/>
  <c r="CW385" i="1" s="1"/>
  <c r="U385" i="1"/>
  <c r="AN385" i="1" s="1"/>
  <c r="BC385" i="1" s="1"/>
  <c r="BA384" i="1"/>
  <c r="CU384" i="1" s="1"/>
  <c r="U384" i="1"/>
  <c r="U383" i="1"/>
  <c r="AN383" i="1" s="1"/>
  <c r="BC383" i="1" s="1"/>
  <c r="BA382" i="1"/>
  <c r="CU382" i="1" s="1"/>
  <c r="U382" i="1"/>
  <c r="CV381" i="1"/>
  <c r="CW381" i="1" s="1"/>
  <c r="U381" i="1"/>
  <c r="AN381" i="1" s="1"/>
  <c r="BC381" i="1" s="1"/>
  <c r="U380" i="1"/>
  <c r="AN380" i="1" s="1"/>
  <c r="BC380" i="1" s="1"/>
  <c r="BA379" i="1"/>
  <c r="CU379" i="1" s="1"/>
  <c r="U379" i="1"/>
  <c r="AN379" i="1" s="1"/>
  <c r="BA378" i="1"/>
  <c r="CU378" i="1" s="1"/>
  <c r="S378" i="1"/>
  <c r="Q378" i="1"/>
  <c r="I378" i="1"/>
  <c r="M378" i="1" s="1"/>
  <c r="BA377" i="1"/>
  <c r="CU377" i="1" s="1"/>
  <c r="U377" i="1"/>
  <c r="BA376" i="1"/>
  <c r="CU376" i="1" s="1"/>
  <c r="U376" i="1"/>
  <c r="BA375" i="1"/>
  <c r="CU375" i="1" s="1"/>
  <c r="U375" i="1"/>
  <c r="AN375" i="1" s="1"/>
  <c r="BB374" i="1"/>
  <c r="BA374" i="1"/>
  <c r="S374" i="1"/>
  <c r="Q374" i="1"/>
  <c r="I374" i="1"/>
  <c r="M374" i="1" s="1"/>
  <c r="U373" i="1"/>
  <c r="AN373" i="1" s="1"/>
  <c r="BC373" i="1" s="1"/>
  <c r="BA372" i="1"/>
  <c r="CU372" i="1" s="1"/>
  <c r="U372" i="1"/>
  <c r="AN372" i="1" s="1"/>
  <c r="BA371" i="1"/>
  <c r="CU371" i="1" s="1"/>
  <c r="U371" i="1"/>
  <c r="U370" i="1"/>
  <c r="AN370" i="1" s="1"/>
  <c r="BC370" i="1" s="1"/>
  <c r="BA369" i="1"/>
  <c r="CU369" i="1" s="1"/>
  <c r="U369" i="1"/>
  <c r="S368" i="1"/>
  <c r="Q368" i="1"/>
  <c r="I368" i="1"/>
  <c r="M368" i="1" s="1"/>
  <c r="BA367" i="1"/>
  <c r="CU367" i="1" s="1"/>
  <c r="U367" i="1"/>
  <c r="AN367" i="1" s="1"/>
  <c r="BB366" i="1"/>
  <c r="CU366" i="1" s="1"/>
  <c r="S366" i="1"/>
  <c r="Q366" i="1"/>
  <c r="I366" i="1"/>
  <c r="M366" i="1" s="1"/>
  <c r="U365" i="1"/>
  <c r="AN365" i="1" s="1"/>
  <c r="BC365" i="1" s="1"/>
  <c r="U364" i="1"/>
  <c r="AN364" i="1" s="1"/>
  <c r="BC364" i="1" s="1"/>
  <c r="U363" i="1"/>
  <c r="AN363" i="1" s="1"/>
  <c r="BC363" i="1" s="1"/>
  <c r="BA362" i="1"/>
  <c r="CU362" i="1" s="1"/>
  <c r="U362" i="1"/>
  <c r="BA361" i="1"/>
  <c r="CU361" i="1" s="1"/>
  <c r="U361" i="1"/>
  <c r="AN361" i="1" s="1"/>
  <c r="BA360" i="1"/>
  <c r="CU360" i="1" s="1"/>
  <c r="U360" i="1"/>
  <c r="BA359" i="1"/>
  <c r="CU359" i="1" s="1"/>
  <c r="U359" i="1"/>
  <c r="BA358" i="1"/>
  <c r="CU358" i="1" s="1"/>
  <c r="U358" i="1"/>
  <c r="AN358" i="1" s="1"/>
  <c r="U357" i="1"/>
  <c r="AN357" i="1" s="1"/>
  <c r="BC357" i="1" s="1"/>
  <c r="BA356" i="1"/>
  <c r="CU356" i="1" s="1"/>
  <c r="U356" i="1"/>
  <c r="AN356" i="1" s="1"/>
  <c r="BA355" i="1"/>
  <c r="CU355" i="1" s="1"/>
  <c r="U355" i="1"/>
  <c r="AN355" i="1" s="1"/>
  <c r="U354" i="1"/>
  <c r="AN354" i="1" s="1"/>
  <c r="BC354" i="1" s="1"/>
  <c r="BA353" i="1"/>
  <c r="CU353" i="1" s="1"/>
  <c r="U353" i="1"/>
  <c r="AN353" i="1" s="1"/>
  <c r="U352" i="1"/>
  <c r="AN352" i="1" s="1"/>
  <c r="BC352" i="1" s="1"/>
  <c r="BB351" i="1"/>
  <c r="CU351" i="1" s="1"/>
  <c r="U351" i="1"/>
  <c r="AN351" i="1" s="1"/>
  <c r="U350" i="1"/>
  <c r="AN350" i="1" s="1"/>
  <c r="BC350" i="1" s="1"/>
  <c r="BA349" i="1"/>
  <c r="CU349" i="1" s="1"/>
  <c r="U349" i="1"/>
  <c r="AN349" i="1" s="1"/>
  <c r="BA348" i="1"/>
  <c r="CU348" i="1" s="1"/>
  <c r="U348" i="1"/>
  <c r="U347" i="1"/>
  <c r="AN347" i="1" s="1"/>
  <c r="BC347" i="1" s="1"/>
  <c r="BA346" i="1"/>
  <c r="CU346" i="1" s="1"/>
  <c r="U346" i="1"/>
  <c r="AN346" i="1" s="1"/>
  <c r="U345" i="1"/>
  <c r="AN345" i="1" s="1"/>
  <c r="BC345" i="1" s="1"/>
  <c r="BA344" i="1"/>
  <c r="CU344" i="1" s="1"/>
  <c r="U344" i="1"/>
  <c r="AN344" i="1" s="1"/>
  <c r="BA343" i="1"/>
  <c r="CU343" i="1" s="1"/>
  <c r="U343" i="1"/>
  <c r="AN343" i="1" s="1"/>
  <c r="BA342" i="1"/>
  <c r="CU342" i="1" s="1"/>
  <c r="U342" i="1"/>
  <c r="BA341" i="1"/>
  <c r="CU341" i="1" s="1"/>
  <c r="U341" i="1"/>
  <c r="BA340" i="1"/>
  <c r="CU340" i="1" s="1"/>
  <c r="U340" i="1"/>
  <c r="U339" i="1"/>
  <c r="AN339" i="1" s="1"/>
  <c r="BC339" i="1" s="1"/>
  <c r="U338" i="1"/>
  <c r="AN338" i="1" s="1"/>
  <c r="BC338" i="1" s="1"/>
  <c r="BB337" i="1"/>
  <c r="BA337" i="1"/>
  <c r="U337" i="1"/>
  <c r="AN337" i="1" s="1"/>
  <c r="BA336" i="1"/>
  <c r="CU336" i="1" s="1"/>
  <c r="U336" i="1"/>
  <c r="BA335" i="1"/>
  <c r="CU335" i="1" s="1"/>
  <c r="U335" i="1"/>
  <c r="BA334" i="1"/>
  <c r="CU334" i="1" s="1"/>
  <c r="U334" i="1"/>
  <c r="BA333" i="1"/>
  <c r="CU333" i="1" s="1"/>
  <c r="U333" i="1"/>
  <c r="BA332" i="1"/>
  <c r="CU332" i="1" s="1"/>
  <c r="U332" i="1"/>
  <c r="AN332" i="1" s="1"/>
  <c r="BA331" i="1"/>
  <c r="CU331" i="1" s="1"/>
  <c r="U331" i="1"/>
  <c r="AN331" i="1" s="1"/>
  <c r="BA330" i="1"/>
  <c r="CU330" i="1" s="1"/>
  <c r="U330" i="1"/>
  <c r="BA329" i="1"/>
  <c r="CU329" i="1" s="1"/>
  <c r="U329" i="1"/>
  <c r="AN329" i="1" s="1"/>
  <c r="BC328" i="1"/>
  <c r="U328" i="1"/>
  <c r="U327" i="1"/>
  <c r="AN327" i="1" s="1"/>
  <c r="BC327" i="1" s="1"/>
  <c r="CV326" i="1"/>
  <c r="CW326" i="1" s="1"/>
  <c r="U326" i="1"/>
  <c r="AN326" i="1" s="1"/>
  <c r="BC326" i="1" s="1"/>
  <c r="U325" i="1"/>
  <c r="AN325" i="1" s="1"/>
  <c r="BC325" i="1" s="1"/>
  <c r="BB324" i="1"/>
  <c r="BA324" i="1"/>
  <c r="U324" i="1"/>
  <c r="AN324" i="1" s="1"/>
  <c r="BA323" i="1"/>
  <c r="CU323" i="1" s="1"/>
  <c r="U323" i="1"/>
  <c r="AN323" i="1" s="1"/>
  <c r="BA322" i="1"/>
  <c r="CU322" i="1" s="1"/>
  <c r="U322" i="1"/>
  <c r="AN322" i="1" s="1"/>
  <c r="BA321" i="1"/>
  <c r="CU321" i="1" s="1"/>
  <c r="U321" i="1"/>
  <c r="BA320" i="1"/>
  <c r="CU320" i="1" s="1"/>
  <c r="U320" i="1"/>
  <c r="BB319" i="1"/>
  <c r="BA319" i="1"/>
  <c r="S319" i="1"/>
  <c r="Q319" i="1"/>
  <c r="I319" i="1"/>
  <c r="M319" i="1" s="1"/>
  <c r="BA318" i="1"/>
  <c r="CU318" i="1" s="1"/>
  <c r="S318" i="1"/>
  <c r="Q318" i="1"/>
  <c r="I318" i="1"/>
  <c r="M318" i="1" s="1"/>
  <c r="BA317" i="1"/>
  <c r="CU317" i="1" s="1"/>
  <c r="U317" i="1"/>
  <c r="AN317" i="1" s="1"/>
  <c r="BA316" i="1"/>
  <c r="CU316" i="1" s="1"/>
  <c r="U316" i="1"/>
  <c r="BB315" i="1"/>
  <c r="BA315" i="1"/>
  <c r="S315" i="1"/>
  <c r="Q315" i="1"/>
  <c r="P315" i="1"/>
  <c r="I315" i="1"/>
  <c r="M315" i="1" s="1"/>
  <c r="BA314" i="1"/>
  <c r="CU314" i="1" s="1"/>
  <c r="S314" i="1"/>
  <c r="Q314" i="1"/>
  <c r="P314" i="1"/>
  <c r="I314" i="1"/>
  <c r="M314" i="1" s="1"/>
  <c r="BB313" i="1"/>
  <c r="CU313" i="1" s="1"/>
  <c r="S313" i="1"/>
  <c r="Q313" i="1"/>
  <c r="P313" i="1"/>
  <c r="I313" i="1"/>
  <c r="M313" i="1" s="1"/>
  <c r="BA312" i="1"/>
  <c r="CU312" i="1" s="1"/>
  <c r="U312" i="1"/>
  <c r="AN312" i="1" s="1"/>
  <c r="U311" i="1"/>
  <c r="AN311" i="1" s="1"/>
  <c r="BC311" i="1" s="1"/>
  <c r="S310" i="1"/>
  <c r="P310" i="1"/>
  <c r="N310" i="1"/>
  <c r="F310" i="1"/>
  <c r="M310" i="1" s="1"/>
  <c r="S309" i="1"/>
  <c r="P309" i="1"/>
  <c r="N309" i="1"/>
  <c r="M309" i="1"/>
  <c r="S308" i="1"/>
  <c r="P308" i="1"/>
  <c r="N308" i="1"/>
  <c r="F308" i="1"/>
  <c r="M308" i="1" s="1"/>
  <c r="S307" i="1"/>
  <c r="P307" i="1"/>
  <c r="N307" i="1"/>
  <c r="M307" i="1"/>
  <c r="S306" i="1"/>
  <c r="P306" i="1"/>
  <c r="N306" i="1"/>
  <c r="M306" i="1"/>
  <c r="S305" i="1"/>
  <c r="P305" i="1"/>
  <c r="N305" i="1"/>
  <c r="M305" i="1"/>
  <c r="S304" i="1"/>
  <c r="P304" i="1"/>
  <c r="N304" i="1"/>
  <c r="M304" i="1"/>
  <c r="AP303" i="1"/>
  <c r="DS1135" i="1" s="1"/>
  <c r="AO303" i="1"/>
  <c r="V303" i="1"/>
  <c r="V1136" i="1" s="1"/>
  <c r="S303" i="1"/>
  <c r="P303" i="1"/>
  <c r="N303" i="1"/>
  <c r="F303" i="1"/>
  <c r="M303" i="1" s="1"/>
  <c r="S302" i="1"/>
  <c r="P302" i="1"/>
  <c r="N302" i="1"/>
  <c r="M302" i="1"/>
  <c r="S301" i="1"/>
  <c r="P301" i="1"/>
  <c r="N301" i="1"/>
  <c r="M301" i="1"/>
  <c r="S300" i="1"/>
  <c r="P300" i="1"/>
  <c r="N300" i="1"/>
  <c r="M300" i="1"/>
  <c r="S299" i="1"/>
  <c r="P299" i="1"/>
  <c r="N299" i="1"/>
  <c r="M299" i="1"/>
  <c r="S298" i="1"/>
  <c r="P298" i="1"/>
  <c r="N298" i="1"/>
  <c r="M298" i="1"/>
  <c r="S297" i="1"/>
  <c r="P297" i="1"/>
  <c r="N297" i="1"/>
  <c r="M297" i="1"/>
  <c r="S296" i="1"/>
  <c r="P296" i="1"/>
  <c r="N296" i="1"/>
  <c r="M296" i="1"/>
  <c r="S295" i="1"/>
  <c r="P295" i="1"/>
  <c r="N295" i="1"/>
  <c r="M295" i="1"/>
  <c r="S294" i="1"/>
  <c r="P294" i="1"/>
  <c r="N294" i="1"/>
  <c r="M294" i="1"/>
  <c r="BA293" i="1"/>
  <c r="CU293" i="1" s="1"/>
  <c r="S293" i="1"/>
  <c r="P293" i="1"/>
  <c r="N293" i="1"/>
  <c r="M293" i="1"/>
  <c r="S292" i="1"/>
  <c r="P292" i="1"/>
  <c r="N292" i="1"/>
  <c r="F292" i="1"/>
  <c r="M292" i="1" s="1"/>
  <c r="AO291" i="1"/>
  <c r="S291" i="1"/>
  <c r="P291" i="1"/>
  <c r="N291" i="1"/>
  <c r="F291" i="1"/>
  <c r="M291" i="1" s="1"/>
  <c r="S290" i="1"/>
  <c r="P290" i="1"/>
  <c r="N290" i="1"/>
  <c r="F290" i="1"/>
  <c r="M290" i="1" s="1"/>
  <c r="AO289" i="1"/>
  <c r="S289" i="1"/>
  <c r="P289" i="1"/>
  <c r="N289" i="1"/>
  <c r="F289" i="1"/>
  <c r="M289" i="1" s="1"/>
  <c r="S288" i="1"/>
  <c r="P288" i="1"/>
  <c r="N288" i="1"/>
  <c r="F288" i="1"/>
  <c r="M288" i="1" s="1"/>
  <c r="S287" i="1"/>
  <c r="P287" i="1"/>
  <c r="N287" i="1"/>
  <c r="F287" i="1"/>
  <c r="M287" i="1" s="1"/>
  <c r="S286" i="1"/>
  <c r="P286" i="1"/>
  <c r="N286" i="1"/>
  <c r="F286" i="1"/>
  <c r="M286" i="1" s="1"/>
  <c r="S285" i="1"/>
  <c r="P285" i="1"/>
  <c r="N285" i="1"/>
  <c r="F285" i="1"/>
  <c r="M285" i="1" s="1"/>
  <c r="S284" i="1"/>
  <c r="P284" i="1"/>
  <c r="N284" i="1"/>
  <c r="F284" i="1"/>
  <c r="M284" i="1" s="1"/>
  <c r="S283" i="1"/>
  <c r="P283" i="1"/>
  <c r="N283" i="1"/>
  <c r="F283" i="1"/>
  <c r="M283" i="1" s="1"/>
  <c r="S282" i="1"/>
  <c r="P282" i="1"/>
  <c r="N282" i="1"/>
  <c r="F282" i="1"/>
  <c r="M282" i="1" s="1"/>
  <c r="S281" i="1"/>
  <c r="P281" i="1"/>
  <c r="N281" i="1"/>
  <c r="F281" i="1"/>
  <c r="M281" i="1" s="1"/>
  <c r="S280" i="1"/>
  <c r="P280" i="1"/>
  <c r="N280" i="1"/>
  <c r="F280" i="1"/>
  <c r="M280" i="1" s="1"/>
  <c r="S279" i="1"/>
  <c r="P279" i="1"/>
  <c r="N279" i="1"/>
  <c r="F279" i="1"/>
  <c r="M279" i="1" s="1"/>
  <c r="BA278" i="1"/>
  <c r="CU278" i="1" s="1"/>
  <c r="U278" i="1"/>
  <c r="AN278" i="1" s="1"/>
  <c r="BA277" i="1"/>
  <c r="CU277" i="1" s="1"/>
  <c r="U277" i="1"/>
  <c r="U276" i="1"/>
  <c r="AN276" i="1" s="1"/>
  <c r="BC276" i="1" s="1"/>
  <c r="BA275" i="1"/>
  <c r="CU275" i="1" s="1"/>
  <c r="U275" i="1"/>
  <c r="BA274" i="1"/>
  <c r="CU274" i="1" s="1"/>
  <c r="U274" i="1"/>
  <c r="AN274" i="1" s="1"/>
  <c r="BA273" i="1"/>
  <c r="CU273" i="1" s="1"/>
  <c r="U273" i="1"/>
  <c r="AN273" i="1" s="1"/>
  <c r="BA272" i="1"/>
  <c r="CU272" i="1" s="1"/>
  <c r="U272" i="1"/>
  <c r="AN272" i="1" s="1"/>
  <c r="BA271" i="1"/>
  <c r="CU271" i="1" s="1"/>
  <c r="U271" i="1"/>
  <c r="AN271" i="1" s="1"/>
  <c r="BA270" i="1"/>
  <c r="CU270" i="1" s="1"/>
  <c r="U270" i="1"/>
  <c r="AN270" i="1" s="1"/>
  <c r="U269" i="1"/>
  <c r="AN269" i="1" s="1"/>
  <c r="BC269" i="1" s="1"/>
  <c r="BA268" i="1"/>
  <c r="CU268" i="1" s="1"/>
  <c r="U268" i="1"/>
  <c r="BA267" i="1"/>
  <c r="CU267" i="1" s="1"/>
  <c r="U267" i="1"/>
  <c r="CV266" i="1"/>
  <c r="CW266" i="1" s="1"/>
  <c r="U266" i="1"/>
  <c r="AN266" i="1" s="1"/>
  <c r="BC266" i="1" s="1"/>
  <c r="U265" i="1"/>
  <c r="AN265" i="1" s="1"/>
  <c r="BC265" i="1" s="1"/>
  <c r="U264" i="1"/>
  <c r="AN264" i="1" s="1"/>
  <c r="BC264" i="1" s="1"/>
  <c r="BA263" i="1"/>
  <c r="CU263" i="1" s="1"/>
  <c r="U263" i="1"/>
  <c r="U262" i="1"/>
  <c r="AN262" i="1" s="1"/>
  <c r="BC262" i="1" s="1"/>
  <c r="U261" i="1"/>
  <c r="AN261" i="1" s="1"/>
  <c r="BC261" i="1" s="1"/>
  <c r="BA260" i="1"/>
  <c r="CU260" i="1" s="1"/>
  <c r="U260" i="1"/>
  <c r="BB259" i="1"/>
  <c r="BA259" i="1"/>
  <c r="U259" i="1"/>
  <c r="AN259" i="1" s="1"/>
  <c r="BA258" i="1"/>
  <c r="CU258" i="1" s="1"/>
  <c r="U258" i="1"/>
  <c r="BA257" i="1"/>
  <c r="CU257" i="1" s="1"/>
  <c r="U257" i="1"/>
  <c r="AN257" i="1" s="1"/>
  <c r="CV256" i="1"/>
  <c r="CW256" i="1" s="1"/>
  <c r="U256" i="1"/>
  <c r="AN256" i="1" s="1"/>
  <c r="BC256" i="1" s="1"/>
  <c r="U255" i="1"/>
  <c r="AN255" i="1" s="1"/>
  <c r="BC255" i="1" s="1"/>
  <c r="BA254" i="1"/>
  <c r="CU254" i="1" s="1"/>
  <c r="U254" i="1"/>
  <c r="AN254" i="1" s="1"/>
  <c r="BA253" i="1"/>
  <c r="CU253" i="1" s="1"/>
  <c r="U253" i="1"/>
  <c r="AN253" i="1" s="1"/>
  <c r="BA252" i="1"/>
  <c r="CU252" i="1" s="1"/>
  <c r="U252" i="1"/>
  <c r="BA251" i="1"/>
  <c r="CU251" i="1" s="1"/>
  <c r="U251" i="1"/>
  <c r="U250" i="1"/>
  <c r="AN250" i="1" s="1"/>
  <c r="BC250" i="1" s="1"/>
  <c r="CV249" i="1"/>
  <c r="CW249" i="1" s="1"/>
  <c r="U249" i="1"/>
  <c r="AN249" i="1" s="1"/>
  <c r="BC249" i="1" s="1"/>
  <c r="U248" i="1"/>
  <c r="AN248" i="1" s="1"/>
  <c r="BC248" i="1" s="1"/>
  <c r="BA247" i="1"/>
  <c r="CU247" i="1" s="1"/>
  <c r="U247" i="1"/>
  <c r="AN247" i="1" s="1"/>
  <c r="BA246" i="1"/>
  <c r="CU246" i="1" s="1"/>
  <c r="U246" i="1"/>
  <c r="BC245" i="1"/>
  <c r="U245" i="1"/>
  <c r="U244" i="1"/>
  <c r="AN244" i="1" s="1"/>
  <c r="BC244" i="1" s="1"/>
  <c r="BA243" i="1"/>
  <c r="CU243" i="1" s="1"/>
  <c r="U243" i="1"/>
  <c r="AN243" i="1" s="1"/>
  <c r="BA242" i="1"/>
  <c r="CU242" i="1" s="1"/>
  <c r="U242" i="1"/>
  <c r="U241" i="1"/>
  <c r="AN241" i="1" s="1"/>
  <c r="BC241" i="1" s="1"/>
  <c r="BA240" i="1"/>
  <c r="CU240" i="1" s="1"/>
  <c r="U240" i="1"/>
  <c r="AN240" i="1" s="1"/>
  <c r="U239" i="1"/>
  <c r="AN239" i="1" s="1"/>
  <c r="BC239" i="1" s="1"/>
  <c r="BA238" i="1"/>
  <c r="CU238" i="1" s="1"/>
  <c r="U238" i="1"/>
  <c r="BA237" i="1"/>
  <c r="CU237" i="1" s="1"/>
  <c r="U237" i="1"/>
  <c r="BA236" i="1"/>
  <c r="CU236" i="1" s="1"/>
  <c r="U236" i="1"/>
  <c r="AN236" i="1" s="1"/>
  <c r="BA235" i="1"/>
  <c r="CU235" i="1" s="1"/>
  <c r="U235" i="1"/>
  <c r="AN235" i="1" s="1"/>
  <c r="BA234" i="1"/>
  <c r="CU234" i="1" s="1"/>
  <c r="U234" i="1"/>
  <c r="AN234" i="1" s="1"/>
  <c r="BA233" i="1"/>
  <c r="CU233" i="1" s="1"/>
  <c r="U233" i="1"/>
  <c r="AN233" i="1" s="1"/>
  <c r="BA232" i="1"/>
  <c r="CU232" i="1" s="1"/>
  <c r="U232" i="1"/>
  <c r="U231" i="1"/>
  <c r="AN231" i="1" s="1"/>
  <c r="BC231" i="1" s="1"/>
  <c r="BA230" i="1"/>
  <c r="CU230" i="1" s="1"/>
  <c r="U230" i="1"/>
  <c r="BA229" i="1"/>
  <c r="CU229" i="1" s="1"/>
  <c r="U229" i="1"/>
  <c r="U228" i="1"/>
  <c r="AN228" i="1" s="1"/>
  <c r="BC228" i="1" s="1"/>
  <c r="BA227" i="1"/>
  <c r="CU227" i="1" s="1"/>
  <c r="U227" i="1"/>
  <c r="BA226" i="1"/>
  <c r="CU226" i="1" s="1"/>
  <c r="U226" i="1"/>
  <c r="BA225" i="1"/>
  <c r="CU225" i="1" s="1"/>
  <c r="U225" i="1"/>
  <c r="AN225" i="1" s="1"/>
  <c r="BA224" i="1"/>
  <c r="CU224" i="1" s="1"/>
  <c r="U224" i="1"/>
  <c r="AN224" i="1" s="1"/>
  <c r="U223" i="1"/>
  <c r="AN223" i="1" s="1"/>
  <c r="BC223" i="1" s="1"/>
  <c r="BA222" i="1"/>
  <c r="CU222" i="1" s="1"/>
  <c r="S222" i="1"/>
  <c r="Q222" i="1"/>
  <c r="I222" i="1"/>
  <c r="M222" i="1" s="1"/>
  <c r="BA221" i="1"/>
  <c r="CU221" i="1" s="1"/>
  <c r="U221" i="1"/>
  <c r="AN221" i="1" s="1"/>
  <c r="U220" i="1"/>
  <c r="AN220" i="1" s="1"/>
  <c r="BC220" i="1" s="1"/>
  <c r="CV219" i="1"/>
  <c r="CW219" i="1" s="1"/>
  <c r="U219" i="1"/>
  <c r="AN219" i="1" s="1"/>
  <c r="BC219" i="1" s="1"/>
  <c r="BA218" i="1"/>
  <c r="CU218" i="1" s="1"/>
  <c r="U218" i="1"/>
  <c r="U217" i="1"/>
  <c r="AN217" i="1" s="1"/>
  <c r="BC217" i="1" s="1"/>
  <c r="BA216" i="1"/>
  <c r="CU216" i="1" s="1"/>
  <c r="U216" i="1"/>
  <c r="BA215" i="1"/>
  <c r="CU215" i="1" s="1"/>
  <c r="U215" i="1"/>
  <c r="BA214" i="1"/>
  <c r="CU214" i="1" s="1"/>
  <c r="U214" i="1"/>
  <c r="BA213" i="1"/>
  <c r="CU213" i="1" s="1"/>
  <c r="U213" i="1"/>
  <c r="BA212" i="1"/>
  <c r="CU212" i="1" s="1"/>
  <c r="U212" i="1"/>
  <c r="U211" i="1"/>
  <c r="AN211" i="1" s="1"/>
  <c r="BC211" i="1" s="1"/>
  <c r="U210" i="1"/>
  <c r="AN210" i="1" s="1"/>
  <c r="BC210" i="1" s="1"/>
  <c r="BA209" i="1"/>
  <c r="CU209" i="1" s="1"/>
  <c r="U209" i="1"/>
  <c r="CV208" i="1"/>
  <c r="CW208" i="1" s="1"/>
  <c r="U208" i="1"/>
  <c r="AN208" i="1" s="1"/>
  <c r="BC208" i="1" s="1"/>
  <c r="BA207" i="1"/>
  <c r="CU207" i="1" s="1"/>
  <c r="U207" i="1"/>
  <c r="AN207" i="1" s="1"/>
  <c r="U206" i="1"/>
  <c r="AN206" i="1" s="1"/>
  <c r="BC206" i="1" s="1"/>
  <c r="BA205" i="1"/>
  <c r="CU205" i="1" s="1"/>
  <c r="U205" i="1"/>
  <c r="BA204" i="1"/>
  <c r="CU204" i="1" s="1"/>
  <c r="U204" i="1"/>
  <c r="BA203" i="1"/>
  <c r="CU203" i="1" s="1"/>
  <c r="U203" i="1"/>
  <c r="BA202" i="1"/>
  <c r="CU202" i="1" s="1"/>
  <c r="U202" i="1"/>
  <c r="U201" i="1"/>
  <c r="AN201" i="1" s="1"/>
  <c r="BC201" i="1" s="1"/>
  <c r="BA200" i="1"/>
  <c r="CU200" i="1" s="1"/>
  <c r="U200" i="1"/>
  <c r="AN200" i="1" s="1"/>
  <c r="BA199" i="1"/>
  <c r="CU199" i="1" s="1"/>
  <c r="U199" i="1"/>
  <c r="AN199" i="1" s="1"/>
  <c r="S198" i="1"/>
  <c r="Q198" i="1"/>
  <c r="I198" i="1"/>
  <c r="M198" i="1" s="1"/>
  <c r="U197" i="1"/>
  <c r="AN197" i="1" s="1"/>
  <c r="BC197" i="1" s="1"/>
  <c r="U196" i="1"/>
  <c r="AN196" i="1" s="1"/>
  <c r="BC196" i="1" s="1"/>
  <c r="U195" i="1"/>
  <c r="AN195" i="1" s="1"/>
  <c r="BC195" i="1" s="1"/>
  <c r="U194" i="1"/>
  <c r="AN194" i="1" s="1"/>
  <c r="BC194" i="1" s="1"/>
  <c r="U193" i="1"/>
  <c r="AN193" i="1" s="1"/>
  <c r="BC193" i="1" s="1"/>
  <c r="U192" i="1"/>
  <c r="AN192" i="1" s="1"/>
  <c r="BC192" i="1" s="1"/>
  <c r="U191" i="1"/>
  <c r="AN191" i="1" s="1"/>
  <c r="BC191" i="1" s="1"/>
  <c r="U190" i="1"/>
  <c r="AN190" i="1" s="1"/>
  <c r="BC190" i="1" s="1"/>
  <c r="BA189" i="1"/>
  <c r="CU189" i="1" s="1"/>
  <c r="U189" i="1"/>
  <c r="BA188" i="1"/>
  <c r="CU188" i="1" s="1"/>
  <c r="U188" i="1"/>
  <c r="BA187" i="1"/>
  <c r="CU187" i="1" s="1"/>
  <c r="U187" i="1"/>
  <c r="BA186" i="1"/>
  <c r="CU186" i="1" s="1"/>
  <c r="U186" i="1"/>
  <c r="AN186" i="1" s="1"/>
  <c r="BA185" i="1"/>
  <c r="CU185" i="1" s="1"/>
  <c r="U185" i="1"/>
  <c r="BB184" i="1"/>
  <c r="CU184" i="1" s="1"/>
  <c r="U184" i="1"/>
  <c r="AN184" i="1" s="1"/>
  <c r="U183" i="1"/>
  <c r="AN183" i="1" s="1"/>
  <c r="BC183" i="1" s="1"/>
  <c r="BA182" i="1"/>
  <c r="CU182" i="1" s="1"/>
  <c r="U182" i="1"/>
  <c r="CV181" i="1"/>
  <c r="CW181" i="1" s="1"/>
  <c r="BC181" i="1"/>
  <c r="U181" i="1"/>
  <c r="S180" i="1"/>
  <c r="Q180" i="1"/>
  <c r="I180" i="1"/>
  <c r="M180" i="1" s="1"/>
  <c r="BA179" i="1"/>
  <c r="CU179" i="1" s="1"/>
  <c r="U179" i="1"/>
  <c r="AN179" i="1" s="1"/>
  <c r="BA178" i="1"/>
  <c r="CU178" i="1" s="1"/>
  <c r="U178" i="1"/>
  <c r="U177" i="1"/>
  <c r="AN177" i="1" s="1"/>
  <c r="BC177" i="1" s="1"/>
  <c r="BA176" i="1"/>
  <c r="CU176" i="1" s="1"/>
  <c r="U176" i="1"/>
  <c r="AN176" i="1" s="1"/>
  <c r="CV175" i="1"/>
  <c r="CW175" i="1" s="1"/>
  <c r="U175" i="1"/>
  <c r="AN175" i="1" s="1"/>
  <c r="BC175" i="1" s="1"/>
  <c r="U174" i="1"/>
  <c r="AN174" i="1" s="1"/>
  <c r="BC174" i="1" s="1"/>
  <c r="U173" i="1"/>
  <c r="AN173" i="1" s="1"/>
  <c r="BC173" i="1" s="1"/>
  <c r="U172" i="1"/>
  <c r="AN172" i="1" s="1"/>
  <c r="BC172" i="1" s="1"/>
  <c r="BA171" i="1"/>
  <c r="CU171" i="1" s="1"/>
  <c r="U171" i="1"/>
  <c r="BA170" i="1"/>
  <c r="CU170" i="1" s="1"/>
  <c r="U170" i="1"/>
  <c r="BA169" i="1"/>
  <c r="CU169" i="1" s="1"/>
  <c r="U169" i="1"/>
  <c r="AN169" i="1" s="1"/>
  <c r="BA168" i="1"/>
  <c r="CU168" i="1" s="1"/>
  <c r="U168" i="1"/>
  <c r="CV167" i="1"/>
  <c r="CW167" i="1" s="1"/>
  <c r="U167" i="1"/>
  <c r="AN167" i="1" s="1"/>
  <c r="BC167" i="1" s="1"/>
  <c r="U166" i="1"/>
  <c r="AN166" i="1" s="1"/>
  <c r="BC166" i="1" s="1"/>
  <c r="BA165" i="1"/>
  <c r="CU165" i="1" s="1"/>
  <c r="U165" i="1"/>
  <c r="BA164" i="1"/>
  <c r="CU164" i="1" s="1"/>
  <c r="U164" i="1"/>
  <c r="AN164" i="1" s="1"/>
  <c r="BA163" i="1"/>
  <c r="CU163" i="1" s="1"/>
  <c r="U163" i="1"/>
  <c r="AN163" i="1" s="1"/>
  <c r="BA162" i="1"/>
  <c r="CU162" i="1" s="1"/>
  <c r="U162" i="1"/>
  <c r="AN162" i="1" s="1"/>
  <c r="BB161" i="1"/>
  <c r="CU161" i="1" s="1"/>
  <c r="U161" i="1"/>
  <c r="AN161" i="1" s="1"/>
  <c r="BA160" i="1"/>
  <c r="CU160" i="1" s="1"/>
  <c r="U160" i="1"/>
  <c r="U159" i="1"/>
  <c r="AN159" i="1" s="1"/>
  <c r="BC159" i="1" s="1"/>
  <c r="BA158" i="1"/>
  <c r="CU158" i="1" s="1"/>
  <c r="U158" i="1"/>
  <c r="BA157" i="1"/>
  <c r="CU157" i="1" s="1"/>
  <c r="U157" i="1"/>
  <c r="BA156" i="1"/>
  <c r="CU156" i="1" s="1"/>
  <c r="U156" i="1"/>
  <c r="BA155" i="1"/>
  <c r="CU155" i="1" s="1"/>
  <c r="U155" i="1"/>
  <c r="CV154" i="1"/>
  <c r="CW154" i="1" s="1"/>
  <c r="U154" i="1"/>
  <c r="AN154" i="1" s="1"/>
  <c r="BC154" i="1" s="1"/>
  <c r="BB153" i="1"/>
  <c r="CU153" i="1" s="1"/>
  <c r="S153" i="1"/>
  <c r="Q153" i="1"/>
  <c r="I153" i="1"/>
  <c r="M153" i="1" s="1"/>
  <c r="BA152" i="1"/>
  <c r="CU152" i="1" s="1"/>
  <c r="U152" i="1"/>
  <c r="AN152" i="1" s="1"/>
  <c r="BA151" i="1"/>
  <c r="CU151" i="1" s="1"/>
  <c r="U151" i="1"/>
  <c r="AN151" i="1" s="1"/>
  <c r="BA150" i="1"/>
  <c r="CU150" i="1" s="1"/>
  <c r="U150" i="1"/>
  <c r="AN150" i="1" s="1"/>
  <c r="BA149" i="1"/>
  <c r="CU149" i="1" s="1"/>
  <c r="U149" i="1"/>
  <c r="AN149" i="1" s="1"/>
  <c r="CV148" i="1"/>
  <c r="CW148" i="1" s="1"/>
  <c r="U148" i="1"/>
  <c r="AN148" i="1" s="1"/>
  <c r="BC148" i="1" s="1"/>
  <c r="BA147" i="1"/>
  <c r="CU147" i="1" s="1"/>
  <c r="U147" i="1"/>
  <c r="U146" i="1"/>
  <c r="AN146" i="1" s="1"/>
  <c r="BC146" i="1" s="1"/>
  <c r="BA145" i="1"/>
  <c r="CU145" i="1" s="1"/>
  <c r="U145" i="1"/>
  <c r="AN145" i="1" s="1"/>
  <c r="BA144" i="1"/>
  <c r="CU144" i="1" s="1"/>
  <c r="U144" i="1"/>
  <c r="BA143" i="1"/>
  <c r="CU143" i="1" s="1"/>
  <c r="U143" i="1"/>
  <c r="U142" i="1"/>
  <c r="AN142" i="1" s="1"/>
  <c r="BC142" i="1" s="1"/>
  <c r="BA141" i="1"/>
  <c r="CU141" i="1" s="1"/>
  <c r="U141" i="1"/>
  <c r="BA140" i="1"/>
  <c r="CU140" i="1" s="1"/>
  <c r="U140" i="1"/>
  <c r="AN140" i="1" s="1"/>
  <c r="BA139" i="1"/>
  <c r="CU139" i="1" s="1"/>
  <c r="U139" i="1"/>
  <c r="AN139" i="1" s="1"/>
  <c r="CV138" i="1"/>
  <c r="CW138" i="1" s="1"/>
  <c r="U138" i="1"/>
  <c r="AN138" i="1" s="1"/>
  <c r="BC138" i="1" s="1"/>
  <c r="BB137" i="1"/>
  <c r="CU137" i="1" s="1"/>
  <c r="U137" i="1"/>
  <c r="AN137" i="1" s="1"/>
  <c r="U136" i="1"/>
  <c r="AN136" i="1" s="1"/>
  <c r="BC136" i="1" s="1"/>
  <c r="U135" i="1"/>
  <c r="AN135" i="1" s="1"/>
  <c r="BC135" i="1" s="1"/>
  <c r="U134" i="1"/>
  <c r="AN134" i="1" s="1"/>
  <c r="BC134" i="1" s="1"/>
  <c r="BA133" i="1"/>
  <c r="CU133" i="1" s="1"/>
  <c r="U133" i="1"/>
  <c r="BA132" i="1"/>
  <c r="CU132" i="1" s="1"/>
  <c r="U132" i="1"/>
  <c r="U131" i="1"/>
  <c r="AN131" i="1" s="1"/>
  <c r="BC131" i="1" s="1"/>
  <c r="S130" i="1"/>
  <c r="Q130" i="1"/>
  <c r="I130" i="1"/>
  <c r="M130" i="1" s="1"/>
  <c r="BA129" i="1"/>
  <c r="CU129" i="1" s="1"/>
  <c r="U129" i="1"/>
  <c r="AN129" i="1" s="1"/>
  <c r="BA128" i="1"/>
  <c r="CU128" i="1" s="1"/>
  <c r="U128" i="1"/>
  <c r="AN128" i="1" s="1"/>
  <c r="BA127" i="1"/>
  <c r="CU127" i="1" s="1"/>
  <c r="U127" i="1"/>
  <c r="BA126" i="1"/>
  <c r="CU126" i="1" s="1"/>
  <c r="U126" i="1"/>
  <c r="U125" i="1"/>
  <c r="AN125" i="1" s="1"/>
  <c r="BC125" i="1" s="1"/>
  <c r="U124" i="1"/>
  <c r="AN124" i="1" s="1"/>
  <c r="BC124" i="1" s="1"/>
  <c r="BA123" i="1"/>
  <c r="CU123" i="1" s="1"/>
  <c r="S123" i="1"/>
  <c r="Q123" i="1"/>
  <c r="I123" i="1"/>
  <c r="M123" i="1" s="1"/>
  <c r="BA122" i="1"/>
  <c r="CU122" i="1" s="1"/>
  <c r="U122" i="1"/>
  <c r="AN122" i="1" s="1"/>
  <c r="BB121" i="1"/>
  <c r="CU121" i="1" s="1"/>
  <c r="S121" i="1"/>
  <c r="Q121" i="1"/>
  <c r="I121" i="1"/>
  <c r="M121" i="1" s="1"/>
  <c r="CV120" i="1"/>
  <c r="CW120" i="1" s="1"/>
  <c r="U120" i="1"/>
  <c r="AN120" i="1" s="1"/>
  <c r="BC120" i="1" s="1"/>
  <c r="U119" i="1"/>
  <c r="AN119" i="1" s="1"/>
  <c r="BC119" i="1" s="1"/>
  <c r="U118" i="1"/>
  <c r="AN118" i="1" s="1"/>
  <c r="BC118" i="1" s="1"/>
  <c r="BA117" i="1"/>
  <c r="CU117" i="1" s="1"/>
  <c r="U117" i="1"/>
  <c r="BA116" i="1"/>
  <c r="CU116" i="1" s="1"/>
  <c r="U116" i="1"/>
  <c r="AN116" i="1" s="1"/>
  <c r="BA115" i="1"/>
  <c r="CU115" i="1" s="1"/>
  <c r="U115" i="1"/>
  <c r="AN115" i="1" s="1"/>
  <c r="BA114" i="1"/>
  <c r="CU114" i="1" s="1"/>
  <c r="U114" i="1"/>
  <c r="AN114" i="1" s="1"/>
  <c r="BA113" i="1"/>
  <c r="CU113" i="1" s="1"/>
  <c r="U113" i="1"/>
  <c r="AN113" i="1" s="1"/>
  <c r="U112" i="1"/>
  <c r="AN112" i="1" s="1"/>
  <c r="BC112" i="1" s="1"/>
  <c r="U111" i="1"/>
  <c r="AN111" i="1" s="1"/>
  <c r="BC111" i="1" s="1"/>
  <c r="BB110" i="1"/>
  <c r="BA110" i="1"/>
  <c r="Y110" i="1"/>
  <c r="S110" i="1"/>
  <c r="Q110" i="1"/>
  <c r="P110" i="1"/>
  <c r="I110" i="1"/>
  <c r="M110" i="1" s="1"/>
  <c r="BA109" i="1"/>
  <c r="CU109" i="1" s="1"/>
  <c r="U109" i="1"/>
  <c r="BA108" i="1"/>
  <c r="CU108" i="1" s="1"/>
  <c r="U108" i="1"/>
  <c r="U107" i="1"/>
  <c r="AN107" i="1" s="1"/>
  <c r="BC107" i="1" s="1"/>
  <c r="BA106" i="1"/>
  <c r="CU106" i="1" s="1"/>
  <c r="U106" i="1"/>
  <c r="AN106" i="1" s="1"/>
  <c r="BA105" i="1"/>
  <c r="CU105" i="1" s="1"/>
  <c r="U105" i="1"/>
  <c r="AN105" i="1" s="1"/>
  <c r="BA104" i="1"/>
  <c r="CU104" i="1" s="1"/>
  <c r="U104" i="1"/>
  <c r="BA103" i="1"/>
  <c r="CU103" i="1" s="1"/>
  <c r="U103" i="1"/>
  <c r="U102" i="1"/>
  <c r="AN102" i="1" s="1"/>
  <c r="BC102" i="1" s="1"/>
  <c r="CV101" i="1"/>
  <c r="CW101" i="1" s="1"/>
  <c r="U101" i="1"/>
  <c r="AN101" i="1" s="1"/>
  <c r="BC101" i="1" s="1"/>
  <c r="BA100" i="1"/>
  <c r="CU100" i="1" s="1"/>
  <c r="U100" i="1"/>
  <c r="AN100" i="1" s="1"/>
  <c r="BB99" i="1"/>
  <c r="BA99" i="1"/>
  <c r="S99" i="1"/>
  <c r="Q99" i="1"/>
  <c r="I99" i="1"/>
  <c r="M99" i="1" s="1"/>
  <c r="BA98" i="1"/>
  <c r="CU98" i="1" s="1"/>
  <c r="U98" i="1"/>
  <c r="BA97" i="1"/>
  <c r="CU97" i="1" s="1"/>
  <c r="U97" i="1"/>
  <c r="BA96" i="1"/>
  <c r="CU96" i="1" s="1"/>
  <c r="U96" i="1"/>
  <c r="AN96" i="1" s="1"/>
  <c r="BA95" i="1"/>
  <c r="CU95" i="1" s="1"/>
  <c r="U95" i="1"/>
  <c r="BB94" i="1"/>
  <c r="CU94" i="1" s="1"/>
  <c r="U94" i="1"/>
  <c r="AN94" i="1" s="1"/>
  <c r="BA93" i="1"/>
  <c r="CU93" i="1" s="1"/>
  <c r="U93" i="1"/>
  <c r="BA92" i="1"/>
  <c r="CU92" i="1" s="1"/>
  <c r="U92" i="1"/>
  <c r="AN92" i="1" s="1"/>
  <c r="BB91" i="1"/>
  <c r="CU91" i="1" s="1"/>
  <c r="U91" i="1"/>
  <c r="AN91" i="1" s="1"/>
  <c r="S90" i="1"/>
  <c r="Q90" i="1"/>
  <c r="I90" i="1"/>
  <c r="M90" i="1" s="1"/>
  <c r="U89" i="1"/>
  <c r="AN89" i="1" s="1"/>
  <c r="BC89" i="1" s="1"/>
  <c r="BA88" i="1"/>
  <c r="CU88" i="1" s="1"/>
  <c r="U88" i="1"/>
  <c r="U87" i="1"/>
  <c r="AN87" i="1" s="1"/>
  <c r="BC87" i="1" s="1"/>
  <c r="U86" i="1"/>
  <c r="AN86" i="1" s="1"/>
  <c r="BC86" i="1" s="1"/>
  <c r="BA85" i="1"/>
  <c r="CU85" i="1" s="1"/>
  <c r="U85" i="1"/>
  <c r="AN85" i="1" s="1"/>
  <c r="BA84" i="1"/>
  <c r="CU84" i="1" s="1"/>
  <c r="U84" i="1"/>
  <c r="AN84" i="1" s="1"/>
  <c r="BA83" i="1"/>
  <c r="CU83" i="1" s="1"/>
  <c r="U83" i="1"/>
  <c r="BA82" i="1"/>
  <c r="CU82" i="1" s="1"/>
  <c r="U82" i="1"/>
  <c r="BA81" i="1"/>
  <c r="CU81" i="1" s="1"/>
  <c r="U81" i="1"/>
  <c r="U80" i="1"/>
  <c r="AN80" i="1" s="1"/>
  <c r="BC80" i="1" s="1"/>
  <c r="U79" i="1"/>
  <c r="AN79" i="1" s="1"/>
  <c r="BC79" i="1" s="1"/>
  <c r="U78" i="1"/>
  <c r="AN78" i="1" s="1"/>
  <c r="BC78" i="1" s="1"/>
  <c r="U77" i="1"/>
  <c r="AN77" i="1" s="1"/>
  <c r="BC77" i="1" s="1"/>
  <c r="U76" i="1"/>
  <c r="AN76" i="1" s="1"/>
  <c r="BC76" i="1" s="1"/>
  <c r="BA75" i="1"/>
  <c r="CU75" i="1" s="1"/>
  <c r="U75" i="1"/>
  <c r="BA74" i="1"/>
  <c r="CU74" i="1" s="1"/>
  <c r="U74" i="1"/>
  <c r="BA73" i="1"/>
  <c r="CU73" i="1" s="1"/>
  <c r="U73" i="1"/>
  <c r="BA72" i="1"/>
  <c r="CU72" i="1" s="1"/>
  <c r="U72" i="1"/>
  <c r="BB71" i="1"/>
  <c r="BA71" i="1"/>
  <c r="S71" i="1"/>
  <c r="Q71" i="1"/>
  <c r="I71" i="1"/>
  <c r="BA70" i="1"/>
  <c r="CU70" i="1" s="1"/>
  <c r="U70" i="1"/>
  <c r="AN70" i="1" s="1"/>
  <c r="BA69" i="1"/>
  <c r="CU69" i="1" s="1"/>
  <c r="U69" i="1"/>
  <c r="AN69" i="1" s="1"/>
  <c r="U68" i="1"/>
  <c r="AN68" i="1" s="1"/>
  <c r="BC68" i="1" s="1"/>
  <c r="BA67" i="1"/>
  <c r="CU67" i="1" s="1"/>
  <c r="U67" i="1"/>
  <c r="BA66" i="1"/>
  <c r="CU66" i="1" s="1"/>
  <c r="U66" i="1"/>
  <c r="BB65" i="1"/>
  <c r="BA65" i="1"/>
  <c r="U65" i="1"/>
  <c r="AN65" i="1" s="1"/>
  <c r="BA64" i="1"/>
  <c r="CU64" i="1" s="1"/>
  <c r="U64" i="1"/>
  <c r="BA63" i="1"/>
  <c r="CU63" i="1" s="1"/>
  <c r="U63" i="1"/>
  <c r="BA62" i="1"/>
  <c r="CU62" i="1" s="1"/>
  <c r="U62" i="1"/>
  <c r="BA61" i="1"/>
  <c r="CU61" i="1" s="1"/>
  <c r="U61" i="1"/>
  <c r="AN61" i="1" s="1"/>
  <c r="U60" i="1"/>
  <c r="AN60" i="1" s="1"/>
  <c r="BC60" i="1" s="1"/>
  <c r="BA59" i="1"/>
  <c r="CU59" i="1" s="1"/>
  <c r="U59" i="1"/>
  <c r="AN59" i="1" s="1"/>
  <c r="BB58" i="1"/>
  <c r="CU58" i="1" s="1"/>
  <c r="U58" i="1"/>
  <c r="AN58" i="1" s="1"/>
  <c r="BA57" i="1"/>
  <c r="CU57" i="1" s="1"/>
  <c r="U57" i="1"/>
  <c r="U56" i="1"/>
  <c r="AN56" i="1" s="1"/>
  <c r="BC56" i="1" s="1"/>
  <c r="BA55" i="1"/>
  <c r="CU55" i="1" s="1"/>
  <c r="U55" i="1"/>
  <c r="AN55" i="1" s="1"/>
  <c r="BA54" i="1"/>
  <c r="CU54" i="1" s="1"/>
  <c r="U54" i="1"/>
  <c r="AN54" i="1" s="1"/>
  <c r="BB53" i="1"/>
  <c r="CU53" i="1" s="1"/>
  <c r="U53" i="1"/>
  <c r="AN53" i="1" s="1"/>
  <c r="BA52" i="1"/>
  <c r="CU52" i="1" s="1"/>
  <c r="U52" i="1"/>
  <c r="AN52" i="1" s="1"/>
  <c r="S51" i="1"/>
  <c r="Q51" i="1"/>
  <c r="M51" i="1"/>
  <c r="U51" i="1" s="1"/>
  <c r="AC51" i="1" s="1"/>
  <c r="AN51" i="1" s="1"/>
  <c r="BC51" i="1" s="1"/>
  <c r="BA50" i="1"/>
  <c r="CU50" i="1" s="1"/>
  <c r="U50" i="1"/>
  <c r="AN50" i="1" s="1"/>
  <c r="BA49" i="1"/>
  <c r="CU49" i="1" s="1"/>
  <c r="U49" i="1"/>
  <c r="AN49" i="1" s="1"/>
  <c r="BA48" i="1"/>
  <c r="CU48" i="1" s="1"/>
  <c r="U48" i="1"/>
  <c r="AN48" i="1" s="1"/>
  <c r="BA47" i="1"/>
  <c r="CU47" i="1" s="1"/>
  <c r="U47" i="1"/>
  <c r="AN47" i="1" s="1"/>
  <c r="U46" i="1"/>
  <c r="AN46" i="1" s="1"/>
  <c r="BC46" i="1" s="1"/>
  <c r="BA45" i="1"/>
  <c r="CU45" i="1" s="1"/>
  <c r="U45" i="1"/>
  <c r="AN45" i="1" s="1"/>
  <c r="U44" i="1"/>
  <c r="AN44" i="1" s="1"/>
  <c r="BC44" i="1" s="1"/>
  <c r="BA43" i="1"/>
  <c r="CU43" i="1" s="1"/>
  <c r="U43" i="1"/>
  <c r="AN43" i="1" s="1"/>
  <c r="BA42" i="1"/>
  <c r="CU42" i="1" s="1"/>
  <c r="U42" i="1"/>
  <c r="AN42" i="1" s="1"/>
  <c r="U41" i="1"/>
  <c r="AN41" i="1" s="1"/>
  <c r="BC41" i="1" s="1"/>
  <c r="U40" i="1"/>
  <c r="AN40" i="1" s="1"/>
  <c r="BC40" i="1" s="1"/>
  <c r="CV39" i="1"/>
  <c r="CW39" i="1" s="1"/>
  <c r="U39" i="1"/>
  <c r="AN39" i="1" s="1"/>
  <c r="BC39" i="1" s="1"/>
  <c r="U38" i="1"/>
  <c r="AN38" i="1" s="1"/>
  <c r="BC38" i="1" s="1"/>
  <c r="U37" i="1"/>
  <c r="AN37" i="1" s="1"/>
  <c r="BC37" i="1" s="1"/>
  <c r="U36" i="1"/>
  <c r="AN36" i="1" s="1"/>
  <c r="BC36" i="1" s="1"/>
  <c r="BA35" i="1"/>
  <c r="CU35" i="1" s="1"/>
  <c r="U35" i="1"/>
  <c r="AN35" i="1" s="1"/>
  <c r="BA34" i="1"/>
  <c r="CU34" i="1" s="1"/>
  <c r="U34" i="1"/>
  <c r="AN34" i="1" s="1"/>
  <c r="U33" i="1"/>
  <c r="AN33" i="1" s="1"/>
  <c r="BC33" i="1" s="1"/>
  <c r="U32" i="1"/>
  <c r="AN32" i="1" s="1"/>
  <c r="BC32" i="1" s="1"/>
  <c r="BA31" i="1"/>
  <c r="CU31" i="1" s="1"/>
  <c r="U31" i="1"/>
  <c r="AN31" i="1" s="1"/>
  <c r="BA30" i="1"/>
  <c r="CU30" i="1" s="1"/>
  <c r="U30" i="1"/>
  <c r="AN30" i="1" s="1"/>
  <c r="U29" i="1"/>
  <c r="AN29" i="1" s="1"/>
  <c r="BC29" i="1" s="1"/>
  <c r="BA28" i="1"/>
  <c r="CU28" i="1" s="1"/>
  <c r="U28" i="1"/>
  <c r="AN28" i="1" s="1"/>
  <c r="BA27" i="1"/>
  <c r="CU27" i="1" s="1"/>
  <c r="U27" i="1"/>
  <c r="AN27" i="1" s="1"/>
  <c r="BB26" i="1"/>
  <c r="CU26" i="1" s="1"/>
  <c r="U26" i="1"/>
  <c r="AN26" i="1" s="1"/>
  <c r="BA25" i="1"/>
  <c r="CU25" i="1" s="1"/>
  <c r="U25" i="1"/>
  <c r="AN25" i="1" s="1"/>
  <c r="U24" i="1"/>
  <c r="AN24" i="1" s="1"/>
  <c r="BC24" i="1" s="1"/>
  <c r="BA23" i="1"/>
  <c r="CU23" i="1" s="1"/>
  <c r="U23" i="1"/>
  <c r="AN23" i="1" s="1"/>
  <c r="BA22" i="1"/>
  <c r="CU22" i="1" s="1"/>
  <c r="U22" i="1"/>
  <c r="AN22" i="1" s="1"/>
  <c r="BA21" i="1"/>
  <c r="CU21" i="1" s="1"/>
  <c r="U21" i="1"/>
  <c r="AN21" i="1" s="1"/>
  <c r="U20" i="1"/>
  <c r="AN20" i="1" s="1"/>
  <c r="BC20" i="1" s="1"/>
  <c r="BA19" i="1"/>
  <c r="CU19" i="1" s="1"/>
  <c r="U19" i="1"/>
  <c r="AN19" i="1" s="1"/>
  <c r="U18" i="1"/>
  <c r="AN18" i="1" s="1"/>
  <c r="BC18" i="1" s="1"/>
  <c r="BA17" i="1"/>
  <c r="CU17" i="1" s="1"/>
  <c r="U17" i="1"/>
  <c r="AN17" i="1" s="1"/>
  <c r="BA16" i="1"/>
  <c r="CU16" i="1" s="1"/>
  <c r="U16" i="1"/>
  <c r="AN16" i="1" s="1"/>
  <c r="U15" i="1"/>
  <c r="AN15" i="1" s="1"/>
  <c r="BC15" i="1" s="1"/>
  <c r="U14" i="1"/>
  <c r="AN14" i="1" s="1"/>
  <c r="BC14" i="1" s="1"/>
  <c r="CV13" i="1"/>
  <c r="CW13" i="1" s="1"/>
  <c r="U13" i="1"/>
  <c r="AN13" i="1" s="1"/>
  <c r="BC13" i="1" s="1"/>
  <c r="BA12" i="1"/>
  <c r="CU12" i="1" s="1"/>
  <c r="U12" i="1"/>
  <c r="AN12" i="1" s="1"/>
  <c r="U11" i="1"/>
  <c r="AN11" i="1" s="1"/>
  <c r="BC11" i="1" s="1"/>
  <c r="BA10" i="1"/>
  <c r="CU10" i="1" s="1"/>
  <c r="U10" i="1"/>
  <c r="AN10" i="1" s="1"/>
  <c r="BA9" i="1"/>
  <c r="CU9" i="1" s="1"/>
  <c r="U9" i="1"/>
  <c r="AN9" i="1" s="1"/>
  <c r="BA8" i="1"/>
  <c r="CU8" i="1" s="1"/>
  <c r="U8" i="1"/>
  <c r="AN8" i="1" s="1"/>
  <c r="U7" i="1"/>
  <c r="AN7" i="1" s="1"/>
  <c r="BC7" i="1" s="1"/>
  <c r="U6" i="1"/>
  <c r="AN6" i="1" s="1"/>
  <c r="BC6" i="1" s="1"/>
  <c r="U5" i="1"/>
  <c r="AN5" i="1" s="1"/>
  <c r="BC5" i="1" s="1"/>
  <c r="BA4" i="1"/>
  <c r="CU4" i="1" s="1"/>
  <c r="U4" i="1"/>
  <c r="AN4" i="1" s="1"/>
  <c r="U3" i="1"/>
  <c r="CU315" i="1" l="1"/>
  <c r="CV315" i="1" s="1"/>
  <c r="CW315" i="1" s="1"/>
  <c r="CU324" i="1"/>
  <c r="CV324" i="1" s="1"/>
  <c r="CW324" i="1" s="1"/>
  <c r="CU587" i="1"/>
  <c r="CV587" i="1" s="1"/>
  <c r="CW587" i="1" s="1"/>
  <c r="Y1136" i="1"/>
  <c r="U548" i="1"/>
  <c r="AC548" i="1" s="1"/>
  <c r="AN548" i="1" s="1"/>
  <c r="BC548" i="1" s="1"/>
  <c r="U624" i="1"/>
  <c r="AC624" i="1" s="1"/>
  <c r="AN624" i="1" s="1"/>
  <c r="BC624" i="1" s="1"/>
  <c r="U683" i="1"/>
  <c r="AC683" i="1" s="1"/>
  <c r="AN683" i="1" s="1"/>
  <c r="BC683" i="1" s="1"/>
  <c r="U1126" i="1"/>
  <c r="AC1126" i="1" s="1"/>
  <c r="AN1126" i="1" s="1"/>
  <c r="BC1126" i="1" s="1"/>
  <c r="CU1057" i="1"/>
  <c r="CV1057" i="1" s="1"/>
  <c r="CW1057" i="1" s="1"/>
  <c r="CU65" i="1"/>
  <c r="CV65" i="1" s="1"/>
  <c r="CW65" i="1" s="1"/>
  <c r="CU387" i="1"/>
  <c r="CV387" i="1" s="1"/>
  <c r="CW387" i="1" s="1"/>
  <c r="CU1081" i="1"/>
  <c r="CV1081" i="1" s="1"/>
  <c r="CW1081" i="1" s="1"/>
  <c r="U412" i="1"/>
  <c r="AC412" i="1" s="1"/>
  <c r="AN412" i="1" s="1"/>
  <c r="BC412" i="1" s="1"/>
  <c r="U473" i="1"/>
  <c r="AC473" i="1" s="1"/>
  <c r="AN473" i="1" s="1"/>
  <c r="BC473" i="1" s="1"/>
  <c r="U796" i="1"/>
  <c r="AC796" i="1" s="1"/>
  <c r="AN796" i="1" s="1"/>
  <c r="BC796" i="1" s="1"/>
  <c r="U816" i="1"/>
  <c r="AC816" i="1" s="1"/>
  <c r="AN816" i="1" s="1"/>
  <c r="BC816" i="1" s="1"/>
  <c r="U820" i="1"/>
  <c r="AC820" i="1" s="1"/>
  <c r="AN820" i="1" s="1"/>
  <c r="BC820" i="1" s="1"/>
  <c r="U963" i="1"/>
  <c r="AC963" i="1" s="1"/>
  <c r="AN963" i="1" s="1"/>
  <c r="BC963" i="1" s="1"/>
  <c r="U1081" i="1"/>
  <c r="AC1081" i="1" s="1"/>
  <c r="AN1081" i="1" s="1"/>
  <c r="BC1081" i="1" s="1"/>
  <c r="CU319" i="1"/>
  <c r="CV319" i="1" s="1"/>
  <c r="CW319" i="1" s="1"/>
  <c r="CU99" i="1"/>
  <c r="CV99" i="1" s="1"/>
  <c r="CW99" i="1" s="1"/>
  <c r="CU699" i="1"/>
  <c r="CV699" i="1" s="1"/>
  <c r="CW699" i="1" s="1"/>
  <c r="CU374" i="1"/>
  <c r="CV374" i="1" s="1"/>
  <c r="CW374" i="1" s="1"/>
  <c r="CU389" i="1"/>
  <c r="CV389" i="1" s="1"/>
  <c r="CW389" i="1" s="1"/>
  <c r="CU721" i="1"/>
  <c r="CV721" i="1" s="1"/>
  <c r="CW721" i="1" s="1"/>
  <c r="U958" i="1"/>
  <c r="AC958" i="1" s="1"/>
  <c r="AN958" i="1" s="1"/>
  <c r="BC958" i="1" s="1"/>
  <c r="U1057" i="1"/>
  <c r="AC1057" i="1" s="1"/>
  <c r="AN1057" i="1" s="1"/>
  <c r="BC1057" i="1" s="1"/>
  <c r="U99" i="1"/>
  <c r="AC99" i="1" s="1"/>
  <c r="AN99" i="1" s="1"/>
  <c r="BC99" i="1" s="1"/>
  <c r="CU624" i="1"/>
  <c r="CV624" i="1" s="1"/>
  <c r="CW624" i="1" s="1"/>
  <c r="CU683" i="1"/>
  <c r="CV683" i="1" s="1"/>
  <c r="CW683" i="1" s="1"/>
  <c r="CU906" i="1"/>
  <c r="CV906" i="1" s="1"/>
  <c r="CW906" i="1" s="1"/>
  <c r="U318" i="1"/>
  <c r="AC318" i="1" s="1"/>
  <c r="AN318" i="1" s="1"/>
  <c r="BC318" i="1" s="1"/>
  <c r="U613" i="1"/>
  <c r="AC613" i="1" s="1"/>
  <c r="AN613" i="1" s="1"/>
  <c r="BC613" i="1" s="1"/>
  <c r="U707" i="1"/>
  <c r="AC707" i="1" s="1"/>
  <c r="AN707" i="1" s="1"/>
  <c r="BC707" i="1" s="1"/>
  <c r="U965" i="1"/>
  <c r="AC965" i="1" s="1"/>
  <c r="AN965" i="1" s="1"/>
  <c r="BC965" i="1" s="1"/>
  <c r="U1052" i="1"/>
  <c r="AC1052" i="1" s="1"/>
  <c r="AN1052" i="1" s="1"/>
  <c r="BC1052" i="1" s="1"/>
  <c r="U130" i="1"/>
  <c r="AC130" i="1" s="1"/>
  <c r="AN130" i="1" s="1"/>
  <c r="BC130" i="1" s="1"/>
  <c r="U198" i="1"/>
  <c r="AC198" i="1" s="1"/>
  <c r="AN198" i="1" s="1"/>
  <c r="BC198" i="1" s="1"/>
  <c r="U464" i="1"/>
  <c r="AC464" i="1" s="1"/>
  <c r="AN464" i="1" s="1"/>
  <c r="BC464" i="1" s="1"/>
  <c r="U564" i="1"/>
  <c r="AC564" i="1" s="1"/>
  <c r="AN564" i="1" s="1"/>
  <c r="BC564" i="1" s="1"/>
  <c r="U587" i="1"/>
  <c r="AC587" i="1" s="1"/>
  <c r="AN587" i="1" s="1"/>
  <c r="BC587" i="1" s="1"/>
  <c r="U222" i="1"/>
  <c r="AC222" i="1" s="1"/>
  <c r="AN222" i="1" s="1"/>
  <c r="BC222" i="1" s="1"/>
  <c r="U319" i="1"/>
  <c r="AC319" i="1" s="1"/>
  <c r="AN319" i="1" s="1"/>
  <c r="BC319" i="1" s="1"/>
  <c r="U374" i="1"/>
  <c r="AC374" i="1" s="1"/>
  <c r="AN374" i="1" s="1"/>
  <c r="BC374" i="1" s="1"/>
  <c r="U620" i="1"/>
  <c r="AC620" i="1" s="1"/>
  <c r="AN620" i="1" s="1"/>
  <c r="BC620" i="1" s="1"/>
  <c r="CU259" i="1"/>
  <c r="CV259" i="1" s="1"/>
  <c r="CW259" i="1" s="1"/>
  <c r="CU605" i="1"/>
  <c r="CV605" i="1" s="1"/>
  <c r="CW605" i="1" s="1"/>
  <c r="CU494" i="1"/>
  <c r="CV494" i="1" s="1"/>
  <c r="CW494" i="1" s="1"/>
  <c r="CU1121" i="1"/>
  <c r="CV1121" i="1" s="1"/>
  <c r="CW1121" i="1" s="1"/>
  <c r="CU110" i="1"/>
  <c r="CV110" i="1" s="1"/>
  <c r="CW110" i="1" s="1"/>
  <c r="CU337" i="1"/>
  <c r="CV337" i="1" s="1"/>
  <c r="CW337" i="1" s="1"/>
  <c r="CU561" i="1"/>
  <c r="CV561" i="1" s="1"/>
  <c r="CW561" i="1" s="1"/>
  <c r="CU71" i="1"/>
  <c r="CU796" i="1"/>
  <c r="CV796" i="1" s="1"/>
  <c r="CW796" i="1" s="1"/>
  <c r="CU903" i="1"/>
  <c r="CV903" i="1" s="1"/>
  <c r="CW903" i="1" s="1"/>
  <c r="U953" i="1"/>
  <c r="AC953" i="1" s="1"/>
  <c r="AN953" i="1" s="1"/>
  <c r="BC953" i="1" s="1"/>
  <c r="U693" i="1"/>
  <c r="AC693" i="1" s="1"/>
  <c r="AN693" i="1" s="1"/>
  <c r="BC693" i="1" s="1"/>
  <c r="U1050" i="1"/>
  <c r="AC1050" i="1" s="1"/>
  <c r="AN1050" i="1" s="1"/>
  <c r="BC1050" i="1" s="1"/>
  <c r="U1068" i="1"/>
  <c r="AC1068" i="1" s="1"/>
  <c r="AN1068" i="1" s="1"/>
  <c r="BC1068" i="1" s="1"/>
  <c r="U1071" i="1"/>
  <c r="AC1071" i="1" s="1"/>
  <c r="AN1071" i="1" s="1"/>
  <c r="BC1071" i="1" s="1"/>
  <c r="U1124" i="1"/>
  <c r="AC1124" i="1" s="1"/>
  <c r="AN1124" i="1" s="1"/>
  <c r="BC1124" i="1" s="1"/>
  <c r="Q1136" i="1"/>
  <c r="I1136" i="1"/>
  <c r="U153" i="1"/>
  <c r="AC153" i="1" s="1"/>
  <c r="AN153" i="1" s="1"/>
  <c r="BC153" i="1" s="1"/>
  <c r="U180" i="1"/>
  <c r="AC180" i="1" s="1"/>
  <c r="AN180" i="1" s="1"/>
  <c r="BC180" i="1" s="1"/>
  <c r="N1136" i="1"/>
  <c r="U366" i="1"/>
  <c r="AC366" i="1" s="1"/>
  <c r="AN366" i="1" s="1"/>
  <c r="BC366" i="1" s="1"/>
  <c r="U704" i="1"/>
  <c r="AC704" i="1" s="1"/>
  <c r="AN704" i="1" s="1"/>
  <c r="BC704" i="1" s="1"/>
  <c r="U797" i="1"/>
  <c r="AC797" i="1" s="1"/>
  <c r="AN797" i="1" s="1"/>
  <c r="BC797" i="1" s="1"/>
  <c r="S1136" i="1"/>
  <c r="AO1136" i="1"/>
  <c r="U378" i="1"/>
  <c r="AC378" i="1" s="1"/>
  <c r="AN378" i="1" s="1"/>
  <c r="BC378" i="1" s="1"/>
  <c r="U470" i="1"/>
  <c r="AC470" i="1" s="1"/>
  <c r="AN470" i="1" s="1"/>
  <c r="BC470" i="1" s="1"/>
  <c r="U573" i="1"/>
  <c r="AC573" i="1" s="1"/>
  <c r="AN573" i="1" s="1"/>
  <c r="BC573" i="1" s="1"/>
  <c r="U717" i="1"/>
  <c r="AC717" i="1" s="1"/>
  <c r="AN717" i="1" s="1"/>
  <c r="BC717" i="1" s="1"/>
  <c r="U725" i="1"/>
  <c r="AC725" i="1" s="1"/>
  <c r="AN725" i="1" s="1"/>
  <c r="BC725" i="1" s="1"/>
  <c r="U771" i="1"/>
  <c r="AC771" i="1" s="1"/>
  <c r="AN771" i="1" s="1"/>
  <c r="BC771" i="1" s="1"/>
  <c r="AP1136" i="1"/>
  <c r="F1136" i="1"/>
  <c r="M71" i="1"/>
  <c r="U71" i="1" s="1"/>
  <c r="AC71" i="1" s="1"/>
  <c r="AN71" i="1" s="1"/>
  <c r="BC71" i="1" s="1"/>
  <c r="U1051" i="1"/>
  <c r="AC1051" i="1" s="1"/>
  <c r="AN1051" i="1" s="1"/>
  <c r="BC1051" i="1" s="1"/>
  <c r="U567" i="1"/>
  <c r="AC567" i="1" s="1"/>
  <c r="AN567" i="1" s="1"/>
  <c r="BC567" i="1" s="1"/>
  <c r="U90" i="1"/>
  <c r="AC90" i="1" s="1"/>
  <c r="AN90" i="1" s="1"/>
  <c r="BC90" i="1" s="1"/>
  <c r="U121" i="1"/>
  <c r="AC121" i="1" s="1"/>
  <c r="AN121" i="1" s="1"/>
  <c r="BC121" i="1" s="1"/>
  <c r="U368" i="1"/>
  <c r="AC368" i="1" s="1"/>
  <c r="AN368" i="1" s="1"/>
  <c r="BC368" i="1" s="1"/>
  <c r="U561" i="1"/>
  <c r="AC561" i="1" s="1"/>
  <c r="AN561" i="1" s="1"/>
  <c r="BC561" i="1" s="1"/>
  <c r="U1134" i="1"/>
  <c r="AC1134" i="1" s="1"/>
  <c r="AN1134" i="1" s="1"/>
  <c r="BC1134" i="1" s="1"/>
  <c r="DR1135" i="1"/>
  <c r="U123" i="1"/>
  <c r="AC123" i="1" s="1"/>
  <c r="AN123" i="1" s="1"/>
  <c r="BC123" i="1" s="1"/>
  <c r="U1111" i="1"/>
  <c r="AC1111" i="1" s="1"/>
  <c r="AN1111" i="1" s="1"/>
  <c r="BC1111" i="1" s="1"/>
  <c r="CV150" i="1"/>
  <c r="CW150" i="1" s="1"/>
  <c r="CV258" i="1"/>
  <c r="CW258" i="1" s="1"/>
  <c r="BC547" i="1"/>
  <c r="CV547" i="1"/>
  <c r="CW547" i="1" s="1"/>
  <c r="CV128" i="1"/>
  <c r="CW128" i="1" s="1"/>
  <c r="BC156" i="1"/>
  <c r="CV156" i="1"/>
  <c r="CW156" i="1" s="1"/>
  <c r="BC188" i="1"/>
  <c r="CV188" i="1"/>
  <c r="CW188" i="1" s="1"/>
  <c r="BC227" i="1"/>
  <c r="CV227" i="1"/>
  <c r="CW227" i="1" s="1"/>
  <c r="CV358" i="1"/>
  <c r="CW358" i="1" s="1"/>
  <c r="BC204" i="1"/>
  <c r="CV204" i="1"/>
  <c r="CW204" i="1" s="1"/>
  <c r="CV278" i="1"/>
  <c r="CW278" i="1" s="1"/>
  <c r="CV392" i="1"/>
  <c r="CW392" i="1" s="1"/>
  <c r="CV152" i="1"/>
  <c r="CW152" i="1" s="1"/>
  <c r="BC171" i="1"/>
  <c r="CV171" i="1"/>
  <c r="CW171" i="1" s="1"/>
  <c r="CV780" i="1"/>
  <c r="CW780" i="1" s="1"/>
  <c r="BC81" i="1"/>
  <c r="CV81" i="1"/>
  <c r="CW81" i="1" s="1"/>
  <c r="BC316" i="1"/>
  <c r="CV316" i="1"/>
  <c r="CW316" i="1" s="1"/>
  <c r="BC422" i="1"/>
  <c r="CV422" i="1"/>
  <c r="CW422" i="1" s="1"/>
  <c r="BC482" i="1"/>
  <c r="CV482" i="1"/>
  <c r="CW482" i="1" s="1"/>
  <c r="BC1073" i="1"/>
  <c r="CV1073" i="1"/>
  <c r="CW1073" i="1" s="1"/>
  <c r="CV92" i="1"/>
  <c r="CW92" i="1" s="1"/>
  <c r="BC335" i="1"/>
  <c r="CV335" i="1"/>
  <c r="CW335" i="1" s="1"/>
  <c r="BC458" i="1"/>
  <c r="CV458" i="1"/>
  <c r="CW458" i="1" s="1"/>
  <c r="BC568" i="1"/>
  <c r="CV568" i="1"/>
  <c r="CW568" i="1" s="1"/>
  <c r="BC632" i="1"/>
  <c r="CV632" i="1"/>
  <c r="CW632" i="1" s="1"/>
  <c r="BC734" i="1"/>
  <c r="CV734" i="1"/>
  <c r="CW734" i="1" s="1"/>
  <c r="CV962" i="1"/>
  <c r="CW962" i="1" s="1"/>
  <c r="BC1014" i="1"/>
  <c r="CV1014" i="1"/>
  <c r="CW1014" i="1" s="1"/>
  <c r="BC629" i="1"/>
  <c r="CV629" i="1"/>
  <c r="CW629" i="1" s="1"/>
  <c r="BC700" i="1"/>
  <c r="CV700" i="1"/>
  <c r="CW700" i="1" s="1"/>
  <c r="CV805" i="1"/>
  <c r="CW805" i="1" s="1"/>
  <c r="CV838" i="1"/>
  <c r="CW838" i="1" s="1"/>
  <c r="BC856" i="1"/>
  <c r="CV856" i="1"/>
  <c r="CW856" i="1" s="1"/>
  <c r="CV978" i="1"/>
  <c r="CW978" i="1" s="1"/>
  <c r="BC98" i="1"/>
  <c r="CV98" i="1"/>
  <c r="CW98" i="1" s="1"/>
  <c r="BC238" i="1"/>
  <c r="CV238" i="1"/>
  <c r="CW238" i="1" s="1"/>
  <c r="BC395" i="1"/>
  <c r="CV395" i="1"/>
  <c r="CW395" i="1" s="1"/>
  <c r="BC420" i="1"/>
  <c r="CV420" i="1"/>
  <c r="CW420" i="1" s="1"/>
  <c r="BC449" i="1"/>
  <c r="CV449" i="1"/>
  <c r="CW449" i="1" s="1"/>
  <c r="BC534" i="1"/>
  <c r="CV534" i="1"/>
  <c r="CW534" i="1" s="1"/>
  <c r="BC536" i="1"/>
  <c r="CV536" i="1"/>
  <c r="CW536" i="1" s="1"/>
  <c r="CV956" i="1"/>
  <c r="CW956" i="1" s="1"/>
  <c r="BC974" i="1"/>
  <c r="CV974" i="1"/>
  <c r="CW974" i="1" s="1"/>
  <c r="BC1034" i="1"/>
  <c r="CV1034" i="1"/>
  <c r="CW1034" i="1" s="1"/>
  <c r="BC1036" i="1"/>
  <c r="CV1036" i="1"/>
  <c r="CW1036" i="1" s="1"/>
  <c r="CV1060" i="1"/>
  <c r="CW1060" i="1" s="1"/>
  <c r="BC144" i="1"/>
  <c r="CV144" i="1"/>
  <c r="CW144" i="1" s="1"/>
  <c r="BC157" i="1"/>
  <c r="CV157" i="1"/>
  <c r="CW157" i="1" s="1"/>
  <c r="BC209" i="1"/>
  <c r="CV209" i="1"/>
  <c r="CW209" i="1" s="1"/>
  <c r="BC230" i="1"/>
  <c r="CV230" i="1"/>
  <c r="CW230" i="1" s="1"/>
  <c r="CV272" i="1"/>
  <c r="CW272" i="1" s="1"/>
  <c r="CV390" i="1"/>
  <c r="CW390" i="1" s="1"/>
  <c r="BC447" i="1"/>
  <c r="CV447" i="1"/>
  <c r="CW447" i="1" s="1"/>
  <c r="CV10" i="1"/>
  <c r="CW10" i="1" s="1"/>
  <c r="BC57" i="1"/>
  <c r="CV57" i="1"/>
  <c r="CW57" i="1" s="1"/>
  <c r="CV84" i="1"/>
  <c r="CW84" i="1" s="1"/>
  <c r="BC155" i="1"/>
  <c r="CV155" i="1"/>
  <c r="CW155" i="1" s="1"/>
  <c r="BC203" i="1"/>
  <c r="CV203" i="1"/>
  <c r="CW203" i="1" s="1"/>
  <c r="BC212" i="1"/>
  <c r="CV212" i="1"/>
  <c r="CW212" i="1" s="1"/>
  <c r="BC216" i="1"/>
  <c r="CV216" i="1"/>
  <c r="CW216" i="1" s="1"/>
  <c r="BC277" i="1"/>
  <c r="CV277" i="1"/>
  <c r="CW277" i="1" s="1"/>
  <c r="CV22" i="1"/>
  <c r="CW22" i="1" s="1"/>
  <c r="CV82" i="1"/>
  <c r="CW82" i="1" s="1"/>
  <c r="BC95" i="1"/>
  <c r="CV95" i="1"/>
  <c r="CW95" i="1" s="1"/>
  <c r="BC237" i="1"/>
  <c r="CV237" i="1"/>
  <c r="CW237" i="1" s="1"/>
  <c r="BC246" i="1"/>
  <c r="CV246" i="1"/>
  <c r="CW246" i="1" s="1"/>
  <c r="CV312" i="1"/>
  <c r="CW312" i="1" s="1"/>
  <c r="BC340" i="1"/>
  <c r="CV340" i="1"/>
  <c r="CW340" i="1" s="1"/>
  <c r="BC419" i="1"/>
  <c r="CV419" i="1"/>
  <c r="CW419" i="1" s="1"/>
  <c r="CV516" i="1"/>
  <c r="CW516" i="1" s="1"/>
  <c r="BC521" i="1"/>
  <c r="CV521" i="1"/>
  <c r="CW521" i="1" s="1"/>
  <c r="CV528" i="1"/>
  <c r="CW528" i="1" s="1"/>
  <c r="BC535" i="1"/>
  <c r="CV535" i="1"/>
  <c r="CW535" i="1" s="1"/>
  <c r="BC168" i="1"/>
  <c r="CV168" i="1"/>
  <c r="CW168" i="1" s="1"/>
  <c r="BC218" i="1"/>
  <c r="CV218" i="1"/>
  <c r="CW218" i="1" s="1"/>
  <c r="BC226" i="1"/>
  <c r="CV226" i="1"/>
  <c r="CW226" i="1" s="1"/>
  <c r="CV243" i="1"/>
  <c r="CW243" i="1" s="1"/>
  <c r="BC348" i="1"/>
  <c r="CV348" i="1"/>
  <c r="CW348" i="1" s="1"/>
  <c r="CV757" i="1"/>
  <c r="CW757" i="1" s="1"/>
  <c r="BC815" i="1"/>
  <c r="CV815" i="1"/>
  <c r="CW815" i="1" s="1"/>
  <c r="BC933" i="1"/>
  <c r="CV933" i="1"/>
  <c r="CW933" i="1" s="1"/>
  <c r="CV949" i="1"/>
  <c r="CW949" i="1" s="1"/>
  <c r="BC73" i="1"/>
  <c r="CV73" i="1"/>
  <c r="CW73" i="1" s="1"/>
  <c r="BC75" i="1"/>
  <c r="CV75" i="1"/>
  <c r="CW75" i="1" s="1"/>
  <c r="BC143" i="1"/>
  <c r="CV143" i="1"/>
  <c r="CW143" i="1" s="1"/>
  <c r="BC158" i="1"/>
  <c r="CV158" i="1"/>
  <c r="CW158" i="1" s="1"/>
  <c r="BC229" i="1"/>
  <c r="CV229" i="1"/>
  <c r="CW229" i="1" s="1"/>
  <c r="BC330" i="1"/>
  <c r="CV330" i="1"/>
  <c r="CW330" i="1" s="1"/>
  <c r="BC459" i="1"/>
  <c r="CV459" i="1"/>
  <c r="CW459" i="1" s="1"/>
  <c r="CV519" i="1"/>
  <c r="CW519" i="1" s="1"/>
  <c r="BC544" i="1"/>
  <c r="CV544" i="1"/>
  <c r="CW544" i="1" s="1"/>
  <c r="BC565" i="1"/>
  <c r="CV565" i="1"/>
  <c r="CW565" i="1" s="1"/>
  <c r="CV569" i="1"/>
  <c r="CW569" i="1" s="1"/>
  <c r="CV635" i="1"/>
  <c r="CW635" i="1" s="1"/>
  <c r="BC445" i="1"/>
  <c r="CV445" i="1"/>
  <c r="CW445" i="1" s="1"/>
  <c r="BC703" i="1"/>
  <c r="CV703" i="1"/>
  <c r="CW703" i="1" s="1"/>
  <c r="CV747" i="1"/>
  <c r="CW747" i="1" s="1"/>
  <c r="BC781" i="1"/>
  <c r="CV781" i="1"/>
  <c r="CW781" i="1" s="1"/>
  <c r="CV828" i="1"/>
  <c r="CW828" i="1" s="1"/>
  <c r="CV880" i="1"/>
  <c r="CW880" i="1" s="1"/>
  <c r="CV901" i="1"/>
  <c r="CW901" i="1" s="1"/>
  <c r="BC1108" i="1"/>
  <c r="CV1108" i="1"/>
  <c r="CW1108" i="1" s="1"/>
  <c r="CV658" i="1"/>
  <c r="CW658" i="1" s="1"/>
  <c r="CV665" i="1"/>
  <c r="CW665" i="1" s="1"/>
  <c r="BC679" i="1"/>
  <c r="CV679" i="1"/>
  <c r="CW679" i="1" s="1"/>
  <c r="CV752" i="1"/>
  <c r="CW752" i="1" s="1"/>
  <c r="BC922" i="1"/>
  <c r="CV922" i="1"/>
  <c r="CW922" i="1" s="1"/>
  <c r="BC977" i="1"/>
  <c r="CV977" i="1"/>
  <c r="CW977" i="1" s="1"/>
  <c r="CV1012" i="1"/>
  <c r="CW1012" i="1" s="1"/>
  <c r="CV1026" i="1"/>
  <c r="CW1026" i="1" s="1"/>
  <c r="BC503" i="1"/>
  <c r="CV503" i="1"/>
  <c r="CW503" i="1" s="1"/>
  <c r="CV733" i="1"/>
  <c r="CW733" i="1" s="1"/>
  <c r="BC753" i="1"/>
  <c r="CV753" i="1"/>
  <c r="CW753" i="1" s="1"/>
  <c r="BC952" i="1"/>
  <c r="CV952" i="1"/>
  <c r="CW952" i="1" s="1"/>
  <c r="BC980" i="1"/>
  <c r="CV980" i="1"/>
  <c r="CW980" i="1" s="1"/>
  <c r="BC1082" i="1"/>
  <c r="CV1082" i="1"/>
  <c r="CW1082" i="1" s="1"/>
  <c r="BC1091" i="1"/>
  <c r="CV1091" i="1"/>
  <c r="CW1091" i="1" s="1"/>
  <c r="BC235" i="1"/>
  <c r="BC748" i="1"/>
  <c r="BC169" i="1"/>
  <c r="CV180" i="1"/>
  <c r="CW180" i="1" s="1"/>
  <c r="CV196" i="1"/>
  <c r="CW196" i="1" s="1"/>
  <c r="BC746" i="1"/>
  <c r="CV770" i="1"/>
  <c r="CW770" i="1" s="1"/>
  <c r="BC804" i="1"/>
  <c r="CV1092" i="1"/>
  <c r="CW1092" i="1" s="1"/>
  <c r="BC1118" i="1"/>
  <c r="BC919" i="1"/>
  <c r="CV983" i="1"/>
  <c r="CW983" i="1" s="1"/>
  <c r="CV1133" i="1"/>
  <c r="CW1133" i="1" s="1"/>
  <c r="BC392" i="1"/>
  <c r="CV223" i="1"/>
  <c r="CW223" i="1" s="1"/>
  <c r="CV929" i="1"/>
  <c r="CW929" i="1" s="1"/>
  <c r="CV769" i="1"/>
  <c r="CW769" i="1" s="1"/>
  <c r="CV176" i="1"/>
  <c r="CW176" i="1" s="1"/>
  <c r="BC572" i="1"/>
  <c r="CV146" i="1"/>
  <c r="CW146" i="1" s="1"/>
  <c r="BC514" i="1"/>
  <c r="BC312" i="1"/>
  <c r="BC317" i="1"/>
  <c r="BC331" i="1"/>
  <c r="BC390" i="1"/>
  <c r="CV417" i="1"/>
  <c r="CW417" i="1" s="1"/>
  <c r="BC694" i="1"/>
  <c r="BC944" i="1"/>
  <c r="CV612" i="1"/>
  <c r="CW612" i="1" s="1"/>
  <c r="CV373" i="1"/>
  <c r="CW373" i="1" s="1"/>
  <c r="CV6" i="1"/>
  <c r="CW6" i="1" s="1"/>
  <c r="BC19" i="1"/>
  <c r="BC21" i="1"/>
  <c r="BC732" i="1"/>
  <c r="BC805" i="1"/>
  <c r="CV253" i="1"/>
  <c r="CW253" i="1" s="1"/>
  <c r="BC50" i="1"/>
  <c r="CV76" i="1"/>
  <c r="CW76" i="1" s="1"/>
  <c r="BC114" i="1"/>
  <c r="CV255" i="1"/>
  <c r="CW255" i="1" s="1"/>
  <c r="CV306" i="1"/>
  <c r="CW306" i="1" s="1"/>
  <c r="BC999" i="1"/>
  <c r="CV44" i="1"/>
  <c r="CW44" i="1" s="1"/>
  <c r="BC578" i="1"/>
  <c r="BC680" i="1"/>
  <c r="CV1009" i="1"/>
  <c r="CW1009" i="1" s="1"/>
  <c r="BC1022" i="1"/>
  <c r="CV388" i="1"/>
  <c r="CW388" i="1" s="1"/>
  <c r="CV623" i="1"/>
  <c r="CW623" i="1" s="1"/>
  <c r="BC12" i="1"/>
  <c r="CV32" i="1"/>
  <c r="CW32" i="1" s="1"/>
  <c r="CV36" i="1"/>
  <c r="CW36" i="1" s="1"/>
  <c r="BC54" i="1"/>
  <c r="CV368" i="1"/>
  <c r="CW368" i="1" s="1"/>
  <c r="CV370" i="1"/>
  <c r="CW370" i="1" s="1"/>
  <c r="CV732" i="1"/>
  <c r="CW732" i="1" s="1"/>
  <c r="BC757" i="1"/>
  <c r="BC817" i="1"/>
  <c r="BC1046" i="1"/>
  <c r="BC1083" i="1"/>
  <c r="CV685" i="1"/>
  <c r="CW685" i="1" s="1"/>
  <c r="CV687" i="1"/>
  <c r="CW687" i="1" s="1"/>
  <c r="CV689" i="1"/>
  <c r="CW689" i="1" s="1"/>
  <c r="BC115" i="1"/>
  <c r="CV364" i="1"/>
  <c r="CW364" i="1" s="1"/>
  <c r="BC486" i="1"/>
  <c r="BC523" i="1"/>
  <c r="CV672" i="1"/>
  <c r="CW672" i="1" s="1"/>
  <c r="BC839" i="1"/>
  <c r="CV859" i="1"/>
  <c r="CW859" i="1" s="1"/>
  <c r="CV869" i="1"/>
  <c r="CW869" i="1" s="1"/>
  <c r="BC983" i="1"/>
  <c r="CV930" i="1"/>
  <c r="CW930" i="1" s="1"/>
  <c r="CV936" i="1"/>
  <c r="CW936" i="1" s="1"/>
  <c r="BC105" i="1"/>
  <c r="CV111" i="1"/>
  <c r="CW111" i="1" s="1"/>
  <c r="CV182" i="1"/>
  <c r="CW182" i="1" s="1"/>
  <c r="CV184" i="1"/>
  <c r="CW184" i="1" s="1"/>
  <c r="CV248" i="1"/>
  <c r="CW248" i="1" s="1"/>
  <c r="U292" i="1"/>
  <c r="AC292" i="1" s="1"/>
  <c r="AN292" i="1" s="1"/>
  <c r="BC292" i="1" s="1"/>
  <c r="BC780" i="1"/>
  <c r="CV786" i="1"/>
  <c r="CW786" i="1" s="1"/>
  <c r="CV876" i="1"/>
  <c r="CW876" i="1" s="1"/>
  <c r="BC569" i="1"/>
  <c r="BC635" i="1"/>
  <c r="BC901" i="1"/>
  <c r="CV946" i="1"/>
  <c r="CW946" i="1" s="1"/>
  <c r="CV948" i="1"/>
  <c r="CW948" i="1" s="1"/>
  <c r="BC998" i="1"/>
  <c r="BC1135" i="1"/>
  <c r="CV749" i="1"/>
  <c r="CW749" i="1" s="1"/>
  <c r="U283" i="1"/>
  <c r="AC283" i="1" s="1"/>
  <c r="AN283" i="1" s="1"/>
  <c r="BC283" i="1" s="1"/>
  <c r="CV115" i="1"/>
  <c r="CW115" i="1" s="1"/>
  <c r="CV131" i="1"/>
  <c r="CW131" i="1" s="1"/>
  <c r="CV164" i="1"/>
  <c r="CW164" i="1" s="1"/>
  <c r="BC234" i="1"/>
  <c r="BC236" i="1"/>
  <c r="CV241" i="1"/>
  <c r="CW241" i="1" s="1"/>
  <c r="BC278" i="1"/>
  <c r="CV351" i="1"/>
  <c r="CW351" i="1" s="1"/>
  <c r="CV353" i="1"/>
  <c r="CW353" i="1" s="1"/>
  <c r="BC372" i="1"/>
  <c r="BC375" i="1"/>
  <c r="BC931" i="1"/>
  <c r="BC949" i="1"/>
  <c r="BC984" i="1"/>
  <c r="CV988" i="1"/>
  <c r="CW988" i="1" s="1"/>
  <c r="CV990" i="1"/>
  <c r="CW990" i="1" s="1"/>
  <c r="CV287" i="1"/>
  <c r="CW287" i="1" s="1"/>
  <c r="BC651" i="1"/>
  <c r="CV20" i="1"/>
  <c r="CW20" i="1" s="1"/>
  <c r="BC43" i="1"/>
  <c r="BC45" i="1"/>
  <c r="BC47" i="1"/>
  <c r="BC49" i="1"/>
  <c r="BC163" i="1"/>
  <c r="CV300" i="1"/>
  <c r="CW300" i="1" s="1"/>
  <c r="CV304" i="1"/>
  <c r="CW304" i="1" s="1"/>
  <c r="BC765" i="1"/>
  <c r="BC767" i="1"/>
  <c r="BC1097" i="1"/>
  <c r="BC1084" i="1"/>
  <c r="CV1085" i="1"/>
  <c r="CW1085" i="1" s="1"/>
  <c r="CV11" i="1"/>
  <c r="CW11" i="1" s="1"/>
  <c r="BC34" i="1"/>
  <c r="BC69" i="1"/>
  <c r="CV91" i="1"/>
  <c r="CW91" i="1" s="1"/>
  <c r="BC139" i="1"/>
  <c r="CV163" i="1"/>
  <c r="CW163" i="1" s="1"/>
  <c r="BC225" i="1"/>
  <c r="CV317" i="1"/>
  <c r="CW317" i="1" s="1"/>
  <c r="BC355" i="1"/>
  <c r="CV506" i="1"/>
  <c r="CW506" i="1" s="1"/>
  <c r="BC519" i="1"/>
  <c r="CV573" i="1"/>
  <c r="CW573" i="1" s="1"/>
  <c r="CV615" i="1"/>
  <c r="CW615" i="1" s="1"/>
  <c r="BC658" i="1"/>
  <c r="BC670" i="1"/>
  <c r="BC795" i="1"/>
  <c r="CV801" i="1"/>
  <c r="CW801" i="1" s="1"/>
  <c r="CV837" i="1"/>
  <c r="CW837" i="1" s="1"/>
  <c r="BC882" i="1"/>
  <c r="CV923" i="1"/>
  <c r="CW923" i="1" s="1"/>
  <c r="BC988" i="1"/>
  <c r="CV1018" i="1"/>
  <c r="CW1018" i="1" s="1"/>
  <c r="BC1024" i="1"/>
  <c r="BC1086" i="1"/>
  <c r="BC1088" i="1"/>
  <c r="BC1098" i="1"/>
  <c r="BC1130" i="1"/>
  <c r="U298" i="1"/>
  <c r="AC298" i="1" s="1"/>
  <c r="AN298" i="1" s="1"/>
  <c r="BC298" i="1" s="1"/>
  <c r="CV475" i="1"/>
  <c r="CW475" i="1" s="1"/>
  <c r="BC450" i="1"/>
  <c r="BC609" i="1"/>
  <c r="BC1064" i="1"/>
  <c r="U110" i="1"/>
  <c r="AC110" i="1" s="1"/>
  <c r="AN110" i="1" s="1"/>
  <c r="BC110" i="1" s="1"/>
  <c r="CV795" i="1"/>
  <c r="CW795" i="1" s="1"/>
  <c r="CV882" i="1"/>
  <c r="CW882" i="1" s="1"/>
  <c r="CV663" i="1"/>
  <c r="CW663" i="1" s="1"/>
  <c r="CV34" i="1"/>
  <c r="CW34" i="1" s="1"/>
  <c r="CV52" i="1"/>
  <c r="CW52" i="1" s="1"/>
  <c r="U294" i="1"/>
  <c r="AC294" i="1" s="1"/>
  <c r="AN294" i="1" s="1"/>
  <c r="BC294" i="1" s="1"/>
  <c r="U307" i="1"/>
  <c r="AC307" i="1" s="1"/>
  <c r="AN307" i="1" s="1"/>
  <c r="BC307" i="1" s="1"/>
  <c r="BC388" i="1"/>
  <c r="BC25" i="1"/>
  <c r="CV172" i="1"/>
  <c r="CW172" i="1" s="1"/>
  <c r="BC224" i="1"/>
  <c r="CV336" i="1"/>
  <c r="CW336" i="1" s="1"/>
  <c r="BC346" i="1"/>
  <c r="CV380" i="1"/>
  <c r="CW380" i="1" s="1"/>
  <c r="BC499" i="1"/>
  <c r="CV559" i="1"/>
  <c r="CW559" i="1" s="1"/>
  <c r="CV592" i="1"/>
  <c r="CW592" i="1" s="1"/>
  <c r="BC608" i="1"/>
  <c r="BC686" i="1"/>
  <c r="CV864" i="1"/>
  <c r="CW864" i="1" s="1"/>
  <c r="CV1023" i="1"/>
  <c r="CW1023" i="1" s="1"/>
  <c r="BC1038" i="1"/>
  <c r="BC427" i="1"/>
  <c r="BC257" i="1"/>
  <c r="CV479" i="1"/>
  <c r="CW479" i="1" s="1"/>
  <c r="CV562" i="1"/>
  <c r="CW562" i="1" s="1"/>
  <c r="BC562" i="1"/>
  <c r="CV794" i="1"/>
  <c r="CW794" i="1" s="1"/>
  <c r="BC794" i="1"/>
  <c r="BC1043" i="1"/>
  <c r="CV1043" i="1"/>
  <c r="CW1043" i="1" s="1"/>
  <c r="BC889" i="1"/>
  <c r="CV889" i="1"/>
  <c r="CW889" i="1" s="1"/>
  <c r="BC1123" i="1"/>
  <c r="CV1123" i="1"/>
  <c r="CW1123" i="1" s="1"/>
  <c r="BC493" i="1"/>
  <c r="CV493" i="1"/>
  <c r="CW493" i="1" s="1"/>
  <c r="BC957" i="1"/>
  <c r="CV957" i="1"/>
  <c r="CW957" i="1" s="1"/>
  <c r="CV382" i="1"/>
  <c r="CW382" i="1" s="1"/>
  <c r="BC382" i="1"/>
  <c r="BC475" i="1"/>
  <c r="CV745" i="1"/>
  <c r="CW745" i="1" s="1"/>
  <c r="BC170" i="1"/>
  <c r="CV170" i="1"/>
  <c r="CW170" i="1" s="1"/>
  <c r="BC443" i="1"/>
  <c r="CV443" i="1"/>
  <c r="CW443" i="1" s="1"/>
  <c r="BC524" i="1"/>
  <c r="CV524" i="1"/>
  <c r="CW524" i="1" s="1"/>
  <c r="CV51" i="1"/>
  <c r="CW51" i="1" s="1"/>
  <c r="BC835" i="1"/>
  <c r="CV835" i="1"/>
  <c r="CW835" i="1" s="1"/>
  <c r="BC162" i="1"/>
  <c r="BC189" i="1"/>
  <c r="CV189" i="1"/>
  <c r="CW189" i="1" s="1"/>
  <c r="BC270" i="1"/>
  <c r="BC272" i="1"/>
  <c r="CV406" i="1"/>
  <c r="CW406" i="1" s="1"/>
  <c r="CV655" i="1"/>
  <c r="CW655" i="1" s="1"/>
  <c r="BC655" i="1"/>
  <c r="CV827" i="1"/>
  <c r="CW827" i="1" s="1"/>
  <c r="BC1060" i="1"/>
  <c r="BC1131" i="1"/>
  <c r="CV408" i="1"/>
  <c r="CW408" i="1" s="1"/>
  <c r="CV481" i="1"/>
  <c r="CW481" i="1" s="1"/>
  <c r="CV756" i="1"/>
  <c r="CW756" i="1" s="1"/>
  <c r="CV887" i="1"/>
  <c r="CW887" i="1" s="1"/>
  <c r="CV235" i="1"/>
  <c r="CW235" i="1" s="1"/>
  <c r="CV270" i="1"/>
  <c r="CW270" i="1" s="1"/>
  <c r="U290" i="1"/>
  <c r="AC290" i="1" s="1"/>
  <c r="AN290" i="1" s="1"/>
  <c r="BC290" i="1" s="1"/>
  <c r="CV298" i="1"/>
  <c r="CW298" i="1" s="1"/>
  <c r="BC336" i="1"/>
  <c r="CV427" i="1"/>
  <c r="CW427" i="1" s="1"/>
  <c r="CV454" i="1"/>
  <c r="CW454" i="1" s="1"/>
  <c r="BC543" i="1"/>
  <c r="CV598" i="1"/>
  <c r="CW598" i="1" s="1"/>
  <c r="BC669" i="1"/>
  <c r="BC708" i="1"/>
  <c r="BC832" i="1"/>
  <c r="BC847" i="1"/>
  <c r="CV964" i="1"/>
  <c r="CW964" i="1" s="1"/>
  <c r="BC979" i="1"/>
  <c r="CV1101" i="1"/>
  <c r="CW1101" i="1" s="1"/>
  <c r="CV33" i="1"/>
  <c r="CW33" i="1" s="1"/>
  <c r="CV37" i="1"/>
  <c r="CW37" i="1" s="1"/>
  <c r="CV56" i="1"/>
  <c r="CW56" i="1" s="1"/>
  <c r="CV80" i="1"/>
  <c r="CW80" i="1" s="1"/>
  <c r="BC82" i="1"/>
  <c r="CV195" i="1"/>
  <c r="CW195" i="1" s="1"/>
  <c r="CV244" i="1"/>
  <c r="CW244" i="1" s="1"/>
  <c r="BC252" i="1"/>
  <c r="BC263" i="1"/>
  <c r="BC271" i="1"/>
  <c r="BC273" i="1"/>
  <c r="CV276" i="1"/>
  <c r="CW276" i="1" s="1"/>
  <c r="BC379" i="1"/>
  <c r="CV405" i="1"/>
  <c r="CW405" i="1" s="1"/>
  <c r="BC455" i="1"/>
  <c r="CV526" i="1"/>
  <c r="CW526" i="1" s="1"/>
  <c r="BC626" i="1"/>
  <c r="BC689" i="1"/>
  <c r="CV697" i="1"/>
  <c r="CW697" i="1" s="1"/>
  <c r="CV730" i="1"/>
  <c r="CW730" i="1" s="1"/>
  <c r="BC789" i="1"/>
  <c r="BC793" i="1"/>
  <c r="CV817" i="1"/>
  <c r="CW817" i="1" s="1"/>
  <c r="BC956" i="1"/>
  <c r="BC961" i="1"/>
  <c r="CV1051" i="1"/>
  <c r="CW1051" i="1" s="1"/>
  <c r="CV1068" i="1"/>
  <c r="CW1068" i="1" s="1"/>
  <c r="BC1106" i="1"/>
  <c r="CV758" i="1"/>
  <c r="CW758" i="1" s="1"/>
  <c r="CV847" i="1"/>
  <c r="CW847" i="1" s="1"/>
  <c r="BC607" i="1"/>
  <c r="CV654" i="1"/>
  <c r="CW654" i="1" s="1"/>
  <c r="CV675" i="1"/>
  <c r="CW675" i="1" s="1"/>
  <c r="CV696" i="1"/>
  <c r="CW696" i="1" s="1"/>
  <c r="BC782" i="1"/>
  <c r="CV791" i="1"/>
  <c r="CW791" i="1" s="1"/>
  <c r="BC921" i="1"/>
  <c r="CV935" i="1"/>
  <c r="CW935" i="1" s="1"/>
  <c r="CV943" i="1"/>
  <c r="CW943" i="1" s="1"/>
  <c r="BC978" i="1"/>
  <c r="CV1006" i="1"/>
  <c r="CW1006" i="1" s="1"/>
  <c r="CV1118" i="1"/>
  <c r="CW1118" i="1" s="1"/>
  <c r="CV247" i="1"/>
  <c r="CW247" i="1" s="1"/>
  <c r="CV489" i="1"/>
  <c r="CW489" i="1" s="1"/>
  <c r="CV498" i="1"/>
  <c r="CW498" i="1" s="1"/>
  <c r="CV790" i="1"/>
  <c r="CW790" i="1" s="1"/>
  <c r="CV925" i="1"/>
  <c r="CW925" i="1" s="1"/>
  <c r="CV21" i="1"/>
  <c r="CW21" i="1" s="1"/>
  <c r="CV35" i="1"/>
  <c r="CW35" i="1" s="1"/>
  <c r="CV49" i="1"/>
  <c r="CW49" i="1" s="1"/>
  <c r="CV127" i="1"/>
  <c r="CW127" i="1" s="1"/>
  <c r="CV68" i="1"/>
  <c r="CW68" i="1" s="1"/>
  <c r="CV89" i="1"/>
  <c r="CW89" i="1" s="1"/>
  <c r="BC100" i="1"/>
  <c r="BC106" i="1"/>
  <c r="BC127" i="1"/>
  <c r="CV130" i="1"/>
  <c r="CW130" i="1" s="1"/>
  <c r="CV140" i="1"/>
  <c r="CW140" i="1" s="1"/>
  <c r="BC150" i="1"/>
  <c r="BC160" i="1"/>
  <c r="CV173" i="1"/>
  <c r="CW173" i="1" s="1"/>
  <c r="BC233" i="1"/>
  <c r="CV273" i="1"/>
  <c r="CW273" i="1" s="1"/>
  <c r="U310" i="1"/>
  <c r="AC310" i="1" s="1"/>
  <c r="AN310" i="1" s="1"/>
  <c r="BC310" i="1" s="1"/>
  <c r="CV322" i="1"/>
  <c r="CW322" i="1" s="1"/>
  <c r="BC324" i="1"/>
  <c r="BC360" i="1"/>
  <c r="CV434" i="1"/>
  <c r="CW434" i="1" s="1"/>
  <c r="BC481" i="1"/>
  <c r="BC489" i="1"/>
  <c r="CV515" i="1"/>
  <c r="CW515" i="1" s="1"/>
  <c r="CV555" i="1"/>
  <c r="CW555" i="1" s="1"/>
  <c r="CV662" i="1"/>
  <c r="CW662" i="1" s="1"/>
  <c r="CV673" i="1"/>
  <c r="CW673" i="1" s="1"/>
  <c r="BC756" i="1"/>
  <c r="BC803" i="1"/>
  <c r="CV808" i="1"/>
  <c r="CW808" i="1" s="1"/>
  <c r="CV818" i="1"/>
  <c r="CW818" i="1" s="1"/>
  <c r="CV823" i="1"/>
  <c r="CW823" i="1" s="1"/>
  <c r="CV844" i="1"/>
  <c r="CW844" i="1" s="1"/>
  <c r="BC877" i="1"/>
  <c r="BC883" i="1"/>
  <c r="BC1058" i="1"/>
  <c r="CV1087" i="1"/>
  <c r="CW1087" i="1" s="1"/>
  <c r="BC625" i="1"/>
  <c r="CV625" i="1"/>
  <c r="CW625" i="1" s="1"/>
  <c r="BC627" i="1"/>
  <c r="CV14" i="1"/>
  <c r="CW14" i="1" s="1"/>
  <c r="BC853" i="1"/>
  <c r="BC97" i="1"/>
  <c r="CV97" i="1"/>
  <c r="CW97" i="1" s="1"/>
  <c r="BC66" i="1"/>
  <c r="CV108" i="1"/>
  <c r="CW108" i="1" s="1"/>
  <c r="BC128" i="1"/>
  <c r="CV232" i="1"/>
  <c r="CW232" i="1" s="1"/>
  <c r="BC232" i="1"/>
  <c r="CV320" i="1"/>
  <c r="CW320" i="1" s="1"/>
  <c r="BC349" i="1"/>
  <c r="BC358" i="1"/>
  <c r="CV363" i="1"/>
  <c r="CW363" i="1" s="1"/>
  <c r="CV456" i="1"/>
  <c r="CW456" i="1" s="1"/>
  <c r="BC515" i="1"/>
  <c r="CV548" i="1"/>
  <c r="CW548" i="1" s="1"/>
  <c r="CV550" i="1"/>
  <c r="CW550" i="1" s="1"/>
  <c r="BC554" i="1"/>
  <c r="BC594" i="1"/>
  <c r="BC672" i="1"/>
  <c r="BC705" i="1"/>
  <c r="CV722" i="1"/>
  <c r="CW722" i="1" s="1"/>
  <c r="BC722" i="1"/>
  <c r="U299" i="1"/>
  <c r="AC299" i="1" s="1"/>
  <c r="AN299" i="1" s="1"/>
  <c r="BC299" i="1" s="1"/>
  <c r="BC403" i="1"/>
  <c r="CV403" i="1"/>
  <c r="CW403" i="1" s="1"/>
  <c r="CV590" i="1"/>
  <c r="CW590" i="1" s="1"/>
  <c r="BC806" i="1"/>
  <c r="CV911" i="1"/>
  <c r="CW911" i="1" s="1"/>
  <c r="BC911" i="1"/>
  <c r="CV941" i="1"/>
  <c r="CW941" i="1" s="1"/>
  <c r="BC941" i="1"/>
  <c r="CV4" i="1"/>
  <c r="CW4" i="1" s="1"/>
  <c r="BC117" i="1"/>
  <c r="CV117" i="1"/>
  <c r="CW117" i="1" s="1"/>
  <c r="CV206" i="1"/>
  <c r="CW206" i="1" s="1"/>
  <c r="BC214" i="1"/>
  <c r="U289" i="1"/>
  <c r="AC289" i="1" s="1"/>
  <c r="AN289" i="1" s="1"/>
  <c r="BC289" i="1" s="1"/>
  <c r="CV94" i="1"/>
  <c r="CW94" i="1" s="1"/>
  <c r="CV356" i="1"/>
  <c r="CW356" i="1" s="1"/>
  <c r="CV50" i="1"/>
  <c r="CW50" i="1" s="1"/>
  <c r="BC85" i="1"/>
  <c r="BC200" i="1"/>
  <c r="CV250" i="1"/>
  <c r="CW250" i="1" s="1"/>
  <c r="BC254" i="1"/>
  <c r="BC268" i="1"/>
  <c r="CV309" i="1"/>
  <c r="CW309" i="1" s="1"/>
  <c r="CV310" i="1"/>
  <c r="CW310" i="1" s="1"/>
  <c r="CV344" i="1"/>
  <c r="CW344" i="1" s="1"/>
  <c r="BC362" i="1"/>
  <c r="CV362" i="1"/>
  <c r="CW362" i="1" s="1"/>
  <c r="CV371" i="1"/>
  <c r="CW371" i="1" s="1"/>
  <c r="BC371" i="1"/>
  <c r="BC472" i="1"/>
  <c r="BC480" i="1"/>
  <c r="CV480" i="1"/>
  <c r="CW480" i="1" s="1"/>
  <c r="CV581" i="1"/>
  <c r="CW581" i="1" s="1"/>
  <c r="CV760" i="1"/>
  <c r="CW760" i="1" s="1"/>
  <c r="BC760" i="1"/>
  <c r="CV360" i="1"/>
  <c r="CW360" i="1" s="1"/>
  <c r="BC484" i="1"/>
  <c r="CV484" i="1"/>
  <c r="CW484" i="1" s="1"/>
  <c r="BC647" i="1"/>
  <c r="CV647" i="1"/>
  <c r="CW647" i="1" s="1"/>
  <c r="U280" i="1"/>
  <c r="AC280" i="1" s="1"/>
  <c r="AN280" i="1" s="1"/>
  <c r="BC280" i="1" s="1"/>
  <c r="CV460" i="1"/>
  <c r="CW460" i="1" s="1"/>
  <c r="BC8" i="1"/>
  <c r="BC16" i="1"/>
  <c r="BC58" i="1"/>
  <c r="CV107" i="1"/>
  <c r="CW107" i="1" s="1"/>
  <c r="BC140" i="1"/>
  <c r="CV202" i="1"/>
  <c r="CW202" i="1" s="1"/>
  <c r="BC202" i="1"/>
  <c r="CV293" i="1"/>
  <c r="CW293" i="1" s="1"/>
  <c r="BC329" i="1"/>
  <c r="CV402" i="1"/>
  <c r="CW402" i="1" s="1"/>
  <c r="BC402" i="1"/>
  <c r="BC476" i="1"/>
  <c r="BC507" i="1"/>
  <c r="BC512" i="1"/>
  <c r="CV546" i="1"/>
  <c r="CW546" i="1" s="1"/>
  <c r="CV600" i="1"/>
  <c r="CW600" i="1" s="1"/>
  <c r="CV604" i="1"/>
  <c r="CW604" i="1" s="1"/>
  <c r="BC666" i="1"/>
  <c r="CV666" i="1"/>
  <c r="CW666" i="1" s="1"/>
  <c r="CV744" i="1"/>
  <c r="CW744" i="1" s="1"/>
  <c r="CV875" i="1"/>
  <c r="CW875" i="1" s="1"/>
  <c r="BC875" i="1"/>
  <c r="CV862" i="1"/>
  <c r="CW862" i="1" s="1"/>
  <c r="BC862" i="1"/>
  <c r="BC9" i="1"/>
  <c r="BC17" i="1"/>
  <c r="BC23" i="1"/>
  <c r="BC42" i="1"/>
  <c r="BC48" i="1"/>
  <c r="BC113" i="1"/>
  <c r="CV142" i="1"/>
  <c r="CW142" i="1" s="1"/>
  <c r="BC176" i="1"/>
  <c r="BC199" i="1"/>
  <c r="CV214" i="1"/>
  <c r="CW214" i="1" s="1"/>
  <c r="CV242" i="1"/>
  <c r="CW242" i="1" s="1"/>
  <c r="CV262" i="1"/>
  <c r="CW262" i="1" s="1"/>
  <c r="U285" i="1"/>
  <c r="AC285" i="1" s="1"/>
  <c r="AN285" i="1" s="1"/>
  <c r="BC285" i="1" s="1"/>
  <c r="U286" i="1"/>
  <c r="AC286" i="1" s="1"/>
  <c r="AN286" i="1" s="1"/>
  <c r="BC286" i="1" s="1"/>
  <c r="CV308" i="1"/>
  <c r="CW308" i="1" s="1"/>
  <c r="CV329" i="1"/>
  <c r="CW329" i="1" s="1"/>
  <c r="BC343" i="1"/>
  <c r="CV346" i="1"/>
  <c r="CW346" i="1" s="1"/>
  <c r="CV377" i="1"/>
  <c r="CW377" i="1" s="1"/>
  <c r="BC377" i="1"/>
  <c r="CV396" i="1"/>
  <c r="CW396" i="1" s="1"/>
  <c r="BC401" i="1"/>
  <c r="BC432" i="1"/>
  <c r="BC471" i="1"/>
  <c r="CV472" i="1"/>
  <c r="CW472" i="1" s="1"/>
  <c r="CV486" i="1"/>
  <c r="CW486" i="1" s="1"/>
  <c r="BC520" i="1"/>
  <c r="BC563" i="1"/>
  <c r="BC612" i="1"/>
  <c r="CV641" i="1"/>
  <c r="CW641" i="1" s="1"/>
  <c r="CV667" i="1"/>
  <c r="CW667" i="1" s="1"/>
  <c r="CV670" i="1"/>
  <c r="CW670" i="1" s="1"/>
  <c r="CV792" i="1"/>
  <c r="CW792" i="1" s="1"/>
  <c r="CV806" i="1"/>
  <c r="CW806" i="1" s="1"/>
  <c r="CV846" i="1"/>
  <c r="CW846" i="1" s="1"/>
  <c r="BC880" i="1"/>
  <c r="BC886" i="1"/>
  <c r="BC895" i="1"/>
  <c r="BC908" i="1"/>
  <c r="BC1048" i="1"/>
  <c r="CV1059" i="1"/>
  <c r="CW1059" i="1" s="1"/>
  <c r="CV1070" i="1"/>
  <c r="CW1070" i="1" s="1"/>
  <c r="CV1130" i="1"/>
  <c r="CW1130" i="1" s="1"/>
  <c r="CV908" i="1"/>
  <c r="CW908" i="1" s="1"/>
  <c r="CV762" i="1"/>
  <c r="CW762" i="1" s="1"/>
  <c r="BC762" i="1"/>
  <c r="CV9" i="1"/>
  <c r="CW9" i="1" s="1"/>
  <c r="BC31" i="1"/>
  <c r="BC59" i="1"/>
  <c r="BC61" i="1"/>
  <c r="CV126" i="1"/>
  <c r="CW126" i="1" s="1"/>
  <c r="CV162" i="1"/>
  <c r="CW162" i="1" s="1"/>
  <c r="BC247" i="1"/>
  <c r="BC274" i="1"/>
  <c r="CV279" i="1"/>
  <c r="CW279" i="1" s="1"/>
  <c r="CV283" i="1"/>
  <c r="CW283" i="1" s="1"/>
  <c r="CV284" i="1"/>
  <c r="CW284" i="1" s="1"/>
  <c r="U313" i="1"/>
  <c r="AC313" i="1" s="1"/>
  <c r="AN313" i="1" s="1"/>
  <c r="BC313" i="1" s="1"/>
  <c r="U314" i="1"/>
  <c r="AC314" i="1" s="1"/>
  <c r="AN314" i="1" s="1"/>
  <c r="BC314" i="1" s="1"/>
  <c r="U315" i="1"/>
  <c r="AC315" i="1" s="1"/>
  <c r="AN315" i="1" s="1"/>
  <c r="BC315" i="1" s="1"/>
  <c r="CV328" i="1"/>
  <c r="CW328" i="1" s="1"/>
  <c r="BC332" i="1"/>
  <c r="BC344" i="1"/>
  <c r="CV401" i="1"/>
  <c r="CW401" i="1" s="1"/>
  <c r="BC509" i="1"/>
  <c r="BC511" i="1"/>
  <c r="BC549" i="1"/>
  <c r="CV564" i="1"/>
  <c r="CW564" i="1" s="1"/>
  <c r="BC598" i="1"/>
  <c r="BC619" i="1"/>
  <c r="CV678" i="1"/>
  <c r="CW678" i="1" s="1"/>
  <c r="CV682" i="1"/>
  <c r="CW682" i="1" s="1"/>
  <c r="BC685" i="1"/>
  <c r="BC710" i="1"/>
  <c r="CV1025" i="1"/>
  <c r="CW1025" i="1" s="1"/>
  <c r="BC1025" i="1"/>
  <c r="BC1105" i="1"/>
  <c r="BC1110" i="1"/>
  <c r="CV61" i="1"/>
  <c r="CW61" i="1" s="1"/>
  <c r="CV66" i="1"/>
  <c r="CW66" i="1" s="1"/>
  <c r="BC70" i="1"/>
  <c r="CV102" i="1"/>
  <c r="CW102" i="1" s="1"/>
  <c r="BC129" i="1"/>
  <c r="CV137" i="1"/>
  <c r="CW137" i="1" s="1"/>
  <c r="BC149" i="1"/>
  <c r="BC151" i="1"/>
  <c r="BC164" i="1"/>
  <c r="CV201" i="1"/>
  <c r="CW201" i="1" s="1"/>
  <c r="BC240" i="1"/>
  <c r="CV296" i="1"/>
  <c r="CW296" i="1" s="1"/>
  <c r="U303" i="1"/>
  <c r="AC303" i="1" s="1"/>
  <c r="AN303" i="1" s="1"/>
  <c r="BC303" i="1" s="1"/>
  <c r="CV352" i="1"/>
  <c r="CW352" i="1" s="1"/>
  <c r="CV354" i="1"/>
  <c r="CW354" i="1" s="1"/>
  <c r="BC356" i="1"/>
  <c r="BC367" i="1"/>
  <c r="CV384" i="1"/>
  <c r="CW384" i="1" s="1"/>
  <c r="BC415" i="1"/>
  <c r="BC435" i="1"/>
  <c r="BC454" i="1"/>
  <c r="CV483" i="1"/>
  <c r="CW483" i="1" s="1"/>
  <c r="CV509" i="1"/>
  <c r="CW509" i="1" s="1"/>
  <c r="CV512" i="1"/>
  <c r="CW512" i="1" s="1"/>
  <c r="BC553" i="1"/>
  <c r="CV578" i="1"/>
  <c r="CW578" i="1" s="1"/>
  <c r="CV620" i="1"/>
  <c r="CW620" i="1" s="1"/>
  <c r="CV627" i="1"/>
  <c r="CW627" i="1" s="1"/>
  <c r="CV633" i="1"/>
  <c r="CW633" i="1" s="1"/>
  <c r="BC633" i="1"/>
  <c r="BC661" i="1"/>
  <c r="CV694" i="1"/>
  <c r="CW694" i="1" s="1"/>
  <c r="CV698" i="1"/>
  <c r="CW698" i="1" s="1"/>
  <c r="BC698" i="1"/>
  <c r="CV704" i="1"/>
  <c r="CW704" i="1" s="1"/>
  <c r="CV717" i="1"/>
  <c r="CW717" i="1" s="1"/>
  <c r="BC728" i="1"/>
  <c r="BC747" i="1"/>
  <c r="CV750" i="1"/>
  <c r="CW750" i="1" s="1"/>
  <c r="BC752" i="1"/>
  <c r="CV826" i="1"/>
  <c r="CW826" i="1" s="1"/>
  <c r="BC826" i="1"/>
  <c r="BC865" i="1"/>
  <c r="BC997" i="1"/>
  <c r="BC1006" i="1"/>
  <c r="CV1062" i="1"/>
  <c r="CW1062" i="1" s="1"/>
  <c r="BC1101" i="1"/>
  <c r="CV630" i="1"/>
  <c r="CW630" i="1" s="1"/>
  <c r="BC652" i="1"/>
  <c r="BC742" i="1"/>
  <c r="BC774" i="1"/>
  <c r="CV813" i="1"/>
  <c r="CW813" i="1" s="1"/>
  <c r="CV871" i="1"/>
  <c r="CW871" i="1" s="1"/>
  <c r="CV897" i="1"/>
  <c r="CW897" i="1" s="1"/>
  <c r="BC923" i="1"/>
  <c r="BC964" i="1"/>
  <c r="BC985" i="1"/>
  <c r="CV1002" i="1"/>
  <c r="CW1002" i="1" s="1"/>
  <c r="CV1004" i="1"/>
  <c r="CW1004" i="1" s="1"/>
  <c r="BC1010" i="1"/>
  <c r="BC1012" i="1"/>
  <c r="CV1071" i="1"/>
  <c r="CW1071" i="1" s="1"/>
  <c r="CV1103" i="1"/>
  <c r="CW1103" i="1" s="1"/>
  <c r="CV1111" i="1"/>
  <c r="CW1111" i="1" s="1"/>
  <c r="CV1113" i="1"/>
  <c r="CW1113" i="1" s="1"/>
  <c r="BC1121" i="1"/>
  <c r="CV746" i="1"/>
  <c r="CW746" i="1" s="1"/>
  <c r="CV793" i="1"/>
  <c r="CW793" i="1" s="1"/>
  <c r="CV976" i="1"/>
  <c r="CW976" i="1" s="1"/>
  <c r="CV357" i="1"/>
  <c r="CW357" i="1" s="1"/>
  <c r="CV463" i="1"/>
  <c r="CW463" i="1" s="1"/>
  <c r="CV466" i="1"/>
  <c r="CW466" i="1" s="1"/>
  <c r="CV532" i="1"/>
  <c r="CW532" i="1" s="1"/>
  <c r="BC552" i="1"/>
  <c r="BC623" i="1"/>
  <c r="CV637" i="1"/>
  <c r="CW637" i="1" s="1"/>
  <c r="BC665" i="1"/>
  <c r="CV708" i="1"/>
  <c r="CW708" i="1" s="1"/>
  <c r="CV724" i="1"/>
  <c r="CW724" i="1" s="1"/>
  <c r="CV727" i="1"/>
  <c r="CW727" i="1" s="1"/>
  <c r="BC758" i="1"/>
  <c r="BC802" i="1"/>
  <c r="BC831" i="1"/>
  <c r="CV834" i="1"/>
  <c r="CW834" i="1" s="1"/>
  <c r="BC858" i="1"/>
  <c r="CV870" i="1"/>
  <c r="CW870" i="1" s="1"/>
  <c r="BC874" i="1"/>
  <c r="BC887" i="1"/>
  <c r="BC925" i="1"/>
  <c r="CV985" i="1"/>
  <c r="CW985" i="1" s="1"/>
  <c r="CV998" i="1"/>
  <c r="CW998" i="1" s="1"/>
  <c r="BC1078" i="1"/>
  <c r="BC1099" i="1"/>
  <c r="CV814" i="1"/>
  <c r="CW814" i="1" s="1"/>
  <c r="BC824" i="1"/>
  <c r="BC838" i="1"/>
  <c r="BC906" i="1"/>
  <c r="BC929" i="1"/>
  <c r="BC966" i="1"/>
  <c r="CV984" i="1"/>
  <c r="CW984" i="1" s="1"/>
  <c r="BC1000" i="1"/>
  <c r="CV1024" i="1"/>
  <c r="CW1024" i="1" s="1"/>
  <c r="CV1033" i="1"/>
  <c r="CW1033" i="1" s="1"/>
  <c r="BC1037" i="1"/>
  <c r="BC628" i="1"/>
  <c r="CV628" i="1"/>
  <c r="CW628" i="1" s="1"/>
  <c r="CV59" i="1"/>
  <c r="CW59" i="1" s="1"/>
  <c r="BC84" i="1"/>
  <c r="CV103" i="1"/>
  <c r="CW103" i="1" s="1"/>
  <c r="BC103" i="1"/>
  <c r="CV165" i="1"/>
  <c r="CW165" i="1" s="1"/>
  <c r="CV251" i="1"/>
  <c r="CW251" i="1" s="1"/>
  <c r="BC251" i="1"/>
  <c r="BC351" i="1"/>
  <c r="BC353" i="1"/>
  <c r="BC527" i="1"/>
  <c r="CV527" i="1"/>
  <c r="CW527" i="1" s="1"/>
  <c r="CV878" i="1"/>
  <c r="CW878" i="1" s="1"/>
  <c r="BC878" i="1"/>
  <c r="BC1115" i="1"/>
  <c r="CV1115" i="1"/>
  <c r="CW1115" i="1" s="1"/>
  <c r="CV397" i="1"/>
  <c r="CW397" i="1" s="1"/>
  <c r="BC397" i="1"/>
  <c r="BC426" i="1"/>
  <c r="CV465" i="1"/>
  <c r="CW465" i="1" s="1"/>
  <c r="BC465" i="1"/>
  <c r="CV26" i="1"/>
  <c r="CW26" i="1" s="1"/>
  <c r="BC178" i="1"/>
  <c r="CV178" i="1"/>
  <c r="CW178" i="1" s="1"/>
  <c r="CV321" i="1"/>
  <c r="CW321" i="1" s="1"/>
  <c r="BC321" i="1"/>
  <c r="CV428" i="1"/>
  <c r="CW428" i="1" s="1"/>
  <c r="BC428" i="1"/>
  <c r="BC421" i="1"/>
  <c r="CV421" i="1"/>
  <c r="CW421" i="1" s="1"/>
  <c r="CV607" i="1"/>
  <c r="CW607" i="1" s="1"/>
  <c r="CV114" i="1"/>
  <c r="CW114" i="1" s="1"/>
  <c r="CV517" i="1"/>
  <c r="CW517" i="1" s="1"/>
  <c r="BC517" i="1"/>
  <c r="CV551" i="1"/>
  <c r="CW551" i="1" s="1"/>
  <c r="BC551" i="1"/>
  <c r="BC67" i="1"/>
  <c r="CV67" i="1"/>
  <c r="CW67" i="1" s="1"/>
  <c r="CV504" i="1"/>
  <c r="CW504" i="1" s="1"/>
  <c r="BC504" i="1"/>
  <c r="BC776" i="1"/>
  <c r="CV776" i="1"/>
  <c r="CW776" i="1" s="1"/>
  <c r="CV46" i="1"/>
  <c r="CW46" i="1" s="1"/>
  <c r="BC185" i="1"/>
  <c r="CV343" i="1"/>
  <c r="CW343" i="1" s="1"/>
  <c r="CV367" i="1"/>
  <c r="CW367" i="1" s="1"/>
  <c r="BC411" i="1"/>
  <c r="CV490" i="1"/>
  <c r="CW490" i="1" s="1"/>
  <c r="BC490" i="1"/>
  <c r="BC739" i="1"/>
  <c r="CV739" i="1"/>
  <c r="CW739" i="1" s="1"/>
  <c r="BC1074" i="1"/>
  <c r="CV1074" i="1"/>
  <c r="CW1074" i="1" s="1"/>
  <c r="BC74" i="1"/>
  <c r="CV74" i="1"/>
  <c r="CW74" i="1" s="1"/>
  <c r="BC147" i="1"/>
  <c r="CV147" i="1"/>
  <c r="CW147" i="1" s="1"/>
  <c r="CV25" i="1"/>
  <c r="CW25" i="1" s="1"/>
  <c r="CV15" i="1"/>
  <c r="CW15" i="1" s="1"/>
  <c r="BC30" i="1"/>
  <c r="CV31" i="1"/>
  <c r="CW31" i="1" s="1"/>
  <c r="CV79" i="1"/>
  <c r="CW79" i="1" s="1"/>
  <c r="BC92" i="1"/>
  <c r="BC122" i="1"/>
  <c r="BC184" i="1"/>
  <c r="CV192" i="1"/>
  <c r="CW192" i="1" s="1"/>
  <c r="BC342" i="1"/>
  <c r="CV342" i="1"/>
  <c r="CW342" i="1" s="1"/>
  <c r="BC399" i="1"/>
  <c r="CV640" i="1"/>
  <c r="CW640" i="1" s="1"/>
  <c r="CV200" i="1"/>
  <c r="CW200" i="1" s="1"/>
  <c r="CV211" i="1"/>
  <c r="CW211" i="1" s="1"/>
  <c r="CV252" i="1"/>
  <c r="CW252" i="1" s="1"/>
  <c r="CV269" i="1"/>
  <c r="CW269" i="1" s="1"/>
  <c r="CV297" i="1"/>
  <c r="CW297" i="1" s="1"/>
  <c r="CV299" i="1"/>
  <c r="CW299" i="1" s="1"/>
  <c r="U302" i="1"/>
  <c r="AC302" i="1" s="1"/>
  <c r="AN302" i="1" s="1"/>
  <c r="BC302" i="1" s="1"/>
  <c r="CV303" i="1"/>
  <c r="CW303" i="1" s="1"/>
  <c r="CV327" i="1"/>
  <c r="CW327" i="1" s="1"/>
  <c r="CV339" i="1"/>
  <c r="CW339" i="1" s="1"/>
  <c r="CV435" i="1"/>
  <c r="CW435" i="1" s="1"/>
  <c r="CV441" i="1"/>
  <c r="CW441" i="1" s="1"/>
  <c r="BC533" i="1"/>
  <c r="CV608" i="1"/>
  <c r="CW608" i="1" s="1"/>
  <c r="CV778" i="1"/>
  <c r="CW778" i="1" s="1"/>
  <c r="BC778" i="1"/>
  <c r="BC91" i="1"/>
  <c r="CV96" i="1"/>
  <c r="CW96" i="1" s="1"/>
  <c r="CV116" i="1"/>
  <c r="CW116" i="1" s="1"/>
  <c r="CV24" i="1"/>
  <c r="CW24" i="1" s="1"/>
  <c r="CV43" i="1"/>
  <c r="CW43" i="1" s="1"/>
  <c r="BC165" i="1"/>
  <c r="U291" i="1"/>
  <c r="AC291" i="1" s="1"/>
  <c r="AN291" i="1" s="1"/>
  <c r="BC291" i="1" s="1"/>
  <c r="U297" i="1"/>
  <c r="AC297" i="1" s="1"/>
  <c r="AN297" i="1" s="1"/>
  <c r="BC297" i="1" s="1"/>
  <c r="U301" i="1"/>
  <c r="AC301" i="1" s="1"/>
  <c r="AN301" i="1" s="1"/>
  <c r="BC301" i="1" s="1"/>
  <c r="BC413" i="1"/>
  <c r="CV413" i="1"/>
  <c r="CW413" i="1" s="1"/>
  <c r="CV738" i="1"/>
  <c r="CW738" i="1" s="1"/>
  <c r="BC738" i="1"/>
  <c r="CV62" i="1"/>
  <c r="CW62" i="1" s="1"/>
  <c r="CV151" i="1"/>
  <c r="CW151" i="1" s="1"/>
  <c r="CV48" i="1"/>
  <c r="CW48" i="1" s="1"/>
  <c r="BC62" i="1"/>
  <c r="BC65" i="1"/>
  <c r="BC1031" i="1"/>
  <c r="CV1031" i="1"/>
  <c r="CW1031" i="1" s="1"/>
  <c r="BC4" i="1"/>
  <c r="CV7" i="1"/>
  <c r="CW7" i="1" s="1"/>
  <c r="BC28" i="1"/>
  <c r="CV29" i="1"/>
  <c r="CW29" i="1" s="1"/>
  <c r="CV41" i="1"/>
  <c r="CW41" i="1" s="1"/>
  <c r="BC55" i="1"/>
  <c r="BC64" i="1"/>
  <c r="BC72" i="1"/>
  <c r="CV78" i="1"/>
  <c r="CW78" i="1" s="1"/>
  <c r="CV85" i="1"/>
  <c r="CW85" i="1" s="1"/>
  <c r="CV87" i="1"/>
  <c r="CW87" i="1" s="1"/>
  <c r="BC93" i="1"/>
  <c r="CV123" i="1"/>
  <c r="CW123" i="1" s="1"/>
  <c r="CV149" i="1"/>
  <c r="CW149" i="1" s="1"/>
  <c r="BC152" i="1"/>
  <c r="CV177" i="1"/>
  <c r="CW177" i="1" s="1"/>
  <c r="BC179" i="1"/>
  <c r="BC187" i="1"/>
  <c r="CV191" i="1"/>
  <c r="CW191" i="1" s="1"/>
  <c r="CV199" i="1"/>
  <c r="CW199" i="1" s="1"/>
  <c r="BC213" i="1"/>
  <c r="CV231" i="1"/>
  <c r="CW231" i="1" s="1"/>
  <c r="BC243" i="1"/>
  <c r="U287" i="1"/>
  <c r="AC287" i="1" s="1"/>
  <c r="AN287" i="1" s="1"/>
  <c r="BC287" i="1" s="1"/>
  <c r="CV288" i="1"/>
  <c r="CW288" i="1" s="1"/>
  <c r="U300" i="1"/>
  <c r="AC300" i="1" s="1"/>
  <c r="AN300" i="1" s="1"/>
  <c r="BC300" i="1" s="1"/>
  <c r="U305" i="1"/>
  <c r="AC305" i="1" s="1"/>
  <c r="AN305" i="1" s="1"/>
  <c r="BC305" i="1" s="1"/>
  <c r="U306" i="1"/>
  <c r="AC306" i="1" s="1"/>
  <c r="AN306" i="1" s="1"/>
  <c r="BC306" i="1" s="1"/>
  <c r="BC320" i="1"/>
  <c r="BC322" i="1"/>
  <c r="BC384" i="1"/>
  <c r="CV391" i="1"/>
  <c r="CW391" i="1" s="1"/>
  <c r="BC423" i="1"/>
  <c r="BC438" i="1"/>
  <c r="BC468" i="1"/>
  <c r="BC538" i="1"/>
  <c r="BC603" i="1"/>
  <c r="CV613" i="1"/>
  <c r="CW613" i="1" s="1"/>
  <c r="CV677" i="1"/>
  <c r="CW677" i="1" s="1"/>
  <c r="CV715" i="1"/>
  <c r="CW715" i="1" s="1"/>
  <c r="BC715" i="1"/>
  <c r="BC896" i="1"/>
  <c r="CV896" i="1"/>
  <c r="CW896" i="1" s="1"/>
  <c r="BC900" i="1"/>
  <c r="CV900" i="1"/>
  <c r="CW900" i="1" s="1"/>
  <c r="BC1119" i="1"/>
  <c r="CV1119" i="1"/>
  <c r="CW1119" i="1" s="1"/>
  <c r="BC833" i="1"/>
  <c r="CV833" i="1"/>
  <c r="CW833" i="1" s="1"/>
  <c r="CV860" i="1"/>
  <c r="CW860" i="1" s="1"/>
  <c r="BC860" i="1"/>
  <c r="CV1044" i="1"/>
  <c r="CW1044" i="1" s="1"/>
  <c r="BC1044" i="1"/>
  <c r="CV47" i="1"/>
  <c r="CW47" i="1" s="1"/>
  <c r="CV58" i="1"/>
  <c r="CW58" i="1" s="1"/>
  <c r="CV72" i="1"/>
  <c r="CW72" i="1" s="1"/>
  <c r="CV104" i="1"/>
  <c r="CW104" i="1" s="1"/>
  <c r="CV109" i="1"/>
  <c r="CW109" i="1" s="1"/>
  <c r="CV139" i="1"/>
  <c r="CW139" i="1" s="1"/>
  <c r="BC186" i="1"/>
  <c r="CV187" i="1"/>
  <c r="CW187" i="1" s="1"/>
  <c r="CV213" i="1"/>
  <c r="CW213" i="1" s="1"/>
  <c r="CV221" i="1"/>
  <c r="CW221" i="1" s="1"/>
  <c r="CV233" i="1"/>
  <c r="CW233" i="1" s="1"/>
  <c r="U288" i="1"/>
  <c r="AC288" i="1" s="1"/>
  <c r="AN288" i="1" s="1"/>
  <c r="BC288" i="1" s="1"/>
  <c r="U308" i="1"/>
  <c r="AC308" i="1" s="1"/>
  <c r="AN308" i="1" s="1"/>
  <c r="BC308" i="1" s="1"/>
  <c r="CV365" i="1"/>
  <c r="CW365" i="1" s="1"/>
  <c r="CV436" i="1"/>
  <c r="CW436" i="1" s="1"/>
  <c r="CV495" i="1"/>
  <c r="CW495" i="1" s="1"/>
  <c r="BC495" i="1"/>
  <c r="CV571" i="1"/>
  <c r="CW571" i="1" s="1"/>
  <c r="BC571" i="1"/>
  <c r="BC10" i="1"/>
  <c r="BC22" i="1"/>
  <c r="BC27" i="1"/>
  <c r="CV28" i="1"/>
  <c r="CW28" i="1" s="1"/>
  <c r="BC35" i="1"/>
  <c r="CV40" i="1"/>
  <c r="CW40" i="1" s="1"/>
  <c r="BC52" i="1"/>
  <c r="CV55" i="1"/>
  <c r="CW55" i="1" s="1"/>
  <c r="CV77" i="1"/>
  <c r="CW77" i="1" s="1"/>
  <c r="CV86" i="1"/>
  <c r="CW86" i="1" s="1"/>
  <c r="BC94" i="1"/>
  <c r="BC96" i="1"/>
  <c r="BC104" i="1"/>
  <c r="BC116" i="1"/>
  <c r="CV121" i="1"/>
  <c r="CW121" i="1" s="1"/>
  <c r="CV124" i="1"/>
  <c r="CW124" i="1" s="1"/>
  <c r="CV134" i="1"/>
  <c r="CW134" i="1" s="1"/>
  <c r="BC145" i="1"/>
  <c r="CV153" i="1"/>
  <c r="CW153" i="1" s="1"/>
  <c r="CV160" i="1"/>
  <c r="CW160" i="1" s="1"/>
  <c r="CV179" i="1"/>
  <c r="CW179" i="1" s="1"/>
  <c r="CV198" i="1"/>
  <c r="CW198" i="1" s="1"/>
  <c r="BC207" i="1"/>
  <c r="U279" i="1"/>
  <c r="AC279" i="1" s="1"/>
  <c r="AN279" i="1" s="1"/>
  <c r="BC279" i="1" s="1"/>
  <c r="CV282" i="1"/>
  <c r="CW282" i="1" s="1"/>
  <c r="CV289" i="1"/>
  <c r="CW289" i="1" s="1"/>
  <c r="CV314" i="1"/>
  <c r="CW314" i="1" s="1"/>
  <c r="CV318" i="1"/>
  <c r="CW318" i="1" s="1"/>
  <c r="CV366" i="1"/>
  <c r="CW366" i="1" s="1"/>
  <c r="BC389" i="1"/>
  <c r="BC409" i="1"/>
  <c r="CV409" i="1"/>
  <c r="CW409" i="1" s="1"/>
  <c r="BC414" i="1"/>
  <c r="CV414" i="1"/>
  <c r="CW414" i="1" s="1"/>
  <c r="BC457" i="1"/>
  <c r="CV457" i="1"/>
  <c r="CW457" i="1" s="1"/>
  <c r="CV601" i="1"/>
  <c r="CW601" i="1" s="1"/>
  <c r="CV702" i="1"/>
  <c r="CW702" i="1" s="1"/>
  <c r="CV798" i="1"/>
  <c r="CW798" i="1" s="1"/>
  <c r="BC1028" i="1"/>
  <c r="CV1028" i="1"/>
  <c r="CW1028" i="1" s="1"/>
  <c r="CV932" i="1"/>
  <c r="CW932" i="1" s="1"/>
  <c r="BC932" i="1"/>
  <c r="CV1005" i="1"/>
  <c r="CW1005" i="1" s="1"/>
  <c r="BC1005" i="1"/>
  <c r="CV462" i="1"/>
  <c r="CW462" i="1" s="1"/>
  <c r="BC462" i="1"/>
  <c r="CV470" i="1"/>
  <c r="CW470" i="1" s="1"/>
  <c r="CV474" i="1"/>
  <c r="CW474" i="1" s="1"/>
  <c r="BC516" i="1"/>
  <c r="CV531" i="1"/>
  <c r="CW531" i="1" s="1"/>
  <c r="BC555" i="1"/>
  <c r="BC570" i="1"/>
  <c r="BC579" i="1"/>
  <c r="CV585" i="1"/>
  <c r="CW585" i="1" s="1"/>
  <c r="CV606" i="1"/>
  <c r="CW606" i="1" s="1"/>
  <c r="BC606" i="1"/>
  <c r="CV621" i="1"/>
  <c r="CW621" i="1" s="1"/>
  <c r="BC671" i="1"/>
  <c r="CV671" i="1"/>
  <c r="CW671" i="1" s="1"/>
  <c r="BC687" i="1"/>
  <c r="CV695" i="1"/>
  <c r="CW695" i="1" s="1"/>
  <c r="BC695" i="1"/>
  <c r="CV706" i="1"/>
  <c r="CW706" i="1" s="1"/>
  <c r="BC709" i="1"/>
  <c r="BC721" i="1"/>
  <c r="BC783" i="1"/>
  <c r="CV783" i="1"/>
  <c r="CW783" i="1" s="1"/>
  <c r="BC810" i="1"/>
  <c r="BC841" i="1"/>
  <c r="CV874" i="1"/>
  <c r="CW874" i="1" s="1"/>
  <c r="BC485" i="1"/>
  <c r="CV485" i="1"/>
  <c r="CW485" i="1" s="1"/>
  <c r="CV499" i="1"/>
  <c r="CW499" i="1" s="1"/>
  <c r="CV530" i="1"/>
  <c r="CW530" i="1" s="1"/>
  <c r="BC530" i="1"/>
  <c r="CV533" i="1"/>
  <c r="CW533" i="1" s="1"/>
  <c r="CV603" i="1"/>
  <c r="CW603" i="1" s="1"/>
  <c r="CV619" i="1"/>
  <c r="CW619" i="1" s="1"/>
  <c r="CV1039" i="1"/>
  <c r="CW1039" i="1" s="1"/>
  <c r="BC1039" i="1"/>
  <c r="CV268" i="1"/>
  <c r="CW268" i="1" s="1"/>
  <c r="U281" i="1"/>
  <c r="AC281" i="1" s="1"/>
  <c r="AN281" i="1" s="1"/>
  <c r="BC281" i="1" s="1"/>
  <c r="U284" i="1"/>
  <c r="AC284" i="1" s="1"/>
  <c r="AN284" i="1" s="1"/>
  <c r="BC284" i="1" s="1"/>
  <c r="CV291" i="1"/>
  <c r="CW291" i="1" s="1"/>
  <c r="CV302" i="1"/>
  <c r="CW302" i="1" s="1"/>
  <c r="U309" i="1"/>
  <c r="AC309" i="1" s="1"/>
  <c r="AN309" i="1" s="1"/>
  <c r="BC309" i="1" s="1"/>
  <c r="CV338" i="1"/>
  <c r="CW338" i="1" s="1"/>
  <c r="CV375" i="1"/>
  <c r="CW375" i="1" s="1"/>
  <c r="CV429" i="1"/>
  <c r="CW429" i="1" s="1"/>
  <c r="BC451" i="1"/>
  <c r="CV451" i="1"/>
  <c r="CW451" i="1" s="1"/>
  <c r="CV469" i="1"/>
  <c r="CW469" i="1" s="1"/>
  <c r="BC469" i="1"/>
  <c r="CV501" i="1"/>
  <c r="CW501" i="1" s="1"/>
  <c r="BC528" i="1"/>
  <c r="CV586" i="1"/>
  <c r="CW586" i="1" s="1"/>
  <c r="CV595" i="1"/>
  <c r="CW595" i="1" s="1"/>
  <c r="BC602" i="1"/>
  <c r="BC636" i="1"/>
  <c r="CV636" i="1"/>
  <c r="CW636" i="1" s="1"/>
  <c r="CV639" i="1"/>
  <c r="CW639" i="1" s="1"/>
  <c r="BC696" i="1"/>
  <c r="BC822" i="1"/>
  <c r="CV881" i="1"/>
  <c r="CW881" i="1" s="1"/>
  <c r="BC881" i="1"/>
  <c r="BC1008" i="1"/>
  <c r="CV1050" i="1"/>
  <c r="CW1050" i="1" s="1"/>
  <c r="CV418" i="1"/>
  <c r="CW418" i="1" s="1"/>
  <c r="CV432" i="1"/>
  <c r="CW432" i="1" s="1"/>
  <c r="CV579" i="1"/>
  <c r="CW579" i="1" s="1"/>
  <c r="CV588" i="1"/>
  <c r="CW588" i="1" s="1"/>
  <c r="CV638" i="1"/>
  <c r="CW638" i="1" s="1"/>
  <c r="BC675" i="1"/>
  <c r="BC718" i="1"/>
  <c r="CV728" i="1"/>
  <c r="CW728" i="1" s="1"/>
  <c r="BC749" i="1"/>
  <c r="CV820" i="1"/>
  <c r="CW820" i="1" s="1"/>
  <c r="CV854" i="1"/>
  <c r="CW854" i="1" s="1"/>
  <c r="CV947" i="1"/>
  <c r="CW947" i="1" s="1"/>
  <c r="BC975" i="1"/>
  <c r="BC1001" i="1"/>
  <c r="CV1032" i="1"/>
  <c r="CW1032" i="1" s="1"/>
  <c r="CV1077" i="1"/>
  <c r="CW1077" i="1" s="1"/>
  <c r="CV444" i="1"/>
  <c r="CW444" i="1" s="1"/>
  <c r="BC494" i="1"/>
  <c r="CV520" i="1"/>
  <c r="CW520" i="1" s="1"/>
  <c r="CV523" i="1"/>
  <c r="CW523" i="1" s="1"/>
  <c r="CV553" i="1"/>
  <c r="CW553" i="1" s="1"/>
  <c r="CV567" i="1"/>
  <c r="CW567" i="1" s="1"/>
  <c r="CV575" i="1"/>
  <c r="CW575" i="1" s="1"/>
  <c r="CV594" i="1"/>
  <c r="CW594" i="1" s="1"/>
  <c r="CV597" i="1"/>
  <c r="CW597" i="1" s="1"/>
  <c r="CV642" i="1"/>
  <c r="CW642" i="1" s="1"/>
  <c r="CV693" i="1"/>
  <c r="CW693" i="1" s="1"/>
  <c r="CV812" i="1"/>
  <c r="CW812" i="1" s="1"/>
  <c r="BC812" i="1"/>
  <c r="CV831" i="1"/>
  <c r="CW831" i="1" s="1"/>
  <c r="CV1045" i="1"/>
  <c r="CW1045" i="1" s="1"/>
  <c r="BC1045" i="1"/>
  <c r="CV430" i="1"/>
  <c r="CW430" i="1" s="1"/>
  <c r="CV450" i="1"/>
  <c r="CW450" i="1" s="1"/>
  <c r="CV453" i="1"/>
  <c r="CW453" i="1" s="1"/>
  <c r="BC466" i="1"/>
  <c r="CV468" i="1"/>
  <c r="CW468" i="1" s="1"/>
  <c r="CV471" i="1"/>
  <c r="CW471" i="1" s="1"/>
  <c r="CV477" i="1"/>
  <c r="CW477" i="1" s="1"/>
  <c r="CV488" i="1"/>
  <c r="CW488" i="1" s="1"/>
  <c r="CV507" i="1"/>
  <c r="CW507" i="1" s="1"/>
  <c r="CV540" i="1"/>
  <c r="CW540" i="1" s="1"/>
  <c r="CV543" i="1"/>
  <c r="CW543" i="1" s="1"/>
  <c r="CV570" i="1"/>
  <c r="CW570" i="1" s="1"/>
  <c r="CV574" i="1"/>
  <c r="CW574" i="1" s="1"/>
  <c r="CV583" i="1"/>
  <c r="CW583" i="1" s="1"/>
  <c r="BC601" i="1"/>
  <c r="CV631" i="1"/>
  <c r="CW631" i="1" s="1"/>
  <c r="CV634" i="1"/>
  <c r="CW634" i="1" s="1"/>
  <c r="BC634" i="1"/>
  <c r="CV659" i="1"/>
  <c r="CW659" i="1" s="1"/>
  <c r="CV705" i="1"/>
  <c r="CW705" i="1" s="1"/>
  <c r="BC711" i="1"/>
  <c r="BC714" i="1"/>
  <c r="CV714" i="1"/>
  <c r="CW714" i="1" s="1"/>
  <c r="CV716" i="1"/>
  <c r="CW716" i="1" s="1"/>
  <c r="BC716" i="1"/>
  <c r="CV810" i="1"/>
  <c r="CW810" i="1" s="1"/>
  <c r="BC828" i="1"/>
  <c r="CV830" i="1"/>
  <c r="CW830" i="1" s="1"/>
  <c r="BC845" i="1"/>
  <c r="BC907" i="1"/>
  <c r="CV907" i="1"/>
  <c r="CW907" i="1" s="1"/>
  <c r="CV582" i="1"/>
  <c r="CW582" i="1" s="1"/>
  <c r="CV618" i="1"/>
  <c r="CW618" i="1" s="1"/>
  <c r="CV680" i="1"/>
  <c r="CW680" i="1" s="1"/>
  <c r="BC724" i="1"/>
  <c r="CV726" i="1"/>
  <c r="CW726" i="1" s="1"/>
  <c r="CV740" i="1"/>
  <c r="CW740" i="1" s="1"/>
  <c r="CV766" i="1"/>
  <c r="CW766" i="1" s="1"/>
  <c r="CV779" i="1"/>
  <c r="CW779" i="1" s="1"/>
  <c r="CV800" i="1"/>
  <c r="CW800" i="1" s="1"/>
  <c r="BC848" i="1"/>
  <c r="BC893" i="1"/>
  <c r="CV893" i="1"/>
  <c r="CW893" i="1" s="1"/>
  <c r="CV902" i="1"/>
  <c r="CW902" i="1" s="1"/>
  <c r="BC916" i="1"/>
  <c r="CV968" i="1"/>
  <c r="CW968" i="1" s="1"/>
  <c r="CV991" i="1"/>
  <c r="CW991" i="1" s="1"/>
  <c r="BC991" i="1"/>
  <c r="CV994" i="1"/>
  <c r="CW994" i="1" s="1"/>
  <c r="CV1049" i="1"/>
  <c r="CW1049" i="1" s="1"/>
  <c r="CV1088" i="1"/>
  <c r="CW1088" i="1" s="1"/>
  <c r="CV1116" i="1"/>
  <c r="CW1116" i="1" s="1"/>
  <c r="BC1035" i="1"/>
  <c r="CV1035" i="1"/>
  <c r="CW1035" i="1" s="1"/>
  <c r="BC659" i="1"/>
  <c r="CV684" i="1"/>
  <c r="CW684" i="1" s="1"/>
  <c r="CV711" i="1"/>
  <c r="CW711" i="1" s="1"/>
  <c r="CV720" i="1"/>
  <c r="CW720" i="1" s="1"/>
  <c r="CV741" i="1"/>
  <c r="CW741" i="1" s="1"/>
  <c r="CV751" i="1"/>
  <c r="CW751" i="1" s="1"/>
  <c r="CV754" i="1"/>
  <c r="CW754" i="1" s="1"/>
  <c r="CV784" i="1"/>
  <c r="CW784" i="1" s="1"/>
  <c r="CV850" i="1"/>
  <c r="CW850" i="1" s="1"/>
  <c r="CV853" i="1"/>
  <c r="CW853" i="1" s="1"/>
  <c r="CV867" i="1"/>
  <c r="CW867" i="1" s="1"/>
  <c r="BC871" i="1"/>
  <c r="CV890" i="1"/>
  <c r="CW890" i="1" s="1"/>
  <c r="BC890" i="1"/>
  <c r="BC899" i="1"/>
  <c r="BC930" i="1"/>
  <c r="BC943" i="1"/>
  <c r="BC993" i="1"/>
  <c r="BC1004" i="1"/>
  <c r="BC1015" i="1"/>
  <c r="CV1030" i="1"/>
  <c r="CW1030" i="1" s="1"/>
  <c r="BC1102" i="1"/>
  <c r="CV1107" i="1"/>
  <c r="CW1107" i="1" s="1"/>
  <c r="CV759" i="1"/>
  <c r="CW759" i="1" s="1"/>
  <c r="CV789" i="1"/>
  <c r="CW789" i="1" s="1"/>
  <c r="CV802" i="1"/>
  <c r="CW802" i="1" s="1"/>
  <c r="BC825" i="1"/>
  <c r="BC830" i="1"/>
  <c r="BC854" i="1"/>
  <c r="BC936" i="1"/>
  <c r="BC947" i="1"/>
  <c r="CV1017" i="1"/>
  <c r="CW1017" i="1" s="1"/>
  <c r="BC1017" i="1"/>
  <c r="BC1029" i="1"/>
  <c r="CV883" i="1"/>
  <c r="CW883" i="1" s="1"/>
  <c r="CV899" i="1"/>
  <c r="CW899" i="1" s="1"/>
  <c r="CV924" i="1"/>
  <c r="CW924" i="1" s="1"/>
  <c r="CV931" i="1"/>
  <c r="CW931" i="1" s="1"/>
  <c r="CV993" i="1"/>
  <c r="CW993" i="1" s="1"/>
  <c r="CV1001" i="1"/>
  <c r="CW1001" i="1" s="1"/>
  <c r="CV1106" i="1"/>
  <c r="CW1106" i="1" s="1"/>
  <c r="CV768" i="1"/>
  <c r="CW768" i="1" s="1"/>
  <c r="CV772" i="1"/>
  <c r="CW772" i="1" s="1"/>
  <c r="CV797" i="1"/>
  <c r="CW797" i="1" s="1"/>
  <c r="BC836" i="1"/>
  <c r="BC846" i="1"/>
  <c r="CV858" i="1"/>
  <c r="CW858" i="1" s="1"/>
  <c r="CV872" i="1"/>
  <c r="CW872" i="1" s="1"/>
  <c r="CV910" i="1"/>
  <c r="CW910" i="1" s="1"/>
  <c r="CV918" i="1"/>
  <c r="CW918" i="1" s="1"/>
  <c r="CV921" i="1"/>
  <c r="CW921" i="1" s="1"/>
  <c r="CV927" i="1"/>
  <c r="CW927" i="1" s="1"/>
  <c r="CV965" i="1"/>
  <c r="CW965" i="1" s="1"/>
  <c r="CV975" i="1"/>
  <c r="CW975" i="1" s="1"/>
  <c r="CV997" i="1"/>
  <c r="CW997" i="1" s="1"/>
  <c r="BC1026" i="1"/>
  <c r="BC1030" i="1"/>
  <c r="CV1052" i="1"/>
  <c r="CW1052" i="1" s="1"/>
  <c r="CV1083" i="1"/>
  <c r="CW1083" i="1" s="1"/>
  <c r="CV1095" i="1"/>
  <c r="CW1095" i="1" s="1"/>
  <c r="CV1112" i="1"/>
  <c r="CW1112" i="1" s="1"/>
  <c r="CV1122" i="1"/>
  <c r="CW1122" i="1" s="1"/>
  <c r="CV1127" i="1"/>
  <c r="CW1127" i="1" s="1"/>
  <c r="CV841" i="1"/>
  <c r="CW841" i="1" s="1"/>
  <c r="CV857" i="1"/>
  <c r="CW857" i="1" s="1"/>
  <c r="CV866" i="1"/>
  <c r="CW866" i="1" s="1"/>
  <c r="CV868" i="1"/>
  <c r="CW868" i="1" s="1"/>
  <c r="CV898" i="1"/>
  <c r="CW898" i="1" s="1"/>
  <c r="CV917" i="1"/>
  <c r="CW917" i="1" s="1"/>
  <c r="CV920" i="1"/>
  <c r="CW920" i="1" s="1"/>
  <c r="CV934" i="1"/>
  <c r="CW934" i="1" s="1"/>
  <c r="CV942" i="1"/>
  <c r="CW942" i="1" s="1"/>
  <c r="CV1054" i="1"/>
  <c r="CW1054" i="1" s="1"/>
  <c r="CV1080" i="1"/>
  <c r="CW1080" i="1" s="1"/>
  <c r="CV1086" i="1"/>
  <c r="CW1086" i="1" s="1"/>
  <c r="CV1089" i="1"/>
  <c r="CW1089" i="1" s="1"/>
  <c r="CV1099" i="1"/>
  <c r="CW1099" i="1" s="1"/>
  <c r="CV1114" i="1"/>
  <c r="CW1114" i="1" s="1"/>
  <c r="CV1125" i="1"/>
  <c r="CW1125" i="1" s="1"/>
  <c r="CV1126" i="1"/>
  <c r="CW1126" i="1" s="1"/>
  <c r="BC1059" i="1"/>
  <c r="CV1066" i="1"/>
  <c r="CW1066" i="1" s="1"/>
  <c r="BC1079" i="1"/>
  <c r="CV16" i="1"/>
  <c r="CW16" i="1" s="1"/>
  <c r="CV286" i="1"/>
  <c r="CW286" i="1" s="1"/>
  <c r="BC323" i="1"/>
  <c r="BC498" i="1"/>
  <c r="CV701" i="1"/>
  <c r="CW701" i="1" s="1"/>
  <c r="BC701" i="1"/>
  <c r="CV334" i="1"/>
  <c r="CW334" i="1" s="1"/>
  <c r="BC334" i="1"/>
  <c r="BC133" i="1"/>
  <c r="BC137" i="1"/>
  <c r="BC437" i="1"/>
  <c r="CV437" i="1"/>
  <c r="CW437" i="1" s="1"/>
  <c r="BC83" i="1"/>
  <c r="BC108" i="1"/>
  <c r="BC109" i="1"/>
  <c r="P1136" i="1"/>
  <c r="BC53" i="1"/>
  <c r="U296" i="1"/>
  <c r="AC296" i="1" s="1"/>
  <c r="AN296" i="1" s="1"/>
  <c r="BC296" i="1" s="1"/>
  <c r="BC341" i="1"/>
  <c r="CV341" i="1"/>
  <c r="CW341" i="1" s="1"/>
  <c r="BC359" i="1"/>
  <c r="CV359" i="1"/>
  <c r="CW359" i="1" s="1"/>
  <c r="CV713" i="1"/>
  <c r="CW713" i="1" s="1"/>
  <c r="BC713" i="1"/>
  <c r="CV8" i="1"/>
  <c r="CW8" i="1" s="1"/>
  <c r="CV12" i="1"/>
  <c r="CW12" i="1" s="1"/>
  <c r="CV18" i="1"/>
  <c r="CW18" i="1" s="1"/>
  <c r="CV19" i="1"/>
  <c r="CW19" i="1" s="1"/>
  <c r="CV30" i="1"/>
  <c r="CW30" i="1" s="1"/>
  <c r="CV45" i="1"/>
  <c r="CW45" i="1" s="1"/>
  <c r="CV54" i="1"/>
  <c r="CW54" i="1" s="1"/>
  <c r="BC63" i="1"/>
  <c r="CV64" i="1"/>
  <c r="CW64" i="1" s="1"/>
  <c r="CV83" i="1"/>
  <c r="CW83" i="1" s="1"/>
  <c r="BC88" i="1"/>
  <c r="BC132" i="1"/>
  <c r="CV133" i="1"/>
  <c r="CW133" i="1" s="1"/>
  <c r="CV136" i="1"/>
  <c r="CW136" i="1" s="1"/>
  <c r="BC141" i="1"/>
  <c r="BC161" i="1"/>
  <c r="CV169" i="1"/>
  <c r="CW169" i="1" s="1"/>
  <c r="BC182" i="1"/>
  <c r="CV234" i="1"/>
  <c r="CW234" i="1" s="1"/>
  <c r="U304" i="1"/>
  <c r="AC304" i="1" s="1"/>
  <c r="AN304" i="1" s="1"/>
  <c r="BC304" i="1" s="1"/>
  <c r="BC430" i="1"/>
  <c r="CV558" i="1"/>
  <c r="CW558" i="1" s="1"/>
  <c r="BC558" i="1"/>
  <c r="BC892" i="1"/>
  <c r="CV892" i="1"/>
  <c r="CW892" i="1" s="1"/>
  <c r="CV1016" i="1"/>
  <c r="CW1016" i="1" s="1"/>
  <c r="BC1016" i="1"/>
  <c r="CV1019" i="1"/>
  <c r="CW1019" i="1" s="1"/>
  <c r="BC1019" i="1"/>
  <c r="BA1136" i="1"/>
  <c r="CV17" i="1"/>
  <c r="CW17" i="1" s="1"/>
  <c r="BC337" i="1"/>
  <c r="BC656" i="1"/>
  <c r="CV656" i="1"/>
  <c r="CW656" i="1" s="1"/>
  <c r="BC719" i="1"/>
  <c r="CV719" i="1"/>
  <c r="CW719" i="1" s="1"/>
  <c r="AN3" i="1"/>
  <c r="CV63" i="1"/>
  <c r="CW63" i="1" s="1"/>
  <c r="CV132" i="1"/>
  <c r="CW132" i="1" s="1"/>
  <c r="BC205" i="1"/>
  <c r="CV205" i="1"/>
  <c r="CW205" i="1" s="1"/>
  <c r="BC376" i="1"/>
  <c r="CV70" i="1"/>
  <c r="CW70" i="1" s="1"/>
  <c r="CV105" i="1"/>
  <c r="CW105" i="1" s="1"/>
  <c r="CV106" i="1"/>
  <c r="CW106" i="1" s="1"/>
  <c r="CV118" i="1"/>
  <c r="CW118" i="1" s="1"/>
  <c r="CV135" i="1"/>
  <c r="CW135" i="1" s="1"/>
  <c r="CV161" i="1"/>
  <c r="CW161" i="1" s="1"/>
  <c r="CV166" i="1"/>
  <c r="CW166" i="1" s="1"/>
  <c r="BC460" i="1"/>
  <c r="BC497" i="1"/>
  <c r="CV260" i="1"/>
  <c r="CW260" i="1" s="1"/>
  <c r="BC260" i="1"/>
  <c r="CV267" i="1"/>
  <c r="CW267" i="1" s="1"/>
  <c r="BC267" i="1"/>
  <c r="BC407" i="1"/>
  <c r="CV407" i="1"/>
  <c r="CW407" i="1" s="1"/>
  <c r="CV88" i="1"/>
  <c r="CW88" i="1" s="1"/>
  <c r="BC126" i="1"/>
  <c r="CV129" i="1"/>
  <c r="CW129" i="1" s="1"/>
  <c r="BC253" i="1"/>
  <c r="CV5" i="1"/>
  <c r="CW5" i="1" s="1"/>
  <c r="CV27" i="1"/>
  <c r="CW27" i="1" s="1"/>
  <c r="CV60" i="1"/>
  <c r="CW60" i="1" s="1"/>
  <c r="CV69" i="1"/>
  <c r="CW69" i="1" s="1"/>
  <c r="CV122" i="1"/>
  <c r="CW122" i="1" s="1"/>
  <c r="CV215" i="1"/>
  <c r="CW215" i="1" s="1"/>
  <c r="BC215" i="1"/>
  <c r="BC221" i="1"/>
  <c r="CV448" i="1"/>
  <c r="CW448" i="1" s="1"/>
  <c r="CV478" i="1"/>
  <c r="CW478" i="1" s="1"/>
  <c r="CV496" i="1"/>
  <c r="CW496" i="1" s="1"/>
  <c r="BC496" i="1"/>
  <c r="BB1136" i="1"/>
  <c r="CV207" i="1"/>
  <c r="CW207" i="1" s="1"/>
  <c r="CV257" i="1"/>
  <c r="CW257" i="1" s="1"/>
  <c r="U282" i="1"/>
  <c r="AC282" i="1" s="1"/>
  <c r="AN282" i="1" s="1"/>
  <c r="BC282" i="1" s="1"/>
  <c r="CV333" i="1"/>
  <c r="CW333" i="1" s="1"/>
  <c r="BC333" i="1"/>
  <c r="CV361" i="1"/>
  <c r="CW361" i="1" s="1"/>
  <c r="BC369" i="1"/>
  <c r="CV369" i="1"/>
  <c r="CW369" i="1" s="1"/>
  <c r="CV378" i="1"/>
  <c r="CW378" i="1" s="1"/>
  <c r="BC387" i="1"/>
  <c r="CV415" i="1"/>
  <c r="CW415" i="1" s="1"/>
  <c r="CV42" i="1"/>
  <c r="CW42" i="1" s="1"/>
  <c r="CV23" i="1"/>
  <c r="CW23" i="1" s="1"/>
  <c r="BC26" i="1"/>
  <c r="CV38" i="1"/>
  <c r="CW38" i="1" s="1"/>
  <c r="CV90" i="1"/>
  <c r="CW90" i="1" s="1"/>
  <c r="CV93" i="1"/>
  <c r="CW93" i="1" s="1"/>
  <c r="CV100" i="1"/>
  <c r="CW100" i="1" s="1"/>
  <c r="CV112" i="1"/>
  <c r="CW112" i="1" s="1"/>
  <c r="CV113" i="1"/>
  <c r="CW113" i="1" s="1"/>
  <c r="CV119" i="1"/>
  <c r="CW119" i="1" s="1"/>
  <c r="CV125" i="1"/>
  <c r="CW125" i="1" s="1"/>
  <c r="CV159" i="1"/>
  <c r="CW159" i="1" s="1"/>
  <c r="CV174" i="1"/>
  <c r="CW174" i="1" s="1"/>
  <c r="CV190" i="1"/>
  <c r="CW190" i="1" s="1"/>
  <c r="CV228" i="1"/>
  <c r="CW228" i="1" s="1"/>
  <c r="CV236" i="1"/>
  <c r="CW236" i="1" s="1"/>
  <c r="BC242" i="1"/>
  <c r="CV263" i="1"/>
  <c r="CW263" i="1" s="1"/>
  <c r="CV280" i="1"/>
  <c r="CW280" i="1" s="1"/>
  <c r="CV294" i="1"/>
  <c r="CW294" i="1" s="1"/>
  <c r="CV376" i="1"/>
  <c r="CW376" i="1" s="1"/>
  <c r="CV438" i="1"/>
  <c r="CW438" i="1" s="1"/>
  <c r="BC440" i="1"/>
  <c r="CV541" i="1"/>
  <c r="CW541" i="1" s="1"/>
  <c r="BC541" i="1"/>
  <c r="CV557" i="1"/>
  <c r="CW557" i="1" s="1"/>
  <c r="BC557" i="1"/>
  <c r="CV599" i="1"/>
  <c r="CW599" i="1" s="1"/>
  <c r="BC599" i="1"/>
  <c r="BC617" i="1"/>
  <c r="CV648" i="1"/>
  <c r="CW648" i="1" s="1"/>
  <c r="BC648" i="1"/>
  <c r="CV664" i="1"/>
  <c r="CW664" i="1" s="1"/>
  <c r="BC664" i="1"/>
  <c r="BC259" i="1"/>
  <c r="CV275" i="1"/>
  <c r="CW275" i="1" s="1"/>
  <c r="BC275" i="1"/>
  <c r="CV301" i="1"/>
  <c r="CW301" i="1" s="1"/>
  <c r="CV332" i="1"/>
  <c r="CW332" i="1" s="1"/>
  <c r="CV349" i="1"/>
  <c r="CW349" i="1" s="1"/>
  <c r="BC425" i="1"/>
  <c r="CV433" i="1"/>
  <c r="CW433" i="1" s="1"/>
  <c r="BC502" i="1"/>
  <c r="CV502" i="1"/>
  <c r="CW502" i="1" s="1"/>
  <c r="CV556" i="1"/>
  <c r="CW556" i="1" s="1"/>
  <c r="BC556" i="1"/>
  <c r="CV616" i="1"/>
  <c r="CW616" i="1" s="1"/>
  <c r="BC616" i="1"/>
  <c r="CV617" i="1"/>
  <c r="CW617" i="1" s="1"/>
  <c r="CV141" i="1"/>
  <c r="CW141" i="1" s="1"/>
  <c r="CV145" i="1"/>
  <c r="CW145" i="1" s="1"/>
  <c r="CV183" i="1"/>
  <c r="CW183" i="1" s="1"/>
  <c r="CV185" i="1"/>
  <c r="CW185" i="1" s="1"/>
  <c r="CV186" i="1"/>
  <c r="CW186" i="1" s="1"/>
  <c r="CV193" i="1"/>
  <c r="CW193" i="1" s="1"/>
  <c r="CV210" i="1"/>
  <c r="CW210" i="1" s="1"/>
  <c r="CV217" i="1"/>
  <c r="CW217" i="1" s="1"/>
  <c r="CV222" i="1"/>
  <c r="CW222" i="1" s="1"/>
  <c r="CV224" i="1"/>
  <c r="CW224" i="1" s="1"/>
  <c r="CV225" i="1"/>
  <c r="CW225" i="1" s="1"/>
  <c r="CV239" i="1"/>
  <c r="CW239" i="1" s="1"/>
  <c r="CV240" i="1"/>
  <c r="CW240" i="1" s="1"/>
  <c r="CV245" i="1"/>
  <c r="CW245" i="1" s="1"/>
  <c r="BC258" i="1"/>
  <c r="CV281" i="1"/>
  <c r="CW281" i="1" s="1"/>
  <c r="CV313" i="1"/>
  <c r="CW313" i="1" s="1"/>
  <c r="BC361" i="1"/>
  <c r="CV399" i="1"/>
  <c r="CW399" i="1" s="1"/>
  <c r="BC404" i="1"/>
  <c r="CV404" i="1"/>
  <c r="CW404" i="1" s="1"/>
  <c r="CV423" i="1"/>
  <c r="CW423" i="1" s="1"/>
  <c r="BC954" i="1"/>
  <c r="CV954" i="1"/>
  <c r="CW954" i="1" s="1"/>
  <c r="CV194" i="1"/>
  <c r="CW194" i="1" s="1"/>
  <c r="CV197" i="1"/>
  <c r="CW197" i="1" s="1"/>
  <c r="CV220" i="1"/>
  <c r="CW220" i="1" s="1"/>
  <c r="CV254" i="1"/>
  <c r="CW254" i="1" s="1"/>
  <c r="CV265" i="1"/>
  <c r="CW265" i="1" s="1"/>
  <c r="U295" i="1"/>
  <c r="AC295" i="1" s="1"/>
  <c r="AN295" i="1" s="1"/>
  <c r="BC295" i="1" s="1"/>
  <c r="CV295" i="1"/>
  <c r="CW295" i="1" s="1"/>
  <c r="CV311" i="1"/>
  <c r="CW311" i="1" s="1"/>
  <c r="CV325" i="1"/>
  <c r="CW325" i="1" s="1"/>
  <c r="CV347" i="1"/>
  <c r="CW347" i="1" s="1"/>
  <c r="CV398" i="1"/>
  <c r="CW398" i="1" s="1"/>
  <c r="CV411" i="1"/>
  <c r="CW411" i="1" s="1"/>
  <c r="CV426" i="1"/>
  <c r="CW426" i="1" s="1"/>
  <c r="CV431" i="1"/>
  <c r="CW431" i="1" s="1"/>
  <c r="CV497" i="1"/>
  <c r="CW497" i="1" s="1"/>
  <c r="CV261" i="1"/>
  <c r="CW261" i="1" s="1"/>
  <c r="CV264" i="1"/>
  <c r="CW264" i="1" s="1"/>
  <c r="CV271" i="1"/>
  <c r="CW271" i="1" s="1"/>
  <c r="CV292" i="1"/>
  <c r="CW292" i="1" s="1"/>
  <c r="CV307" i="1"/>
  <c r="CW307" i="1" s="1"/>
  <c r="CV323" i="1"/>
  <c r="CW323" i="1" s="1"/>
  <c r="CV379" i="1"/>
  <c r="CW379" i="1" s="1"/>
  <c r="CV410" i="1"/>
  <c r="CW410" i="1" s="1"/>
  <c r="CV416" i="1"/>
  <c r="CW416" i="1" s="1"/>
  <c r="BC444" i="1"/>
  <c r="BC478" i="1"/>
  <c r="CV500" i="1"/>
  <c r="CW500" i="1" s="1"/>
  <c r="BC537" i="1"/>
  <c r="CV644" i="1"/>
  <c r="CW644" i="1" s="1"/>
  <c r="CV686" i="1"/>
  <c r="CW686" i="1" s="1"/>
  <c r="CV937" i="1"/>
  <c r="CW937" i="1" s="1"/>
  <c r="BC937" i="1"/>
  <c r="CV274" i="1"/>
  <c r="CW274" i="1" s="1"/>
  <c r="CV285" i="1"/>
  <c r="CW285" i="1" s="1"/>
  <c r="U293" i="1"/>
  <c r="AC293" i="1" s="1"/>
  <c r="AN293" i="1" s="1"/>
  <c r="BC293" i="1" s="1"/>
  <c r="CV331" i="1"/>
  <c r="CW331" i="1" s="1"/>
  <c r="CV345" i="1"/>
  <c r="CW345" i="1" s="1"/>
  <c r="CV350" i="1"/>
  <c r="CW350" i="1" s="1"/>
  <c r="CV412" i="1"/>
  <c r="CW412" i="1" s="1"/>
  <c r="CV424" i="1"/>
  <c r="CW424" i="1" s="1"/>
  <c r="CV491" i="1"/>
  <c r="CW491" i="1" s="1"/>
  <c r="BC491" i="1"/>
  <c r="CV518" i="1"/>
  <c r="CW518" i="1" s="1"/>
  <c r="CV549" i="1"/>
  <c r="CW549" i="1" s="1"/>
  <c r="BC580" i="1"/>
  <c r="CV591" i="1"/>
  <c r="CW591" i="1" s="1"/>
  <c r="BC596" i="1"/>
  <c r="CV596" i="1"/>
  <c r="CW596" i="1" s="1"/>
  <c r="CV731" i="1"/>
  <c r="CW731" i="1" s="1"/>
  <c r="BC731" i="1"/>
  <c r="CV290" i="1"/>
  <c r="CW290" i="1" s="1"/>
  <c r="CV305" i="1"/>
  <c r="CW305" i="1" s="1"/>
  <c r="CV372" i="1"/>
  <c r="CW372" i="1" s="1"/>
  <c r="CV383" i="1"/>
  <c r="CW383" i="1" s="1"/>
  <c r="CV425" i="1"/>
  <c r="CW425" i="1" s="1"/>
  <c r="CV464" i="1"/>
  <c r="CW464" i="1" s="1"/>
  <c r="CV492" i="1"/>
  <c r="CW492" i="1" s="1"/>
  <c r="CV513" i="1"/>
  <c r="CW513" i="1" s="1"/>
  <c r="CV514" i="1"/>
  <c r="CW514" i="1" s="1"/>
  <c r="CV473" i="1"/>
  <c r="CW473" i="1" s="1"/>
  <c r="CV476" i="1"/>
  <c r="CW476" i="1" s="1"/>
  <c r="CV554" i="1"/>
  <c r="CW554" i="1" s="1"/>
  <c r="CV580" i="1"/>
  <c r="CW580" i="1" s="1"/>
  <c r="CV355" i="1"/>
  <c r="CW355" i="1" s="1"/>
  <c r="CV394" i="1"/>
  <c r="CW394" i="1" s="1"/>
  <c r="CV440" i="1"/>
  <c r="CW440" i="1" s="1"/>
  <c r="CV452" i="1"/>
  <c r="CW452" i="1" s="1"/>
  <c r="CV455" i="1"/>
  <c r="CW455" i="1" s="1"/>
  <c r="CV461" i="1"/>
  <c r="CW461" i="1" s="1"/>
  <c r="CV522" i="1"/>
  <c r="CW522" i="1" s="1"/>
  <c r="CV572" i="1"/>
  <c r="CW572" i="1" s="1"/>
  <c r="BC593" i="1"/>
  <c r="BC605" i="1"/>
  <c r="CV668" i="1"/>
  <c r="CW668" i="1" s="1"/>
  <c r="CV788" i="1"/>
  <c r="CW788" i="1" s="1"/>
  <c r="BC788" i="1"/>
  <c r="CV799" i="1"/>
  <c r="CW799" i="1" s="1"/>
  <c r="BC799" i="1"/>
  <c r="CV525" i="1"/>
  <c r="CW525" i="1" s="1"/>
  <c r="CV537" i="1"/>
  <c r="CW537" i="1" s="1"/>
  <c r="CV538" i="1"/>
  <c r="CW538" i="1" s="1"/>
  <c r="CV542" i="1"/>
  <c r="CW542" i="1" s="1"/>
  <c r="CV545" i="1"/>
  <c r="CW545" i="1" s="1"/>
  <c r="CV552" i="1"/>
  <c r="CW552" i="1" s="1"/>
  <c r="CV566" i="1"/>
  <c r="CW566" i="1" s="1"/>
  <c r="CV593" i="1"/>
  <c r="CW593" i="1" s="1"/>
  <c r="CV718" i="1"/>
  <c r="CW718" i="1" s="1"/>
  <c r="BC733" i="1"/>
  <c r="CV736" i="1"/>
  <c r="CW736" i="1" s="1"/>
  <c r="BC736" i="1"/>
  <c r="BC741" i="1"/>
  <c r="BC829" i="1"/>
  <c r="CV829" i="1"/>
  <c r="CW829" i="1" s="1"/>
  <c r="CV657" i="1"/>
  <c r="CW657" i="1" s="1"/>
  <c r="BC657" i="1"/>
  <c r="BC699" i="1"/>
  <c r="BC729" i="1"/>
  <c r="CV729" i="1"/>
  <c r="CW729" i="1" s="1"/>
  <c r="CV508" i="1"/>
  <c r="CW508" i="1" s="1"/>
  <c r="CV511" i="1"/>
  <c r="CW511" i="1" s="1"/>
  <c r="CV577" i="1"/>
  <c r="CW577" i="1" s="1"/>
  <c r="CV602" i="1"/>
  <c r="CW602" i="1" s="1"/>
  <c r="CV614" i="1"/>
  <c r="CW614" i="1" s="1"/>
  <c r="BC673" i="1"/>
  <c r="CV710" i="1"/>
  <c r="CW710" i="1" s="1"/>
  <c r="CV735" i="1"/>
  <c r="CW735" i="1" s="1"/>
  <c r="BC735" i="1"/>
  <c r="CV840" i="1"/>
  <c r="CW840" i="1" s="1"/>
  <c r="BC840" i="1"/>
  <c r="CV888" i="1"/>
  <c r="CW888" i="1" s="1"/>
  <c r="BC888" i="1"/>
  <c r="CV584" i="1"/>
  <c r="CW584" i="1" s="1"/>
  <c r="CV609" i="1"/>
  <c r="CW609" i="1" s="1"/>
  <c r="CV622" i="1"/>
  <c r="CW622" i="1" s="1"/>
  <c r="CV643" i="1"/>
  <c r="CW643" i="1" s="1"/>
  <c r="CV674" i="1"/>
  <c r="CW674" i="1" s="1"/>
  <c r="CV709" i="1"/>
  <c r="CW709" i="1" s="1"/>
  <c r="CV761" i="1"/>
  <c r="CW761" i="1" s="1"/>
  <c r="BC811" i="1"/>
  <c r="CV842" i="1"/>
  <c r="CW842" i="1" s="1"/>
  <c r="BC842" i="1"/>
  <c r="BC902" i="1"/>
  <c r="BC903" i="1"/>
  <c r="CV1129" i="1"/>
  <c r="CW1129" i="1" s="1"/>
  <c r="BC1129" i="1"/>
  <c r="CV767" i="1"/>
  <c r="CW767" i="1" s="1"/>
  <c r="BC777" i="1"/>
  <c r="CV777" i="1"/>
  <c r="CW777" i="1" s="1"/>
  <c r="CV852" i="1"/>
  <c r="CW852" i="1" s="1"/>
  <c r="BC852" i="1"/>
  <c r="CV986" i="1"/>
  <c r="CW986" i="1" s="1"/>
  <c r="CV1047" i="1"/>
  <c r="CW1047" i="1" s="1"/>
  <c r="BC1047" i="1"/>
  <c r="CV626" i="1"/>
  <c r="CW626" i="1" s="1"/>
  <c r="CV646" i="1"/>
  <c r="CW646" i="1" s="1"/>
  <c r="CV650" i="1"/>
  <c r="CW650" i="1" s="1"/>
  <c r="CV651" i="1"/>
  <c r="CW651" i="1" s="1"/>
  <c r="CV653" i="1"/>
  <c r="CW653" i="1" s="1"/>
  <c r="CV691" i="1"/>
  <c r="CW691" i="1" s="1"/>
  <c r="CV712" i="1"/>
  <c r="CW712" i="1" s="1"/>
  <c r="CV807" i="1"/>
  <c r="CW807" i="1" s="1"/>
  <c r="BC821" i="1"/>
  <c r="CV821" i="1"/>
  <c r="CW821" i="1" s="1"/>
  <c r="CV822" i="1"/>
  <c r="CW822" i="1" s="1"/>
  <c r="BC904" i="1"/>
  <c r="CV563" i="1"/>
  <c r="CW563" i="1" s="1"/>
  <c r="CV589" i="1"/>
  <c r="CW589" i="1" s="1"/>
  <c r="CV611" i="1"/>
  <c r="CW611" i="1" s="1"/>
  <c r="CV645" i="1"/>
  <c r="CW645" i="1" s="1"/>
  <c r="CV649" i="1"/>
  <c r="CW649" i="1" s="1"/>
  <c r="CV652" i="1"/>
  <c r="CW652" i="1" s="1"/>
  <c r="CV690" i="1"/>
  <c r="CW690" i="1" s="1"/>
  <c r="BC744" i="1"/>
  <c r="BC761" i="1"/>
  <c r="CV771" i="1"/>
  <c r="CW771" i="1" s="1"/>
  <c r="CV774" i="1"/>
  <c r="CW774" i="1" s="1"/>
  <c r="CV782" i="1"/>
  <c r="CW782" i="1" s="1"/>
  <c r="CV803" i="1"/>
  <c r="CW803" i="1" s="1"/>
  <c r="BC913" i="1"/>
  <c r="CV913" i="1"/>
  <c r="CW913" i="1" s="1"/>
  <c r="CV959" i="1"/>
  <c r="CW959" i="1" s="1"/>
  <c r="BC959" i="1"/>
  <c r="CV688" i="1"/>
  <c r="CW688" i="1" s="1"/>
  <c r="CV692" i="1"/>
  <c r="CW692" i="1" s="1"/>
  <c r="CV707" i="1"/>
  <c r="CW707" i="1" s="1"/>
  <c r="CV725" i="1"/>
  <c r="CW725" i="1" s="1"/>
  <c r="CV737" i="1"/>
  <c r="CW737" i="1" s="1"/>
  <c r="CV742" i="1"/>
  <c r="CW742" i="1" s="1"/>
  <c r="CV763" i="1"/>
  <c r="CW763" i="1" s="1"/>
  <c r="BC763" i="1"/>
  <c r="CV773" i="1"/>
  <c r="CW773" i="1" s="1"/>
  <c r="BC808" i="1"/>
  <c r="BC809" i="1"/>
  <c r="CV816" i="1"/>
  <c r="CW816" i="1" s="1"/>
  <c r="CV819" i="1"/>
  <c r="CW819" i="1" s="1"/>
  <c r="BC819" i="1"/>
  <c r="BC891" i="1"/>
  <c r="CV951" i="1"/>
  <c r="CW951" i="1" s="1"/>
  <c r="BC1007" i="1"/>
  <c r="CV1007" i="1"/>
  <c r="CW1007" i="1" s="1"/>
  <c r="BC1075" i="1"/>
  <c r="CV1075" i="1"/>
  <c r="CW1075" i="1" s="1"/>
  <c r="BC967" i="1"/>
  <c r="CV967" i="1"/>
  <c r="CW967" i="1" s="1"/>
  <c r="CV969" i="1"/>
  <c r="CW969" i="1" s="1"/>
  <c r="BC969" i="1"/>
  <c r="CV1053" i="1"/>
  <c r="CW1053" i="1" s="1"/>
  <c r="BC1053" i="1"/>
  <c r="CV660" i="1"/>
  <c r="CW660" i="1" s="1"/>
  <c r="CV661" i="1"/>
  <c r="CW661" i="1" s="1"/>
  <c r="CV669" i="1"/>
  <c r="CW669" i="1" s="1"/>
  <c r="CV787" i="1"/>
  <c r="CW787" i="1" s="1"/>
  <c r="CV804" i="1"/>
  <c r="CW804" i="1" s="1"/>
  <c r="BC807" i="1"/>
  <c r="CV809" i="1"/>
  <c r="CW809" i="1" s="1"/>
  <c r="CV832" i="1"/>
  <c r="CW832" i="1" s="1"/>
  <c r="CV845" i="1"/>
  <c r="CW845" i="1" s="1"/>
  <c r="BC885" i="1"/>
  <c r="CV676" i="1"/>
  <c r="CW676" i="1" s="1"/>
  <c r="CV748" i="1"/>
  <c r="CW748" i="1" s="1"/>
  <c r="BC801" i="1"/>
  <c r="CV836" i="1"/>
  <c r="CW836" i="1" s="1"/>
  <c r="CV848" i="1"/>
  <c r="CW848" i="1" s="1"/>
  <c r="BC940" i="1"/>
  <c r="BC962" i="1"/>
  <c r="BC1020" i="1"/>
  <c r="CV755" i="1"/>
  <c r="CW755" i="1" s="1"/>
  <c r="CV765" i="1"/>
  <c r="CW765" i="1" s="1"/>
  <c r="CV775" i="1"/>
  <c r="CW775" i="1" s="1"/>
  <c r="CV811" i="1"/>
  <c r="CW811" i="1" s="1"/>
  <c r="BC863" i="1"/>
  <c r="BC914" i="1"/>
  <c r="CV989" i="1"/>
  <c r="CW989" i="1" s="1"/>
  <c r="BC989" i="1"/>
  <c r="BC905" i="1"/>
  <c r="CV905" i="1"/>
  <c r="CW905" i="1" s="1"/>
  <c r="BC950" i="1"/>
  <c r="CV950" i="1"/>
  <c r="CW950" i="1" s="1"/>
  <c r="CV1096" i="1"/>
  <c r="CW1096" i="1" s="1"/>
  <c r="BC1096" i="1"/>
  <c r="CV1102" i="1"/>
  <c r="CW1102" i="1" s="1"/>
  <c r="CV824" i="1"/>
  <c r="CW824" i="1" s="1"/>
  <c r="CV825" i="1"/>
  <c r="CW825" i="1" s="1"/>
  <c r="CV865" i="1"/>
  <c r="CW865" i="1" s="1"/>
  <c r="CV877" i="1"/>
  <c r="CW877" i="1" s="1"/>
  <c r="BC894" i="1"/>
  <c r="CV915" i="1"/>
  <c r="CW915" i="1" s="1"/>
  <c r="BC915" i="1"/>
  <c r="BC926" i="1"/>
  <c r="CV926" i="1"/>
  <c r="CW926" i="1" s="1"/>
  <c r="CV1013" i="1"/>
  <c r="CW1013" i="1" s="1"/>
  <c r="CV839" i="1"/>
  <c r="CW839" i="1" s="1"/>
  <c r="BC912" i="1"/>
  <c r="BC918" i="1"/>
  <c r="CV939" i="1"/>
  <c r="CW939" i="1" s="1"/>
  <c r="CV879" i="1"/>
  <c r="CW879" i="1" s="1"/>
  <c r="CV886" i="1"/>
  <c r="CW886" i="1" s="1"/>
  <c r="CV895" i="1"/>
  <c r="CW895" i="1" s="1"/>
  <c r="CV912" i="1"/>
  <c r="CW912" i="1" s="1"/>
  <c r="CV863" i="1"/>
  <c r="CW863" i="1" s="1"/>
  <c r="CV885" i="1"/>
  <c r="CW885" i="1" s="1"/>
  <c r="CV894" i="1"/>
  <c r="CW894" i="1" s="1"/>
  <c r="BC939" i="1"/>
  <c r="CV940" i="1"/>
  <c r="CW940" i="1" s="1"/>
  <c r="BC960" i="1"/>
  <c r="CV966" i="1"/>
  <c r="CW966" i="1" s="1"/>
  <c r="CV1065" i="1"/>
  <c r="CW1065" i="1" s="1"/>
  <c r="BC1065" i="1"/>
  <c r="CV843" i="1"/>
  <c r="CW843" i="1" s="1"/>
  <c r="CV851" i="1"/>
  <c r="CW851" i="1" s="1"/>
  <c r="CV884" i="1"/>
  <c r="CW884" i="1" s="1"/>
  <c r="CV891" i="1"/>
  <c r="CW891" i="1" s="1"/>
  <c r="CV904" i="1"/>
  <c r="CW904" i="1" s="1"/>
  <c r="CV909" i="1"/>
  <c r="CW909" i="1" s="1"/>
  <c r="CV961" i="1"/>
  <c r="CW961" i="1" s="1"/>
  <c r="CV979" i="1"/>
  <c r="CW979" i="1" s="1"/>
  <c r="CV1000" i="1"/>
  <c r="CW1000" i="1" s="1"/>
  <c r="CV849" i="1"/>
  <c r="CW849" i="1" s="1"/>
  <c r="CV916" i="1"/>
  <c r="CW916" i="1" s="1"/>
  <c r="CV928" i="1"/>
  <c r="CW928" i="1" s="1"/>
  <c r="CV953" i="1"/>
  <c r="CW953" i="1" s="1"/>
  <c r="CV970" i="1"/>
  <c r="CW970" i="1" s="1"/>
  <c r="BC986" i="1"/>
  <c r="CV999" i="1"/>
  <c r="CW999" i="1" s="1"/>
  <c r="BC1076" i="1"/>
  <c r="CV1076" i="1"/>
  <c r="CW1076" i="1" s="1"/>
  <c r="CV938" i="1"/>
  <c r="CW938" i="1" s="1"/>
  <c r="CV955" i="1"/>
  <c r="CW955" i="1" s="1"/>
  <c r="CV960" i="1"/>
  <c r="CW960" i="1" s="1"/>
  <c r="CV1008" i="1"/>
  <c r="CW1008" i="1" s="1"/>
  <c r="CV1010" i="1"/>
  <c r="CW1010" i="1" s="1"/>
  <c r="CV1038" i="1"/>
  <c r="CW1038" i="1" s="1"/>
  <c r="CV1042" i="1"/>
  <c r="CW1042" i="1" s="1"/>
  <c r="CV1048" i="1"/>
  <c r="CW1048" i="1" s="1"/>
  <c r="CV1058" i="1"/>
  <c r="CW1058" i="1" s="1"/>
  <c r="CV1097" i="1"/>
  <c r="CW1097" i="1" s="1"/>
  <c r="CV1098" i="1"/>
  <c r="CW1098" i="1" s="1"/>
  <c r="CV1105" i="1"/>
  <c r="CW1105" i="1" s="1"/>
  <c r="CV1117" i="1"/>
  <c r="CW1117" i="1" s="1"/>
  <c r="CV914" i="1"/>
  <c r="CW914" i="1" s="1"/>
  <c r="CV919" i="1"/>
  <c r="CW919" i="1" s="1"/>
  <c r="CV958" i="1"/>
  <c r="CW958" i="1" s="1"/>
  <c r="CV973" i="1"/>
  <c r="CW973" i="1" s="1"/>
  <c r="CV1020" i="1"/>
  <c r="CW1020" i="1" s="1"/>
  <c r="CV1072" i="1"/>
  <c r="CW1072" i="1" s="1"/>
  <c r="CV1084" i="1"/>
  <c r="CW1084" i="1" s="1"/>
  <c r="CV1104" i="1"/>
  <c r="CW1104" i="1" s="1"/>
  <c r="CV1128" i="1"/>
  <c r="CW1128" i="1" s="1"/>
  <c r="BC1128" i="1"/>
  <c r="CV1040" i="1"/>
  <c r="CW1040" i="1" s="1"/>
  <c r="BC1040" i="1"/>
  <c r="CV1046" i="1"/>
  <c r="CW1046" i="1" s="1"/>
  <c r="CV944" i="1"/>
  <c r="CW944" i="1" s="1"/>
  <c r="CV963" i="1"/>
  <c r="CW963" i="1" s="1"/>
  <c r="CV972" i="1"/>
  <c r="CW972" i="1" s="1"/>
  <c r="CV981" i="1"/>
  <c r="CW981" i="1" s="1"/>
  <c r="CV987" i="1"/>
  <c r="CW987" i="1" s="1"/>
  <c r="CV995" i="1"/>
  <c r="CW995" i="1" s="1"/>
  <c r="CV1029" i="1"/>
  <c r="CW1029" i="1" s="1"/>
  <c r="CV1132" i="1"/>
  <c r="CW1132" i="1" s="1"/>
  <c r="BC1132" i="1"/>
  <c r="CV1100" i="1"/>
  <c r="CW1100" i="1" s="1"/>
  <c r="CV1124" i="1"/>
  <c r="CW1124" i="1" s="1"/>
  <c r="CV1037" i="1"/>
  <c r="CW1037" i="1" s="1"/>
  <c r="CV1064" i="1"/>
  <c r="CW1064" i="1" s="1"/>
  <c r="CV1069" i="1"/>
  <c r="CW1069" i="1" s="1"/>
  <c r="CV1078" i="1"/>
  <c r="CW1078" i="1" s="1"/>
  <c r="CV1079" i="1"/>
  <c r="CW1079" i="1" s="1"/>
  <c r="CV1093" i="1"/>
  <c r="CW1093" i="1" s="1"/>
  <c r="CV1110" i="1"/>
  <c r="CW1110" i="1" s="1"/>
  <c r="CV1131" i="1"/>
  <c r="CW1131" i="1" s="1"/>
  <c r="CV996" i="1"/>
  <c r="CW996" i="1" s="1"/>
  <c r="CV1015" i="1"/>
  <c r="CW1015" i="1" s="1"/>
  <c r="CV1021" i="1"/>
  <c r="CW1021" i="1" s="1"/>
  <c r="CV1022" i="1"/>
  <c r="CW1022" i="1" s="1"/>
  <c r="CV1027" i="1"/>
  <c r="CW1027" i="1" s="1"/>
  <c r="CV1109" i="1"/>
  <c r="CW1109" i="1" s="1"/>
  <c r="CV1134" i="1"/>
  <c r="CW1134" i="1" s="1"/>
  <c r="CV1135" i="1"/>
  <c r="CW1135" i="1" s="1"/>
  <c r="CV3" i="1"/>
  <c r="CW3" i="1" s="1"/>
  <c r="CU1136" i="1" l="1"/>
  <c r="CV71" i="1"/>
  <c r="CW71" i="1" s="1"/>
  <c r="M1136" i="1"/>
  <c r="AC1136" i="1"/>
  <c r="U1136" i="1"/>
  <c r="CV53" i="1"/>
  <c r="CW53" i="1" s="1"/>
  <c r="AN1136" i="1"/>
  <c r="DQ1135" i="1"/>
  <c r="BC3" i="1"/>
  <c r="BC1136" i="1" s="1"/>
  <c r="CW1136" i="1" l="1"/>
  <c r="CV1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N289" authorId="0" shapeId="0" xr:uid="{F4163CD9-2E25-4DD5-A9A7-A4B243085034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627,994,000.00 
</t>
        </r>
      </text>
    </comment>
    <comment ref="N310" authorId="0" shapeId="0" xr:uid="{81414A07-50BB-4C60-B360-0EEEEFC3A985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3,078,000,000.00 
</t>
        </r>
      </text>
    </comment>
    <comment ref="CF315" authorId="0" shapeId="0" xr:uid="{82709D90-BAB7-4A55-B67C-00DD3BDBBC37}">
      <text>
        <r>
          <rPr>
            <b/>
            <sz val="9"/>
            <color indexed="81"/>
            <rFont val="Tahoma"/>
            <family val="2"/>
          </rPr>
          <t xml:space="preserve">Doris Patricia Herrera Reyes: Anular obl 2337418 Gratuidad FONDO DE SERVICIO EDUCATIVO COL ORIENTAL NO 26 de San José de Cúcuta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CF624" authorId="0" shapeId="0" xr:uid="{5312F190-643A-4B16-BFE2-F3F336A36738}">
      <text>
        <r>
          <rPr>
            <b/>
            <sz val="9"/>
            <color indexed="81"/>
            <rFont val="Tahoma"/>
            <family val="2"/>
          </rPr>
          <t xml:space="preserve">Doris Patricia Herrera Reyes: Anular obl 2596818INSTITUCION EDUCATIVA DISTRITAL LA LUZ de barranquilla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<sst xmlns="http://schemas.openxmlformats.org/spreadsheetml/2006/main" count="2389" uniqueCount="2293">
  <si>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</si>
  <si>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</si>
  <si>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</si>
  <si>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</si>
  <si>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</si>
  <si>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</si>
  <si>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</si>
  <si>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</si>
  <si>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</si>
  <si>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</si>
  <si>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</si>
  <si>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</si>
  <si>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</si>
  <si>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</si>
  <si>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</si>
  <si>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</si>
  <si>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</si>
  <si>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</si>
  <si>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</si>
  <si>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</si>
  <si>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</si>
  <si>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</si>
  <si>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</si>
  <si>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</si>
  <si>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</si>
  <si>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</si>
  <si>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</si>
  <si>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</si>
  <si>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</si>
  <si>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</si>
  <si>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</si>
  <si>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</si>
  <si>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</si>
  <si>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</si>
  <si>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</si>
  <si>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</si>
  <si>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</si>
  <si>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</si>
  <si>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</si>
  <si>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</si>
  <si>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</si>
  <si>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</si>
  <si>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</si>
  <si>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</si>
  <si>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</si>
  <si>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</si>
  <si>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</si>
  <si>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</si>
  <si>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</si>
  <si>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</si>
  <si>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</si>
  <si>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</si>
  <si>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</si>
  <si>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</si>
  <si>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</si>
  <si>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</si>
  <si>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</si>
  <si>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</si>
  <si>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</si>
  <si>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</si>
  <si>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</si>
  <si>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</si>
  <si>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</si>
  <si>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</si>
  <si>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</si>
  <si>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</si>
  <si>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</si>
  <si>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</si>
  <si>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</si>
  <si>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</si>
  <si>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</si>
  <si>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</si>
  <si>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</si>
  <si>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</si>
  <si>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</si>
  <si>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</si>
  <si>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</si>
  <si>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</si>
  <si>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</si>
  <si>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</si>
  <si>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</si>
  <si>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</si>
  <si>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</si>
  <si>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</si>
  <si>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</si>
  <si>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</si>
  <si>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</si>
  <si>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</si>
  <si>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</si>
  <si>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</si>
  <si>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</si>
  <si>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</si>
  <si>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</si>
  <si>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</si>
  <si>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</si>
  <si>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</si>
  <si>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</si>
  <si>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</si>
  <si>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</si>
  <si>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</si>
  <si>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</si>
  <si>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</si>
  <si>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</si>
  <si>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</si>
  <si>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</si>
  <si>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</si>
  <si>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</si>
  <si>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</si>
  <si>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</si>
  <si>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</si>
  <si>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</si>
  <si>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</si>
  <si>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</si>
  <si>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</si>
  <si>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</si>
  <si>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</si>
  <si>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</si>
  <si>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</si>
  <si>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</si>
  <si>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</si>
  <si>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</si>
  <si>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</si>
  <si>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</si>
  <si>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</si>
  <si>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</si>
  <si>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</si>
  <si>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</si>
  <si>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</si>
  <si>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</si>
  <si>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</si>
  <si>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</si>
  <si>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</si>
  <si>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</si>
  <si>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</si>
  <si>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</si>
  <si>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</si>
  <si>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</si>
  <si>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</si>
  <si>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</si>
  <si>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</si>
  <si>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</si>
  <si>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</si>
  <si>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</si>
  <si>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</si>
  <si>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</si>
  <si>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</si>
  <si>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</si>
  <si>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</si>
  <si>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</si>
  <si>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</si>
  <si>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</si>
  <si>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</si>
  <si>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</si>
  <si>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</si>
  <si>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</si>
  <si>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</si>
  <si>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</si>
  <si>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</si>
  <si>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</si>
  <si>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</si>
  <si>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</si>
  <si>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</si>
  <si>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</si>
  <si>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</si>
  <si>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</si>
  <si>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</si>
  <si>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</si>
  <si>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</si>
  <si>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</si>
  <si>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</si>
  <si>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</si>
  <si>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</si>
  <si>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</si>
  <si>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</si>
  <si>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</si>
  <si>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</si>
  <si>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</si>
  <si>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</si>
  <si>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</si>
  <si>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</si>
  <si>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</si>
  <si>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</si>
  <si>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</si>
  <si>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</si>
  <si>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</si>
  <si>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</si>
  <si>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</si>
  <si>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</si>
  <si>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</si>
  <si>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</si>
  <si>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</si>
  <si>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</si>
  <si>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</si>
  <si>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</si>
  <si>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</si>
  <si>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</si>
  <si>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</si>
  <si>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</si>
  <si>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</si>
  <si>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</si>
  <si>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</si>
  <si>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</si>
  <si>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</si>
  <si>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</si>
  <si>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</si>
  <si>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</si>
  <si>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</si>
  <si>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</si>
  <si>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</si>
  <si>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</si>
  <si>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</si>
  <si>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</si>
  <si>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</si>
  <si>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</si>
  <si>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</si>
  <si>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</si>
  <si>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</si>
  <si>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</si>
  <si>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</si>
  <si>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</si>
  <si>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</si>
  <si>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</si>
  <si>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</si>
  <si>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</si>
  <si>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</si>
  <si>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</si>
  <si>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</si>
  <si>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</si>
  <si>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</si>
  <si>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</si>
  <si>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</si>
  <si>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</si>
  <si>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</si>
  <si>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</si>
  <si>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</si>
  <si>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</si>
  <si>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</si>
  <si>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</si>
  <si>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</si>
  <si>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</si>
  <si>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</si>
  <si>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</si>
  <si>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</si>
  <si>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</si>
  <si>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</si>
  <si>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</si>
  <si>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</si>
  <si>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</si>
  <si>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</si>
  <si>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</si>
  <si>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</si>
  <si>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</si>
  <si>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</si>
  <si>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</si>
  <si>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</si>
  <si>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</si>
  <si>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</si>
  <si>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</si>
  <si>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</si>
  <si>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</si>
  <si>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</si>
  <si>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</si>
  <si>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</si>
  <si>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</si>
  <si>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</si>
  <si>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</si>
  <si>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</si>
  <si>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</si>
  <si>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</si>
  <si>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</si>
  <si>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</si>
  <si>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</si>
  <si>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</si>
  <si>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</si>
  <si>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</si>
  <si>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</si>
  <si>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</si>
  <si>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</si>
  <si>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</si>
  <si>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</si>
  <si>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</si>
  <si>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</si>
  <si>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</si>
  <si>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</si>
  <si>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</si>
  <si>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</si>
  <si>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</si>
  <si>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</si>
  <si>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</si>
  <si>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</si>
  <si>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</si>
  <si>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</si>
  <si>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</si>
  <si>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</si>
  <si>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</si>
  <si>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</si>
  <si>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</si>
  <si>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</si>
  <si>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</si>
  <si>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</si>
  <si>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</si>
  <si>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</si>
  <si>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</si>
  <si>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</si>
  <si>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</si>
  <si>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</si>
  <si>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</si>
  <si>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</si>
  <si>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</si>
  <si>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</si>
  <si>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</si>
  <si>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</si>
  <si>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</si>
  <si>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</si>
  <si>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</si>
  <si>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</si>
  <si>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</si>
  <si>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</si>
  <si>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</si>
  <si>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</si>
  <si>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</si>
  <si>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</si>
  <si>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</si>
  <si>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</si>
  <si>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</si>
  <si>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</si>
  <si>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</si>
  <si>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</si>
  <si>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</si>
  <si>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</si>
  <si>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</si>
  <si>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</si>
  <si>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</si>
  <si>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</si>
  <si>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</si>
  <si>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</si>
  <si>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</si>
  <si>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</si>
  <si>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</si>
  <si>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</si>
  <si>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</si>
  <si>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</si>
  <si>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</si>
  <si>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</si>
  <si>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</si>
  <si>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</si>
  <si>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</si>
  <si>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</si>
  <si>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</si>
  <si>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</si>
  <si>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</si>
  <si>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</si>
  <si>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</si>
  <si>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</si>
  <si>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</si>
  <si>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</si>
  <si>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</si>
  <si>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</si>
  <si>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</si>
  <si>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</si>
  <si>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</si>
  <si>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</si>
  <si>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</si>
  <si>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</si>
  <si>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</si>
  <si>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</si>
  <si>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</si>
  <si>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</si>
  <si>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</si>
  <si>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</si>
  <si>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</si>
  <si>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</si>
  <si>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</si>
  <si>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</si>
  <si>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</si>
  <si>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</si>
  <si>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</si>
  <si>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</si>
  <si>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</si>
  <si>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</si>
  <si>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</si>
  <si>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</si>
  <si>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</si>
  <si>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</si>
  <si>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</si>
  <si>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</si>
  <si>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</si>
  <si>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</si>
  <si>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</si>
  <si>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</si>
  <si>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</si>
  <si>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</si>
  <si>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</si>
  <si>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</si>
  <si>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</si>
  <si>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</si>
  <si>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</si>
  <si>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</si>
  <si>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</si>
  <si>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</si>
  <si>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</si>
  <si>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</si>
  <si>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</si>
  <si>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</si>
  <si>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</si>
  <si>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</si>
  <si>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</si>
  <si>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</si>
  <si>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</si>
  <si>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</si>
  <si>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</si>
  <si>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</si>
  <si>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</si>
  <si>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</si>
  <si>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</si>
  <si>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</si>
  <si>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</si>
  <si>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</si>
  <si>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</si>
  <si>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</si>
  <si>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</si>
  <si>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</si>
  <si>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</si>
  <si>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</si>
  <si>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</si>
  <si>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</si>
  <si>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</si>
  <si>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</si>
  <si>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</si>
  <si>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</si>
  <si>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</si>
  <si>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</si>
  <si>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</si>
  <si>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</si>
  <si>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</si>
  <si>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</si>
  <si>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</si>
  <si>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</si>
  <si>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</si>
  <si>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</si>
  <si>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</si>
  <si>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</si>
  <si>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</si>
  <si>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</si>
  <si>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</si>
  <si>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</si>
  <si>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</si>
  <si>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</si>
  <si>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</si>
  <si>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</si>
  <si>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</si>
  <si>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</si>
  <si>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</si>
  <si>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</si>
  <si>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</si>
  <si>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</si>
  <si>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</si>
  <si>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</si>
  <si>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</si>
  <si>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</si>
  <si>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</si>
  <si>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</si>
  <si>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</si>
  <si>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</si>
  <si>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</si>
  <si>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</si>
  <si>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</si>
  <si>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</si>
  <si>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</si>
  <si>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</si>
  <si>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</si>
  <si>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</si>
  <si>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</si>
  <si>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</si>
  <si>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</si>
  <si>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</si>
  <si>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</si>
  <si>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</si>
  <si>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</si>
  <si>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</si>
  <si>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</si>
  <si>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</si>
  <si>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</si>
  <si>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</si>
  <si>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</si>
  <si>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</si>
  <si>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</si>
  <si>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</si>
  <si>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</si>
  <si>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</si>
  <si>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</si>
  <si>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</si>
  <si>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</si>
  <si>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</si>
  <si>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</si>
  <si>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</si>
  <si>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</si>
  <si>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</si>
  <si>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</si>
  <si>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</si>
  <si>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</si>
  <si>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</si>
  <si>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</si>
  <si>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</si>
  <si>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</si>
  <si>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</si>
  <si>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</si>
  <si>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</si>
  <si>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</si>
  <si>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</si>
  <si>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</si>
  <si>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</si>
  <si>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</si>
  <si>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</si>
  <si>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</si>
  <si>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</si>
  <si>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</si>
  <si>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</si>
  <si>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</si>
  <si>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</si>
  <si>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</si>
  <si>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</si>
  <si>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</si>
  <si>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</si>
  <si>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</si>
  <si>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</si>
  <si>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</si>
  <si>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</si>
  <si>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</si>
  <si>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</si>
  <si>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</si>
  <si>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</si>
  <si>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</si>
  <si>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</si>
  <si>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</si>
  <si>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</si>
  <si>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</si>
  <si>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</si>
  <si>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</si>
  <si>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</si>
  <si>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</si>
  <si>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</si>
  <si>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</si>
  <si>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</si>
  <si>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</si>
  <si>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</si>
  <si>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</si>
  <si>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</si>
  <si>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</si>
  <si>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</si>
  <si>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</si>
  <si>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</si>
  <si>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</si>
  <si>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</si>
  <si>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</si>
  <si>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</si>
  <si>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</si>
  <si>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</si>
  <si>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</si>
  <si>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</si>
  <si>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</si>
  <si>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</si>
  <si>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</si>
  <si>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</si>
  <si>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</si>
  <si>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</si>
  <si>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</si>
  <si>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</si>
  <si>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</si>
  <si>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</si>
  <si>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</si>
  <si>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</si>
  <si>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</si>
  <si>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</si>
  <si>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</si>
  <si>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</si>
  <si>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</si>
  <si>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</si>
  <si>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</si>
  <si>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</si>
  <si>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</si>
  <si>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</si>
  <si>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</si>
  <si>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</si>
  <si>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</si>
  <si>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</si>
  <si>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</si>
  <si>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</si>
  <si>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</si>
  <si>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</si>
  <si>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</si>
  <si>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</si>
  <si>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</si>
  <si>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</si>
  <si>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</si>
  <si>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</si>
  <si>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</si>
  <si>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</si>
  <si>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</si>
  <si>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</si>
  <si>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</si>
  <si>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</si>
  <si>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</si>
  <si>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</si>
  <si>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</si>
  <si>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</si>
  <si>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</si>
  <si>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</si>
  <si>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</si>
  <si>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</si>
  <si>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</si>
  <si>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</si>
  <si>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</si>
  <si>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</si>
  <si>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</si>
  <si>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</si>
  <si>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</si>
  <si>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</si>
  <si>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</si>
  <si>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</si>
  <si>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</si>
  <si>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</si>
  <si>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</si>
  <si>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</si>
  <si>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</si>
  <si>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</si>
  <si>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</si>
  <si>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</si>
  <si>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</si>
  <si>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</si>
  <si>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</si>
  <si>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</si>
  <si>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</si>
  <si>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</si>
  <si>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</si>
  <si>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</si>
  <si>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</si>
  <si>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</si>
  <si>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</si>
  <si>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</si>
  <si>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</si>
  <si>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</si>
  <si>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</si>
  <si>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</si>
  <si>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</si>
  <si>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</si>
  <si>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</si>
  <si>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</si>
  <si>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</si>
  <si>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</si>
  <si>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</si>
  <si>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</si>
  <si>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</si>
  <si>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</si>
  <si>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</si>
  <si>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</si>
  <si>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</si>
  <si>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</si>
  <si>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</si>
  <si>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</si>
  <si>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</si>
  <si>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</si>
  <si>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</si>
  <si>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</si>
  <si>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</si>
  <si>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</si>
  <si>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</si>
  <si>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</si>
  <si>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</si>
  <si>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</si>
  <si>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</si>
  <si>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</si>
  <si>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</si>
  <si>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</si>
  <si>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</si>
  <si>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</si>
  <si>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</si>
  <si>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</si>
  <si>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</si>
  <si>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</si>
  <si>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</si>
  <si>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</si>
  <si>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</si>
  <si>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</si>
  <si>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</si>
  <si>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</si>
  <si>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</si>
  <si>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</si>
  <si>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</si>
  <si>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</si>
  <si>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</si>
  <si>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</si>
  <si>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</si>
  <si>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</si>
  <si>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</si>
  <si>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</si>
  <si>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</si>
  <si>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</si>
  <si>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</si>
  <si>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</si>
  <si>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</si>
  <si>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</si>
  <si>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</si>
  <si>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</si>
  <si>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</si>
  <si>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</si>
  <si>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</si>
  <si>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</si>
  <si>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</si>
  <si>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</si>
  <si>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</si>
  <si>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</si>
  <si>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</si>
  <si>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</si>
  <si>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</si>
  <si>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</si>
  <si>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</si>
  <si>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</si>
  <si>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</si>
  <si>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</si>
  <si>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</si>
  <si>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</si>
  <si>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</si>
  <si>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</si>
  <si>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</si>
  <si>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</si>
  <si>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</si>
  <si>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</si>
  <si>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</si>
  <si>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</si>
  <si>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</si>
  <si>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</si>
  <si>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</si>
  <si>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</si>
  <si>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</si>
  <si>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</si>
  <si>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</si>
  <si>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</si>
  <si>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</si>
  <si>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</si>
  <si>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</si>
  <si>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</si>
  <si>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</si>
  <si>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</si>
  <si>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</si>
  <si>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</si>
  <si>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</si>
  <si>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</si>
  <si>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</si>
  <si>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</si>
  <si>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</si>
  <si>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</si>
  <si>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</si>
  <si>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</si>
  <si>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</si>
  <si>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</si>
  <si>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</si>
  <si>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</si>
  <si>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</si>
  <si>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</si>
  <si>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</si>
  <si>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</si>
  <si>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</si>
  <si>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</si>
  <si>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</si>
  <si>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</si>
  <si>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</si>
  <si>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</si>
  <si>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</si>
  <si>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</si>
  <si>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</si>
  <si>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</si>
  <si>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</si>
  <si>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</si>
  <si>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</si>
  <si>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</si>
  <si>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</si>
  <si>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</si>
  <si>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</si>
  <si>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</si>
  <si>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</si>
  <si>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</si>
  <si>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</si>
  <si>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</si>
  <si>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</si>
  <si>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</si>
  <si>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</si>
  <si>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</si>
  <si>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</si>
  <si>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</si>
  <si>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</si>
  <si>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</si>
  <si>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</si>
  <si>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</si>
  <si>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</si>
  <si>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</si>
  <si>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</si>
  <si>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</si>
  <si>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</si>
  <si>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</si>
  <si>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</si>
  <si>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</si>
  <si>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</si>
  <si>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</si>
  <si>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</si>
  <si>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</si>
  <si>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</si>
  <si>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</si>
  <si>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</si>
  <si>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</si>
  <si>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</si>
  <si>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</si>
  <si>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</si>
  <si>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</si>
  <si>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</si>
  <si>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</si>
  <si>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</si>
  <si>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</si>
  <si>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</si>
  <si>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</si>
  <si>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</si>
  <si>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</si>
  <si>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</si>
  <si>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</si>
  <si>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</si>
  <si>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</si>
  <si>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</si>
  <si>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</si>
  <si>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</si>
  <si>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</si>
  <si>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</si>
  <si>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</si>
  <si>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</si>
  <si>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</si>
  <si>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</si>
  <si>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</si>
  <si>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</si>
  <si>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</si>
  <si>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</si>
  <si>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</si>
  <si>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</si>
  <si>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</si>
  <si>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</si>
  <si>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</si>
  <si>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</si>
  <si>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</si>
  <si>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</si>
  <si>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</si>
  <si>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</si>
  <si>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</si>
  <si>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</si>
  <si>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</si>
  <si>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</si>
  <si>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</si>
  <si>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</si>
  <si>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</si>
  <si>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</si>
  <si>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</si>
  <si>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</si>
  <si>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</si>
  <si>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</si>
  <si>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</si>
  <si>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</si>
  <si>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</si>
  <si>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</si>
  <si>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</si>
  <si>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</si>
  <si>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</si>
  <si>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</si>
  <si>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</si>
  <si>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</si>
  <si>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</si>
  <si>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</si>
  <si>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</si>
  <si>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</si>
  <si>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</si>
  <si>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</si>
  <si>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</si>
  <si>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</si>
  <si>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</si>
  <si>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</si>
  <si>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</si>
  <si>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</si>
  <si>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</si>
  <si>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</si>
  <si>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</si>
  <si>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</si>
  <si>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</si>
  <si>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</si>
  <si>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</si>
  <si>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</si>
  <si>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</si>
  <si>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</si>
  <si>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</si>
  <si>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</si>
  <si>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</si>
  <si>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</si>
  <si>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</si>
  <si>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</si>
  <si>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</si>
  <si>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</si>
  <si>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</si>
  <si>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</si>
  <si>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</si>
  <si>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</si>
  <si>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</si>
  <si>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</si>
  <si>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</si>
  <si>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</si>
  <si>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</si>
  <si>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</si>
  <si>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</si>
  <si>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</si>
  <si>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</si>
  <si>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</si>
  <si>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</si>
  <si>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</si>
  <si>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</si>
  <si>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</si>
  <si>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</si>
  <si>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</si>
  <si>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</si>
  <si>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</si>
  <si>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</si>
  <si>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</si>
  <si>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</si>
  <si>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</si>
  <si>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</si>
  <si>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</si>
  <si>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</si>
  <si>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</si>
  <si>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</si>
  <si>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</si>
  <si>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</si>
  <si>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</si>
  <si>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</si>
  <si>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</si>
  <si>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</si>
  <si>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</si>
  <si>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</si>
  <si>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</si>
  <si>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</si>
  <si>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</si>
  <si>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</si>
  <si>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</si>
  <si>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</si>
  <si>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</si>
  <si>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</si>
  <si>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</si>
  <si>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</si>
  <si>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</si>
  <si>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</si>
  <si>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</si>
  <si>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</si>
  <si>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</si>
  <si>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</si>
  <si>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</si>
  <si>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</si>
  <si>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</si>
  <si>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</si>
  <si>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</si>
  <si>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</si>
  <si>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</si>
  <si>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</si>
  <si>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</si>
  <si>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</si>
  <si>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</si>
  <si>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</si>
  <si>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</si>
  <si>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</si>
  <si>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</si>
  <si>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</si>
  <si>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</si>
  <si>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</si>
  <si>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</si>
  <si>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</si>
  <si>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</si>
  <si>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</si>
  <si>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</si>
  <si>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</si>
  <si>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</si>
  <si>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</si>
  <si>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</si>
  <si>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</si>
  <si>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</si>
  <si>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</si>
  <si>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</si>
  <si>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</si>
  <si>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</si>
  <si>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</si>
  <si>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</si>
  <si>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</si>
  <si>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</si>
  <si>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</si>
  <si>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</si>
  <si>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</si>
  <si>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</si>
  <si>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</si>
  <si>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</si>
  <si>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</si>
  <si>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</si>
  <si>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</si>
  <si>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</si>
  <si>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</si>
  <si>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</si>
  <si>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</si>
  <si>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</si>
  <si>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</si>
  <si>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</si>
  <si>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</si>
  <si>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</si>
  <si>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</si>
  <si>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</si>
  <si>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</si>
  <si>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</si>
  <si>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</si>
  <si>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</si>
  <si>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</si>
  <si>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</si>
  <si>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</si>
  <si>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</si>
  <si>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</si>
  <si>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</si>
  <si>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</si>
  <si>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</si>
  <si>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</si>
  <si>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</si>
  <si>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</si>
  <si>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</si>
  <si>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</si>
  <si>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</si>
  <si>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</si>
  <si>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</si>
  <si>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</si>
  <si>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</si>
  <si>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</si>
  <si>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</si>
  <si>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</si>
  <si>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</si>
  <si>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</si>
  <si>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</si>
  <si>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</si>
  <si>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</si>
  <si>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</si>
  <si>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</si>
  <si>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</si>
  <si>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</si>
  <si>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</si>
  <si>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</si>
  <si>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</si>
  <si>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</si>
  <si>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</si>
  <si>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</si>
  <si>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</si>
  <si>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</si>
  <si>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</si>
  <si>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</si>
  <si>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</si>
  <si>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</si>
  <si>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</si>
  <si>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</si>
  <si>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</si>
  <si>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</si>
  <si>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</si>
  <si>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</si>
  <si>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</si>
  <si>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</si>
  <si>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</si>
  <si>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</si>
  <si>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</si>
  <si>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</si>
  <si>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</si>
  <si>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</si>
  <si>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</si>
  <si>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</si>
  <si>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</si>
  <si>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</si>
  <si>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</si>
  <si>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</si>
  <si>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</si>
  <si>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</si>
  <si>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</si>
  <si>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</si>
  <si>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</si>
  <si>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</si>
  <si>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</si>
  <si>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</si>
  <si>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</si>
  <si>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</si>
  <si>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</si>
  <si>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</si>
  <si>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</si>
  <si>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</si>
  <si>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</si>
  <si>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</si>
  <si>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</si>
  <si>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</si>
  <si>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</si>
  <si>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</si>
  <si>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</si>
  <si>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</si>
  <si>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</si>
  <si>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</si>
  <si>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</si>
  <si>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</si>
  <si>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</si>
  <si>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</si>
  <si>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</si>
  <si>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</si>
  <si>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</si>
  <si>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</si>
  <si>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</si>
  <si>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</si>
  <si>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</si>
  <si>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</si>
  <si>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</si>
  <si>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</si>
  <si>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</si>
  <si>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</si>
  <si>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</si>
  <si>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</si>
  <si>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</si>
  <si>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</si>
  <si>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</si>
  <si>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</si>
  <si>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</si>
  <si>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</si>
  <si>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</si>
  <si>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</si>
  <si>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</si>
  <si>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</si>
  <si>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</si>
  <si>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</si>
  <si>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</si>
  <si>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</si>
  <si>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</si>
  <si>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</si>
  <si>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</si>
  <si>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</si>
  <si>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</si>
  <si>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</si>
  <si>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</si>
  <si>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</si>
  <si>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</si>
  <si>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</si>
  <si>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</si>
  <si>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</si>
  <si>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</si>
  <si>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</si>
  <si>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</si>
  <si>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</si>
  <si>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</si>
  <si>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</si>
  <si>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</si>
  <si>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</si>
  <si>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</si>
  <si>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</si>
  <si>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</si>
  <si>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</si>
  <si>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</si>
  <si>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</si>
  <si>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</si>
  <si>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</si>
  <si>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</si>
  <si>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</si>
  <si>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</si>
  <si>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</si>
  <si>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</si>
  <si>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</si>
  <si>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</si>
  <si>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</si>
  <si>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</si>
  <si>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</si>
  <si>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</si>
  <si>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</si>
  <si>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</si>
  <si>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</si>
  <si>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</si>
  <si>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</si>
  <si>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</si>
  <si>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</si>
  <si>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</si>
  <si>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</si>
  <si>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</si>
  <si>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</si>
  <si>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</si>
  <si>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</si>
  <si>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</si>
  <si>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</si>
  <si>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</si>
  <si>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</si>
  <si>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</si>
  <si>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</si>
  <si>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</si>
  <si>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</si>
  <si>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</si>
  <si>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</si>
  <si>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</si>
  <si>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</si>
  <si>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</si>
  <si>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</si>
  <si>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</si>
  <si>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</si>
  <si>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</si>
  <si>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</si>
  <si>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</si>
  <si>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</si>
  <si>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</si>
  <si>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</si>
  <si>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</si>
  <si>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</si>
  <si>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</si>
  <si>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</si>
  <si>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</si>
  <si>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</si>
  <si>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</si>
  <si>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</si>
  <si>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</si>
  <si>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</si>
  <si>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</si>
  <si>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</si>
  <si>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</si>
  <si>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</si>
  <si>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</si>
  <si>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</si>
  <si>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</si>
  <si>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</si>
  <si>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</si>
  <si>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</si>
  <si>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</si>
  <si>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</si>
  <si>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</si>
  <si>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</si>
  <si>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</si>
  <si>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</si>
  <si>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</si>
  <si>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</si>
  <si>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</si>
  <si>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</si>
  <si>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</si>
  <si>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</si>
  <si>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</si>
  <si>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</si>
  <si>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</si>
  <si>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</si>
  <si>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</si>
  <si>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</si>
  <si>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</si>
  <si>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</si>
  <si>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</si>
  <si>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</si>
  <si>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</si>
  <si>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</si>
  <si>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</si>
  <si>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</si>
  <si>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</si>
  <si>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</si>
  <si>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</si>
  <si>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</si>
  <si>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</si>
  <si>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</si>
  <si>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</si>
  <si>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</si>
  <si>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</si>
  <si>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</si>
  <si>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</si>
  <si>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</si>
  <si>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</si>
  <si>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</si>
  <si>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</si>
  <si>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</si>
  <si>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</si>
  <si>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</si>
  <si>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</si>
  <si>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</si>
  <si>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</si>
  <si>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</si>
  <si>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</si>
  <si>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</si>
  <si>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</si>
  <si>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</si>
  <si>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</si>
  <si>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</si>
  <si>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</si>
  <si>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</si>
  <si>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</si>
  <si>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</si>
  <si>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</si>
  <si>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</si>
  <si>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</si>
  <si>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</si>
  <si>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</si>
  <si>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</si>
  <si>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</si>
  <si>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</si>
  <si>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</si>
  <si>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</si>
  <si>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</si>
  <si>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</si>
  <si>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</si>
  <si>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</si>
  <si>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</si>
  <si>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</si>
  <si>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</si>
  <si>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</si>
  <si>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</si>
  <si>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</si>
  <si>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</si>
  <si>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</si>
  <si>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</si>
  <si>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</si>
  <si>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</si>
  <si>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</si>
  <si>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</si>
  <si>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</si>
  <si>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</si>
  <si>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</si>
  <si>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</si>
  <si>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</si>
  <si>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</si>
  <si>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</si>
  <si>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</si>
  <si>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</si>
  <si>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</si>
  <si>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</si>
  <si>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</si>
  <si>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</si>
  <si>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</si>
  <si>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</si>
  <si>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</si>
  <si>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</si>
  <si>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</si>
  <si>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</si>
  <si>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</si>
  <si>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</si>
  <si>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</si>
  <si>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</si>
  <si>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</si>
  <si>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</si>
  <si>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</si>
  <si>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</si>
  <si>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</si>
  <si>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</si>
  <si>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</si>
  <si>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</si>
  <si>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</si>
  <si>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</si>
  <si>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</si>
  <si>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</si>
  <si>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</si>
  <si>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</si>
  <si>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</si>
  <si>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</si>
  <si>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</si>
  <si>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</si>
  <si>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</si>
  <si>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</si>
  <si>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</si>
  <si>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</si>
  <si>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</si>
  <si>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</si>
  <si>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</si>
  <si>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</si>
  <si>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</si>
  <si>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</si>
  <si>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</si>
  <si>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</si>
  <si>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</si>
  <si>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</si>
  <si>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</si>
  <si>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</si>
  <si>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</si>
  <si>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</si>
  <si>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</si>
  <si>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</si>
  <si>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</si>
  <si>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</si>
  <si>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</si>
  <si>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</si>
  <si>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</si>
  <si>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</si>
  <si>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</si>
  <si>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</si>
  <si>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</si>
  <si>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</si>
  <si>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</si>
  <si>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</si>
  <si>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</si>
  <si>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</si>
  <si>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</si>
  <si>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</si>
  <si>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</si>
  <si>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</si>
  <si>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</si>
  <si>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</si>
  <si>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</si>
  <si>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</si>
  <si>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</si>
  <si>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</si>
  <si>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</si>
  <si>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</si>
  <si>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</si>
  <si>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</si>
  <si>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</si>
  <si>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</si>
  <si>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</si>
  <si>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</si>
  <si>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</si>
  <si>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</si>
  <si>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</si>
  <si>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</si>
  <si>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</si>
  <si>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</si>
  <si>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</si>
  <si>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</si>
  <si>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</si>
  <si>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</si>
  <si>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</si>
  <si>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</si>
  <si>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</si>
  <si>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</si>
  <si>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</si>
  <si>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</si>
  <si>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</si>
  <si>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</si>
  <si>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</si>
  <si>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</si>
  <si>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</si>
  <si>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</si>
  <si>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</si>
  <si>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</si>
  <si>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</si>
  <si>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</si>
  <si>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</si>
  <si>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</si>
  <si>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</si>
  <si>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</si>
  <si>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</si>
  <si>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</si>
  <si>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</si>
  <si>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</si>
  <si>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</si>
  <si>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</si>
  <si>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</si>
  <si>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</si>
  <si>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</si>
  <si>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</si>
  <si>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</si>
  <si>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</si>
  <si>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</si>
  <si>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</si>
  <si>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</si>
  <si>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</si>
  <si>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</si>
  <si>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</si>
  <si>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</si>
  <si>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</si>
  <si>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</si>
  <si>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</si>
  <si>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</si>
  <si>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</si>
  <si>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</si>
  <si>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</si>
  <si>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</si>
  <si>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</si>
  <si>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</si>
  <si>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</si>
  <si>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</si>
  <si>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</si>
  <si>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</si>
  <si>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</si>
  <si>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</si>
  <si>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</si>
  <si>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</si>
  <si>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</si>
  <si>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</si>
  <si>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</si>
  <si>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</si>
  <si>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</si>
  <si>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</si>
  <si>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</si>
  <si>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</si>
  <si>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</si>
  <si>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</si>
  <si>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</si>
  <si>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</si>
  <si>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</si>
  <si>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</si>
  <si>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</si>
  <si>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</si>
  <si>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</si>
  <si>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</si>
  <si>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</si>
  <si>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</si>
  <si>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</si>
  <si>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</si>
  <si>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</si>
  <si>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</si>
  <si>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</si>
  <si>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</si>
  <si>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</si>
  <si>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</si>
  <si>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</si>
  <si>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</si>
  <si>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</si>
  <si>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</si>
  <si>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</si>
  <si>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</si>
  <si>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</si>
  <si>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</si>
  <si>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</si>
  <si>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</si>
  <si>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</si>
  <si>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</si>
  <si>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</si>
  <si>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</si>
  <si>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</si>
  <si>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</si>
  <si>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</si>
  <si>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</si>
  <si>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</si>
  <si>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</si>
  <si>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</si>
  <si>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</si>
  <si>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</si>
  <si>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</si>
  <si>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</si>
  <si>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</si>
  <si>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</si>
  <si>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</si>
  <si>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</si>
  <si>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</si>
  <si>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</si>
  <si>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</si>
  <si>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</si>
  <si>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</si>
  <si>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</si>
  <si>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</si>
  <si>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</si>
  <si>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</si>
  <si>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</si>
  <si>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</si>
  <si>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</si>
  <si>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</si>
  <si>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</si>
  <si>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</si>
  <si>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</si>
  <si>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</si>
  <si>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</si>
  <si>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</si>
  <si>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</si>
  <si>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</si>
  <si>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</si>
  <si>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</si>
  <si>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</si>
  <si>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</si>
  <si>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</si>
  <si>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</si>
  <si>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</si>
  <si>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</si>
  <si>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</si>
  <si>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</si>
  <si>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</si>
  <si>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</si>
  <si>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</si>
  <si>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</si>
  <si>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</si>
  <si>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</si>
  <si>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</si>
  <si>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</si>
  <si>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</si>
  <si>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</si>
  <si>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</si>
  <si>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</si>
  <si>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</si>
  <si>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</si>
  <si>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</si>
  <si>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</si>
  <si>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</si>
  <si>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</si>
  <si>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</si>
  <si>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</si>
  <si>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</si>
  <si>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</si>
  <si>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</si>
  <si>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</si>
  <si>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</si>
  <si>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</si>
  <si>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</si>
  <si>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</si>
  <si>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</si>
  <si>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</si>
  <si>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</si>
  <si>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</si>
  <si>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</si>
  <si>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</si>
  <si>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</si>
  <si>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</si>
  <si>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</si>
  <si>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</si>
  <si>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</si>
  <si>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</si>
  <si>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</si>
  <si>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</si>
  <si>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</si>
  <si>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</si>
  <si>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</si>
  <si>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</si>
  <si>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</si>
  <si>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</si>
  <si>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</si>
  <si>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</si>
  <si>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</si>
  <si>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</si>
  <si>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</si>
  <si>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</si>
  <si>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</si>
  <si>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</si>
  <si>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</si>
  <si>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</si>
  <si>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</si>
  <si>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</si>
  <si>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</si>
  <si>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</si>
  <si>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</si>
  <si>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</si>
  <si>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</si>
  <si>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</si>
  <si>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</si>
  <si>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</si>
  <si>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</si>
  <si>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</si>
  <si>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</si>
  <si>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</si>
  <si>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</si>
  <si>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</si>
  <si>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</si>
  <si>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</si>
  <si>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</si>
  <si>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</si>
  <si>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</si>
  <si>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</si>
  <si>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</si>
  <si>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</si>
  <si>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</si>
  <si>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</si>
  <si>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</si>
  <si>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</si>
  <si>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</si>
  <si>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</si>
  <si>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</si>
  <si>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</si>
  <si>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</si>
  <si>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</si>
  <si>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</si>
  <si>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</si>
  <si>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</si>
  <si>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</si>
  <si>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</si>
  <si>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</si>
  <si>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</si>
  <si>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</si>
  <si>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</si>
  <si>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</si>
  <si>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</si>
  <si>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</si>
  <si>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</si>
  <si>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</si>
  <si>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</si>
  <si>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</si>
  <si>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</si>
  <si>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</si>
  <si>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</si>
  <si>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</si>
  <si>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</si>
  <si>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</si>
  <si>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</si>
  <si>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</si>
  <si>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</si>
  <si>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</si>
  <si>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</si>
  <si>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</si>
  <si>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</si>
  <si>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</si>
  <si>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</si>
  <si>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</si>
  <si>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</si>
  <si>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</si>
  <si>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</si>
  <si>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</si>
  <si>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</si>
  <si>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</si>
  <si>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</si>
  <si>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</si>
  <si>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</si>
  <si>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</si>
  <si>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</si>
  <si>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</si>
  <si>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</si>
  <si>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</si>
  <si>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</si>
  <si>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</si>
  <si>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</si>
  <si>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</si>
  <si>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</si>
  <si>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</si>
  <si>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</si>
  <si>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</si>
  <si>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</si>
  <si>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</si>
  <si>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</si>
  <si>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</si>
  <si>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</si>
  <si>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</si>
  <si>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</si>
  <si>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</si>
  <si>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</si>
  <si>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</si>
  <si>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</si>
  <si>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</si>
  <si>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</si>
  <si>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</si>
  <si>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</si>
  <si>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</si>
  <si>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</si>
  <si>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</si>
  <si>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</si>
  <si>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</si>
  <si>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</si>
  <si>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</si>
  <si>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</si>
  <si>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</si>
  <si>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</si>
  <si>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</si>
  <si>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</si>
  <si>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</si>
  <si>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</si>
  <si>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</si>
  <si>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</si>
  <si>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</si>
  <si>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</si>
  <si>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</si>
  <si>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</si>
  <si>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</si>
  <si>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</si>
  <si>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</si>
  <si>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</si>
  <si>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</si>
  <si>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</si>
  <si>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</si>
  <si>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</si>
  <si>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</si>
  <si>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</si>
  <si>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</si>
  <si>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</si>
  <si>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</si>
  <si>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</si>
  <si>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</si>
  <si>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</si>
  <si>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</si>
  <si>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</si>
  <si>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</si>
  <si>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</si>
  <si>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</si>
  <si>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</si>
  <si>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</si>
  <si>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</si>
  <si>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</si>
  <si>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</si>
  <si>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</si>
  <si>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</si>
  <si>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</si>
  <si>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</si>
  <si>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</si>
  <si>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</si>
  <si>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</si>
  <si>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</si>
  <si>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</si>
  <si>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</si>
  <si>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</si>
  <si>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</si>
  <si>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</si>
  <si>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</si>
  <si>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</si>
  <si>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</si>
  <si>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</si>
  <si>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</si>
  <si>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</si>
  <si>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</si>
  <si>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</si>
  <si>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</si>
  <si>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</si>
  <si>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</si>
  <si>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</si>
  <si>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</si>
  <si>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</si>
  <si>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</si>
  <si>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</si>
  <si>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</si>
  <si>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</si>
  <si>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</si>
  <si>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</si>
  <si>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</si>
  <si>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</si>
  <si>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</si>
  <si>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</si>
  <si>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</si>
  <si>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</si>
  <si>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</si>
  <si>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</si>
  <si>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</si>
  <si>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</si>
  <si>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</si>
  <si>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</si>
  <si>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</si>
  <si>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</si>
  <si>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</si>
  <si>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</si>
  <si>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</si>
  <si>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</si>
  <si>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</si>
  <si>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</si>
  <si>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</si>
  <si>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</si>
  <si>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</si>
  <si>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</si>
  <si>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</si>
  <si>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</si>
  <si>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</si>
  <si>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</si>
  <si>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</si>
  <si>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</si>
  <si>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</si>
  <si>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</si>
  <si>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</si>
  <si>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</si>
  <si>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</si>
  <si>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</si>
  <si>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</si>
  <si>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</si>
  <si>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</si>
  <si>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</si>
  <si>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</si>
  <si>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</si>
  <si>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</si>
  <si>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</si>
  <si>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</si>
  <si>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</si>
  <si>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</si>
  <si>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</si>
  <si>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</si>
  <si>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</si>
  <si>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</si>
  <si>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</si>
  <si>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</si>
  <si>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</si>
  <si>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</si>
  <si>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</si>
  <si>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</si>
  <si>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</si>
  <si>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</si>
  <si>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</si>
  <si>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</si>
  <si>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</si>
  <si>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</si>
  <si>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</si>
  <si>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</si>
  <si>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</si>
  <si>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</si>
  <si>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</si>
  <si>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</si>
  <si>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</si>
  <si>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</si>
  <si>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</si>
  <si>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</si>
  <si>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</si>
  <si>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</si>
  <si>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</si>
  <si>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</si>
  <si>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</si>
  <si>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</si>
  <si>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</si>
  <si>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</si>
  <si>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</si>
  <si>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</si>
  <si>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</si>
  <si>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</si>
  <si>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</si>
  <si>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</si>
  <si>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</si>
  <si>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</si>
  <si>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</si>
  <si>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</si>
  <si>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</si>
  <si>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</si>
  <si>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</si>
  <si>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</si>
  <si>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</si>
  <si>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</si>
  <si>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</si>
  <si>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</si>
  <si>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</si>
  <si>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</si>
  <si>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</si>
  <si>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</si>
  <si>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</si>
  <si>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</si>
  <si>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</si>
  <si>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</si>
  <si>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</si>
  <si>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</si>
  <si>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</si>
  <si>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</si>
  <si>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</si>
  <si>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</si>
  <si>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</si>
  <si>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</si>
  <si>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</si>
  <si>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</si>
  <si>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</si>
  <si>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</si>
  <si>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</si>
  <si>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</si>
  <si>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</si>
  <si>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</si>
  <si>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</si>
  <si>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</si>
  <si>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</si>
  <si>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</si>
  <si>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</si>
  <si>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</si>
  <si>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</si>
  <si>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</si>
  <si>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</si>
  <si>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</si>
  <si>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</si>
  <si>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</si>
  <si>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</si>
  <si>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</si>
  <si>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</si>
  <si>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</si>
  <si>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</si>
  <si>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</si>
  <si>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</si>
  <si>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</si>
  <si>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</si>
  <si>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</si>
  <si>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</si>
  <si>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</si>
  <si>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</si>
  <si>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</si>
  <si>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</si>
  <si>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</si>
  <si>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</si>
  <si>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</si>
  <si>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</si>
  <si>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</si>
  <si>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</si>
  <si>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</si>
  <si>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</si>
  <si>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</si>
  <si>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</si>
  <si>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</si>
  <si>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</si>
  <si>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</si>
  <si>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</si>
  <si>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</si>
  <si>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</si>
  <si>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</si>
  <si>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</si>
  <si>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</si>
  <si>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</si>
  <si>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</si>
  <si>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</si>
  <si>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</si>
  <si>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</si>
  <si>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</si>
  <si>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</si>
  <si>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</si>
  <si>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</si>
  <si>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</si>
  <si>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</si>
  <si>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</si>
  <si>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</si>
  <si>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</si>
  <si>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</si>
  <si>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</si>
  <si>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</si>
  <si>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</si>
  <si>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</si>
  <si>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</si>
  <si>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</si>
  <si>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</si>
  <si>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</si>
  <si>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</si>
  <si>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</si>
  <si>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</si>
  <si>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</si>
  <si>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</si>
  <si>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</si>
  <si>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</si>
  <si>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</si>
  <si>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</si>
  <si>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</si>
  <si>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</si>
  <si>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</si>
  <si>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</si>
  <si>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</si>
  <si>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</si>
  <si>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</si>
  <si>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</si>
  <si>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</si>
  <si>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</si>
  <si>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</si>
  <si>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</si>
  <si>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</si>
  <si>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</si>
  <si>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</si>
  <si>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</si>
  <si>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</si>
  <si>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</si>
  <si>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</si>
  <si>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</si>
  <si>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</si>
  <si>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</si>
  <si>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</si>
  <si>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</si>
  <si>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</si>
  <si>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</si>
  <si>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</si>
  <si>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</si>
  <si>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</si>
  <si>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</si>
  <si>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</si>
  <si>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</si>
  <si>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</si>
  <si>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</si>
  <si>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</si>
  <si>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</si>
  <si>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</si>
  <si>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</si>
  <si>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</si>
  <si>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</si>
  <si>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</si>
  <si>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</si>
  <si>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</si>
  <si>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</si>
  <si>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</si>
  <si>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</si>
  <si>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</si>
  <si>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</si>
  <si>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</si>
  <si>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</si>
  <si>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</si>
  <si>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</si>
  <si>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</si>
  <si>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</si>
  <si>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</si>
  <si>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</si>
  <si>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</si>
  <si>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</si>
  <si>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</si>
  <si>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</si>
  <si>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</si>
  <si>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</si>
  <si>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</si>
  <si>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</si>
  <si>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</si>
  <si>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</si>
  <si>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</si>
  <si>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</si>
  <si>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</si>
  <si>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</si>
  <si>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</si>
  <si>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</si>
  <si>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</si>
  <si>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</si>
  <si>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</si>
  <si>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</si>
  <si>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</si>
  <si>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</si>
  <si>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</si>
  <si>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</si>
  <si>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</si>
  <si>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</si>
  <si>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</si>
  <si>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</si>
  <si>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</si>
  <si>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</si>
  <si>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</si>
  <si>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</si>
  <si>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</si>
  <si>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</si>
  <si>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</si>
  <si>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</si>
  <si>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</si>
  <si>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</si>
  <si>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</si>
  <si>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</si>
  <si>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</si>
  <si>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</si>
  <si>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</si>
  <si>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</si>
  <si>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</si>
  <si>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</si>
  <si>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</si>
  <si>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</si>
  <si>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</si>
  <si>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</si>
  <si>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</si>
  <si>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</si>
  <si>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</si>
  <si>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</si>
  <si>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</si>
  <si>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</si>
  <si>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</si>
  <si>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</si>
  <si>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</si>
  <si>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</si>
  <si>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</si>
  <si>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</si>
  <si>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</si>
  <si>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</si>
  <si>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</si>
  <si>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</si>
  <si>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</si>
  <si>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</si>
  <si>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</si>
  <si>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</si>
  <si>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</si>
  <si>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</si>
  <si>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</si>
  <si>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</si>
  <si>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</si>
  <si>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</si>
  <si>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</si>
  <si>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</si>
  <si>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</si>
  <si>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</si>
  <si>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</si>
  <si>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</si>
  <si>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</si>
  <si>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</si>
  <si>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</si>
  <si>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</si>
  <si>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</si>
  <si>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</si>
  <si>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</si>
  <si>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</si>
  <si>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</si>
  <si>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</si>
  <si>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</si>
  <si>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</si>
  <si>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</si>
  <si>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</si>
  <si>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</si>
  <si>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</si>
  <si>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</si>
  <si>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</si>
  <si>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</si>
  <si>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</si>
  <si>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</si>
  <si>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</si>
  <si>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</si>
  <si>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</si>
  <si>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</si>
  <si>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</si>
  <si>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</si>
  <si>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</si>
  <si>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</si>
  <si>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</si>
  <si>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</si>
  <si>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</si>
  <si>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</si>
  <si>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</si>
  <si>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</si>
  <si>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</si>
  <si>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</si>
  <si>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</si>
  <si>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</si>
  <si>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</si>
  <si>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</si>
  <si>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</si>
  <si>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</si>
  <si>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</si>
  <si>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</si>
  <si>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</si>
  <si>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</si>
  <si>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</si>
  <si>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</si>
  <si>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</si>
  <si>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</si>
  <si>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</si>
  <si>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</si>
  <si>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</si>
  <si>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</si>
  <si>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</si>
  <si>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</si>
  <si>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</si>
  <si>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</si>
  <si>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</si>
  <si>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</si>
  <si>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</si>
  <si>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</si>
  <si>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</si>
  <si>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</si>
  <si>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</si>
  <si>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</si>
  <si>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</si>
  <si>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</si>
  <si>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</si>
  <si>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</si>
  <si>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</si>
  <si>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</si>
  <si>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</si>
  <si>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</si>
  <si>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</si>
  <si>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</si>
  <si>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</si>
  <si>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</si>
  <si>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</si>
  <si>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</si>
  <si>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</si>
  <si>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</si>
  <si>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</si>
  <si>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</si>
  <si>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</si>
  <si>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</si>
  <si>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</si>
  <si>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</si>
  <si>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</si>
  <si>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</si>
  <si>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</si>
  <si>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</si>
  <si>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</si>
  <si>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</si>
  <si>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</si>
  <si>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</si>
  <si>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</si>
  <si>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</si>
  <si>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</si>
  <si>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</si>
  <si>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</si>
  <si>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</si>
  <si>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</si>
  <si>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</si>
  <si>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</si>
  <si>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</si>
  <si>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</si>
  <si>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saldo debes ser igual ala columna DU, total 540818</t>
  </si>
  <si>
    <t>secretariadehacienda@sabanalarga-casanare.gov.co</t>
  </si>
  <si>
    <t>ivonne.salas@barrancabermeja.gov.co</t>
  </si>
  <si>
    <t xml:space="preserve"> </t>
  </si>
  <si>
    <t>contabilidad@cauca.gov.co</t>
  </si>
  <si>
    <t>CAUSACIONES CON NIT ENTES TERRITORIALES ENERO DEL 2018</t>
  </si>
  <si>
    <t>CAUSACIONES CON NIT DE FIDUCIAS ENERO DEL 2018</t>
  </si>
  <si>
    <t>CAUSACIONES CON NIT ENTES TERRITORIALES FEBRERO DEL 2018</t>
  </si>
  <si>
    <t>CAUSACIONES CON NIT DE FIDUCIAS FEBRERO DEL 2018</t>
  </si>
  <si>
    <t>libia.joven@cali.gov.co</t>
  </si>
  <si>
    <t>CAUSACIONES CON NIT ENTES TERRITORIALES MARZO DEL 2018</t>
  </si>
  <si>
    <t>CAUSACIONES CON NIT DE FIDUCIAS MARZO DEL 2018</t>
  </si>
  <si>
    <t>Alexander.cardona@itagui.gov.co.</t>
  </si>
  <si>
    <t>hacienda@lavega-cauca.gov.co</t>
  </si>
  <si>
    <t>CAUSACIONES CON NIT ENTES TERRITORIALES ABRIL DEL 2018</t>
  </si>
  <si>
    <t>Prestación de Servicios Nómina</t>
  </si>
  <si>
    <t>Prestación de Servicos Otros Gastos</t>
  </si>
  <si>
    <t>CAUSACION CON NIT DE FICUCIAS ABRIL DEL 2018</t>
  </si>
  <si>
    <t>CAUSACIONES CON NIT ENTES TERRITORIALES MAYO DEL 2018</t>
  </si>
  <si>
    <t>CAUSACION CON NIT DE FICUCIAS MAYO DEL 2018</t>
  </si>
  <si>
    <t>Calidad MpioNoCert</t>
  </si>
  <si>
    <t>Anticipo Junio Prestación de Servicos Otos Gastos</t>
  </si>
  <si>
    <t>Mayo</t>
  </si>
  <si>
    <t>Causadas en Abnil y AnuladaS en Mayo</t>
  </si>
  <si>
    <t>CAUSACIONES CON NIT ENTES TERRITORIALES JUNIO DEL 2018</t>
  </si>
  <si>
    <t>CAUSACION CON NIT DE FICUCIAS JUNIO DEL 2018</t>
  </si>
  <si>
    <t>GRATUIDAD JUNIO</t>
  </si>
  <si>
    <t>alcaldia@tado-choco.gov.co; yelemore@gmail.com</t>
  </si>
  <si>
    <t>reciprocashacienda@cundinamarca.gov.co</t>
  </si>
  <si>
    <t>hacienda@capitanejo-santander.gov.co</t>
  </si>
  <si>
    <t>CAUSACIONES CON NIT ENTES TERRITORIALES JULIO DEL 2018</t>
  </si>
  <si>
    <t>CAUSACION CON NIT DE FICUCIAS JULIO DEL 2018</t>
  </si>
  <si>
    <t>JULIO</t>
  </si>
  <si>
    <t>Causadas en Junio y Anuladas en Julio</t>
  </si>
  <si>
    <t>Total 540818 (valor recíproco) Junio</t>
  </si>
  <si>
    <t xml:space="preserve">Anticipo Julio Prestación de Servicos </t>
  </si>
  <si>
    <t>Anticipo Julio Otos Gastos</t>
  </si>
  <si>
    <t>Anticipo Julio Caliad MpioNoCert</t>
  </si>
  <si>
    <t>Total 540818 (valor recíproco) Julio</t>
  </si>
  <si>
    <t>CAUSACIONES CON NIT ENTES TERRITORIALES AGOSTO DEL 2018</t>
  </si>
  <si>
    <t>AGOSTO</t>
  </si>
  <si>
    <t>CAUSACION CON NIT DE FICUCIAS AGOSTO DEL 2018</t>
  </si>
  <si>
    <t>Total 540818 (valor recíproco) Agosto</t>
  </si>
  <si>
    <t>Total 540818 (valor recíproco)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</si>
</sst>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97">
    <xf numFmtId="0" fontId="0" fillId="0" borderId="0" xfId="0"/>
    <xf numFmtId="1" fontId="0" fillId="0" borderId="1" xfId="1" applyNumberFormat="1" applyFont="1" applyFill="1" applyBorder="1" applyAlignment="1"/>
    <xf numFmtId="0" fontId="0" fillId="0" borderId="0" xfId="0" applyFont="1" applyFill="1" applyAlignment="1" applyProtection="1">
      <alignment horizontal="center" vertical="center"/>
      <protection locked="0"/>
    </xf>
    <xf numFmtId="165" fontId="0" fillId="0" borderId="0" xfId="1" applyNumberFormat="1" applyFont="1" applyFill="1" applyAlignment="1"/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165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4" fontId="0" fillId="0" borderId="0" xfId="1" applyFont="1" applyFill="1" applyAlignment="1"/>
    <xf numFmtId="4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4" fontId="0" fillId="0" borderId="0" xfId="1" applyNumberFormat="1" applyFont="1" applyFill="1" applyAlignment="1"/>
    <xf numFmtId="37" fontId="9" fillId="7" borderId="1" xfId="1" applyNumberFormat="1" applyFont="1" applyFill="1" applyBorder="1" applyAlignment="1"/>
    <xf numFmtId="4" fontId="0" fillId="0" borderId="1" xfId="1" applyNumberFormat="1" applyFont="1" applyFill="1" applyBorder="1" applyAlignment="1">
      <alignment horizontal="right"/>
    </xf>
    <xf numFmtId="1" fontId="7" fillId="0" borderId="1" xfId="6" applyNumberFormat="1" applyFont="1" applyFill="1" applyBorder="1" applyAlignment="1">
      <alignment horizontal="right" vertical="center"/>
    </xf>
    <xf numFmtId="0" fontId="0" fillId="9" borderId="0" xfId="0" applyFont="1" applyFill="1" applyAlignment="1"/>
    <xf numFmtId="3" fontId="0" fillId="9" borderId="0" xfId="0" applyNumberFormat="1" applyFont="1" applyFill="1" applyAlignment="1"/>
    <xf numFmtId="37" fontId="0" fillId="0" borderId="0" xfId="0" applyNumberFormat="1" applyFont="1" applyFill="1" applyAlignment="1"/>
    <xf numFmtId="0" fontId="14" fillId="0" borderId="0" xfId="0" applyFont="1" applyFill="1" applyAlignment="1">
      <alignment horizontal="left"/>
    </xf>
    <xf numFmtId="0" fontId="15" fillId="0" borderId="1" xfId="2" applyFont="1" applyFill="1" applyBorder="1" applyAlignment="1" applyProtection="1">
      <alignment horizontal="left"/>
    </xf>
    <xf numFmtId="0" fontId="0" fillId="0" borderId="0" xfId="0" applyFont="1" applyFill="1" applyAlignment="1">
      <alignment horizontal="right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Alignment="1"/>
    <xf numFmtId="165" fontId="0" fillId="0" borderId="8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5" fillId="11" borderId="1" xfId="2" applyFont="1" applyFill="1" applyBorder="1" applyAlignment="1" applyProtection="1">
      <alignment horizontal="left"/>
    </xf>
    <xf numFmtId="0" fontId="18" fillId="11" borderId="1" xfId="2" applyFont="1" applyFill="1" applyBorder="1" applyAlignment="1" applyProtection="1">
      <alignment horizontal="left"/>
    </xf>
    <xf numFmtId="0" fontId="16" fillId="11" borderId="1" xfId="2" applyFont="1" applyFill="1" applyBorder="1" applyAlignment="1" applyProtection="1">
      <alignment horizontal="left"/>
    </xf>
    <xf numFmtId="0" fontId="8" fillId="11" borderId="1" xfId="2" applyFont="1" applyFill="1" applyBorder="1" applyAlignment="1" applyProtection="1">
      <alignment horizontal="left"/>
    </xf>
    <xf numFmtId="0" fontId="15" fillId="12" borderId="1" xfId="2" applyFont="1" applyFill="1" applyBorder="1" applyAlignment="1" applyProtection="1">
      <alignment horizontal="left"/>
    </xf>
    <xf numFmtId="0" fontId="18" fillId="12" borderId="1" xfId="2" applyFont="1" applyFill="1" applyBorder="1" applyAlignment="1" applyProtection="1">
      <alignment horizontal="left"/>
    </xf>
    <xf numFmtId="0" fontId="16" fillId="12" borderId="1" xfId="2" applyFont="1" applyFill="1" applyBorder="1" applyAlignment="1" applyProtection="1">
      <alignment horizontal="left"/>
    </xf>
    <xf numFmtId="0" fontId="8" fillId="12" borderId="1" xfId="2" applyFont="1" applyFill="1" applyBorder="1" applyAlignment="1" applyProtection="1">
      <alignment horizontal="left"/>
    </xf>
    <xf numFmtId="4" fontId="0" fillId="0" borderId="1" xfId="1" applyNumberFormat="1" applyFont="1" applyFill="1" applyBorder="1" applyAlignment="1"/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4" fontId="0" fillId="0" borderId="1" xfId="1" applyNumberFormat="1" applyFont="1" applyFill="1" applyBorder="1" applyAlignment="1">
      <alignment horizontal="center"/>
    </xf>
    <xf numFmtId="4" fontId="0" fillId="0" borderId="3" xfId="1" applyNumberFormat="1" applyFont="1" applyBorder="1" applyAlignment="1">
      <alignment horizontal="left" wrapText="1"/>
    </xf>
    <xf numFmtId="4" fontId="0" fillId="9" borderId="1" xfId="1" applyNumberFormat="1" applyFont="1" applyFill="1" applyBorder="1" applyAlignment="1"/>
    <xf numFmtId="4" fontId="0" fillId="9" borderId="1" xfId="0" applyNumberFormat="1" applyFont="1" applyFill="1" applyBorder="1" applyAlignment="1">
      <alignment horizontal="right"/>
    </xf>
    <xf numFmtId="4" fontId="0" fillId="0" borderId="3" xfId="1" applyNumberFormat="1" applyFont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center"/>
    </xf>
    <xf numFmtId="4" fontId="9" fillId="7" borderId="1" xfId="1" applyNumberFormat="1" applyFont="1" applyFill="1" applyBorder="1" applyAlignment="1"/>
    <xf numFmtId="39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4" fontId="7" fillId="0" borderId="1" xfId="4" applyNumberFormat="1" applyFont="1" applyFill="1" applyBorder="1" applyAlignment="1">
      <alignment horizontal="right"/>
    </xf>
    <xf numFmtId="4" fontId="9" fillId="7" borderId="1" xfId="1" applyNumberFormat="1" applyFont="1" applyFill="1" applyBorder="1" applyAlignment="1">
      <alignment horizontal="right"/>
    </xf>
    <xf numFmtId="0" fontId="0" fillId="10" borderId="1" xfId="0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5" xfId="1" applyFont="1" applyFill="1" applyBorder="1" applyAlignment="1" applyProtection="1">
      <alignment horizontal="center" vertical="center" wrapText="1"/>
      <protection locked="0"/>
    </xf>
    <xf numFmtId="0" fontId="17" fillId="12" borderId="1" xfId="2" applyFont="1" applyFill="1" applyBorder="1" applyAlignment="1" applyProtection="1">
      <alignment horizontal="left"/>
    </xf>
    <xf numFmtId="0" fontId="8" fillId="12" borderId="1" xfId="2" applyFill="1" applyBorder="1" applyAlignment="1" applyProtection="1">
      <alignment horizontal="left"/>
    </xf>
    <xf numFmtId="0" fontId="18" fillId="12" borderId="1" xfId="2" applyFont="1" applyFill="1" applyBorder="1" applyAlignment="1" applyProtection="1"/>
    <xf numFmtId="0" fontId="8" fillId="11" borderId="0" xfId="2" applyFont="1" applyFill="1" applyAlignment="1" applyProtection="1"/>
    <xf numFmtId="0" fontId="16" fillId="11" borderId="0" xfId="2" applyFont="1" applyFill="1" applyAlignment="1" applyProtection="1">
      <alignment wrapText="1"/>
    </xf>
    <xf numFmtId="0" fontId="15" fillId="12" borderId="1" xfId="2" applyFont="1" applyFill="1" applyBorder="1" applyAlignment="1" applyProtection="1"/>
    <xf numFmtId="164" fontId="9" fillId="8" borderId="5" xfId="1" applyFont="1" applyFill="1" applyBorder="1" applyAlignment="1" applyProtection="1">
      <alignment horizontal="center" vertical="center" wrapText="1"/>
      <protection locked="0"/>
    </xf>
    <xf numFmtId="164" fontId="9" fillId="8" borderId="7" xfId="1" applyFont="1" applyFill="1" applyBorder="1" applyAlignment="1" applyProtection="1">
      <alignment horizontal="center" vertical="center" wrapText="1"/>
      <protection locked="0"/>
    </xf>
    <xf numFmtId="164" fontId="9" fillId="10" borderId="1" xfId="1" applyFont="1" applyFill="1" applyBorder="1" applyAlignment="1" applyProtection="1">
      <alignment horizontal="center" vertical="center" wrapText="1"/>
      <protection locked="0"/>
    </xf>
    <xf numFmtId="164" fontId="9" fillId="8" borderId="6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2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right" vertical="center" wrapText="1"/>
      <protection locked="0"/>
    </xf>
    <xf numFmtId="37" fontId="9" fillId="8" borderId="1" xfId="1" applyNumberFormat="1" applyFont="1" applyFill="1" applyBorder="1" applyAlignment="1" applyProtection="1">
      <alignment horizontal="center" vertical="center"/>
      <protection locked="0"/>
    </xf>
    <xf numFmtId="165" fontId="9" fillId="7" borderId="1" xfId="1" applyNumberFormat="1" applyFont="1" applyFill="1" applyBorder="1" applyAlignment="1">
      <alignment horizontal="right"/>
    </xf>
    <xf numFmtId="165" fontId="9" fillId="7" borderId="2" xfId="1" applyNumberFormat="1" applyFont="1" applyFill="1" applyBorder="1" applyAlignment="1">
      <alignment horizontal="right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</cellXfs>
  <cellStyles count="26">
    <cellStyle name="Euro" xfId="3" xr:uid="{00000000-0005-0000-0000-000000000000}"/>
    <cellStyle name="Hipervínculo" xfId="2" builtinId="8"/>
    <cellStyle name="Millares" xfId="1" builtinId="3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CCFF"/>
      <color rgb="FFFF0000"/>
      <color rgb="FFFF00FF"/>
      <color rgb="FF99FF66"/>
      <color rgb="FF00FF00"/>
      <color rgb="FF3333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8\CUENTAS\Mayo\540418\Obligaciones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8\CUENTAS\Abril\540818001\Obligaciones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Febrero/540818/SGP%20PAC-consolidado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f"/>
      <sheetName val="Fidupre"/>
      <sheetName val="Gratuidad"/>
      <sheetName val="Hoja3"/>
    </sheetNames>
    <sheetDataSet>
      <sheetData sheetId="0"/>
      <sheetData sheetId="1"/>
      <sheetData sheetId="2"/>
      <sheetData sheetId="3">
        <row r="3">
          <cell r="J3">
            <v>800000681</v>
          </cell>
          <cell r="K3">
            <v>46329865</v>
          </cell>
        </row>
        <row r="4">
          <cell r="J4">
            <v>800004741</v>
          </cell>
          <cell r="K4">
            <v>387154206</v>
          </cell>
        </row>
        <row r="5">
          <cell r="J5">
            <v>800005292</v>
          </cell>
          <cell r="K5">
            <v>32881269</v>
          </cell>
        </row>
        <row r="6">
          <cell r="J6">
            <v>800006541</v>
          </cell>
          <cell r="K6">
            <v>16239937</v>
          </cell>
        </row>
        <row r="7">
          <cell r="J7">
            <v>800007652</v>
          </cell>
          <cell r="K7">
            <v>93343255</v>
          </cell>
        </row>
        <row r="8">
          <cell r="J8">
            <v>800008456</v>
          </cell>
          <cell r="K8">
            <v>27116767</v>
          </cell>
        </row>
        <row r="9">
          <cell r="J9">
            <v>800010350</v>
          </cell>
          <cell r="K9">
            <v>74933733</v>
          </cell>
        </row>
        <row r="10">
          <cell r="J10">
            <v>800012628</v>
          </cell>
          <cell r="K10">
            <v>29151559</v>
          </cell>
        </row>
        <row r="11">
          <cell r="J11">
            <v>800012631</v>
          </cell>
          <cell r="K11">
            <v>21512401</v>
          </cell>
        </row>
        <row r="12">
          <cell r="J12">
            <v>800012635</v>
          </cell>
          <cell r="K12">
            <v>81689489</v>
          </cell>
        </row>
        <row r="13">
          <cell r="J13">
            <v>800012638</v>
          </cell>
          <cell r="K13">
            <v>29807923</v>
          </cell>
        </row>
        <row r="14">
          <cell r="J14">
            <v>800012873</v>
          </cell>
          <cell r="K14">
            <v>97520742</v>
          </cell>
        </row>
        <row r="15">
          <cell r="J15">
            <v>800013237</v>
          </cell>
          <cell r="K15">
            <v>127312121</v>
          </cell>
        </row>
        <row r="16">
          <cell r="J16">
            <v>800013676</v>
          </cell>
          <cell r="K16">
            <v>518308558</v>
          </cell>
        </row>
        <row r="17">
          <cell r="J17">
            <v>800013683</v>
          </cell>
          <cell r="K17">
            <v>151290788</v>
          </cell>
        </row>
        <row r="18">
          <cell r="J18">
            <v>800015689</v>
          </cell>
          <cell r="K18">
            <v>209661015</v>
          </cell>
        </row>
        <row r="19">
          <cell r="J19">
            <v>800015991</v>
          </cell>
          <cell r="K19">
            <v>142909106</v>
          </cell>
        </row>
        <row r="20">
          <cell r="J20">
            <v>800016757</v>
          </cell>
          <cell r="K20">
            <v>247528810</v>
          </cell>
        </row>
        <row r="21">
          <cell r="J21">
            <v>800017022</v>
          </cell>
          <cell r="K21">
            <v>188411305</v>
          </cell>
        </row>
        <row r="22">
          <cell r="J22">
            <v>800017288</v>
          </cell>
          <cell r="K22">
            <v>24811259</v>
          </cell>
        </row>
        <row r="23">
          <cell r="J23">
            <v>800018650</v>
          </cell>
          <cell r="K23">
            <v>61034429</v>
          </cell>
        </row>
        <row r="24">
          <cell r="J24">
            <v>800019000</v>
          </cell>
          <cell r="K24">
            <v>94611224</v>
          </cell>
        </row>
        <row r="25">
          <cell r="J25">
            <v>800019111</v>
          </cell>
          <cell r="K25">
            <v>124291612</v>
          </cell>
        </row>
        <row r="26">
          <cell r="J26">
            <v>800019112</v>
          </cell>
          <cell r="K26">
            <v>138661719</v>
          </cell>
        </row>
        <row r="27">
          <cell r="J27">
            <v>800019218</v>
          </cell>
          <cell r="K27">
            <v>279141244</v>
          </cell>
        </row>
        <row r="28">
          <cell r="J28">
            <v>800019254</v>
          </cell>
          <cell r="K28">
            <v>40134952</v>
          </cell>
        </row>
        <row r="29">
          <cell r="J29">
            <v>800019709</v>
          </cell>
          <cell r="K29">
            <v>45231927</v>
          </cell>
        </row>
        <row r="30">
          <cell r="J30">
            <v>800019816</v>
          </cell>
          <cell r="K30">
            <v>98814747</v>
          </cell>
        </row>
        <row r="31">
          <cell r="J31">
            <v>800019846</v>
          </cell>
          <cell r="K31">
            <v>52056713</v>
          </cell>
        </row>
        <row r="32">
          <cell r="J32">
            <v>800020045</v>
          </cell>
          <cell r="K32">
            <v>51340504</v>
          </cell>
        </row>
        <row r="33">
          <cell r="J33">
            <v>800020324</v>
          </cell>
          <cell r="K33">
            <v>36864787</v>
          </cell>
        </row>
        <row r="34">
          <cell r="J34">
            <v>800022618</v>
          </cell>
          <cell r="K34">
            <v>52273659</v>
          </cell>
        </row>
        <row r="35">
          <cell r="J35">
            <v>800022791</v>
          </cell>
          <cell r="K35">
            <v>76522980</v>
          </cell>
        </row>
        <row r="36">
          <cell r="J36">
            <v>800024789</v>
          </cell>
          <cell r="K36">
            <v>19570531</v>
          </cell>
        </row>
        <row r="37">
          <cell r="J37">
            <v>800024977</v>
          </cell>
          <cell r="K37">
            <v>173024594</v>
          </cell>
        </row>
        <row r="38">
          <cell r="J38">
            <v>800025608</v>
          </cell>
          <cell r="K38">
            <v>196434484</v>
          </cell>
        </row>
        <row r="39">
          <cell r="J39">
            <v>800026368</v>
          </cell>
          <cell r="K39">
            <v>43928445</v>
          </cell>
        </row>
        <row r="40">
          <cell r="J40">
            <v>800026685</v>
          </cell>
          <cell r="K40">
            <v>484487408</v>
          </cell>
        </row>
        <row r="41">
          <cell r="J41">
            <v>800026911</v>
          </cell>
          <cell r="K41">
            <v>112777521</v>
          </cell>
        </row>
        <row r="42">
          <cell r="J42">
            <v>800027292</v>
          </cell>
          <cell r="K42">
            <v>87075345</v>
          </cell>
        </row>
        <row r="43">
          <cell r="J43">
            <v>800028393</v>
          </cell>
          <cell r="K43">
            <v>42103318</v>
          </cell>
        </row>
        <row r="44">
          <cell r="J44">
            <v>800028432</v>
          </cell>
          <cell r="K44">
            <v>292791519</v>
          </cell>
        </row>
        <row r="45">
          <cell r="J45">
            <v>800028461</v>
          </cell>
          <cell r="K45">
            <v>29334488</v>
          </cell>
        </row>
        <row r="46">
          <cell r="J46">
            <v>800028517</v>
          </cell>
          <cell r="K46">
            <v>153307564</v>
          </cell>
        </row>
        <row r="47">
          <cell r="J47">
            <v>800028576</v>
          </cell>
          <cell r="K47">
            <v>39589037</v>
          </cell>
        </row>
        <row r="48">
          <cell r="J48">
            <v>800029513</v>
          </cell>
          <cell r="K48">
            <v>36977590</v>
          </cell>
        </row>
        <row r="49">
          <cell r="J49">
            <v>800029660</v>
          </cell>
          <cell r="K49">
            <v>108156418</v>
          </cell>
        </row>
        <row r="50">
          <cell r="J50">
            <v>800029826</v>
          </cell>
          <cell r="K50">
            <v>42597415</v>
          </cell>
        </row>
        <row r="51">
          <cell r="J51">
            <v>800030988</v>
          </cell>
          <cell r="K51">
            <v>79067086</v>
          </cell>
        </row>
        <row r="52">
          <cell r="J52">
            <v>800031073</v>
          </cell>
          <cell r="K52">
            <v>43579693</v>
          </cell>
        </row>
        <row r="53">
          <cell r="J53">
            <v>800031075</v>
          </cell>
          <cell r="K53">
            <v>279998768</v>
          </cell>
        </row>
        <row r="54">
          <cell r="J54">
            <v>800031874</v>
          </cell>
          <cell r="K54">
            <v>40490014</v>
          </cell>
        </row>
        <row r="55">
          <cell r="J55">
            <v>800033062</v>
          </cell>
          <cell r="K55">
            <v>78183956</v>
          </cell>
        </row>
        <row r="56">
          <cell r="J56">
            <v>800034476</v>
          </cell>
          <cell r="K56">
            <v>78856077</v>
          </cell>
        </row>
        <row r="57">
          <cell r="J57">
            <v>800035482</v>
          </cell>
          <cell r="K57">
            <v>86353026</v>
          </cell>
        </row>
        <row r="58">
          <cell r="J58">
            <v>800037175</v>
          </cell>
          <cell r="K58">
            <v>445004036</v>
          </cell>
        </row>
        <row r="59">
          <cell r="J59">
            <v>800037371</v>
          </cell>
          <cell r="K59">
            <v>388190337</v>
          </cell>
        </row>
        <row r="60">
          <cell r="J60">
            <v>800039213</v>
          </cell>
          <cell r="K60">
            <v>48960403</v>
          </cell>
        </row>
        <row r="61">
          <cell r="J61">
            <v>800039803</v>
          </cell>
          <cell r="K61">
            <v>144451766</v>
          </cell>
        </row>
        <row r="62">
          <cell r="J62">
            <v>800042974</v>
          </cell>
          <cell r="K62">
            <v>349173651</v>
          </cell>
        </row>
        <row r="63">
          <cell r="J63">
            <v>800043486</v>
          </cell>
          <cell r="K63">
            <v>179939579</v>
          </cell>
        </row>
        <row r="64">
          <cell r="J64">
            <v>800044113</v>
          </cell>
          <cell r="K64">
            <v>111089020</v>
          </cell>
        </row>
        <row r="65">
          <cell r="J65">
            <v>800049017</v>
          </cell>
          <cell r="K65">
            <v>421673913</v>
          </cell>
        </row>
        <row r="66">
          <cell r="J66">
            <v>800049508</v>
          </cell>
          <cell r="K66">
            <v>44206296</v>
          </cell>
        </row>
        <row r="67">
          <cell r="J67">
            <v>800049826</v>
          </cell>
          <cell r="K67">
            <v>331009626</v>
          </cell>
        </row>
        <row r="68">
          <cell r="J68">
            <v>800050331</v>
          </cell>
          <cell r="K68">
            <v>233065584</v>
          </cell>
        </row>
        <row r="69">
          <cell r="J69">
            <v>800050407</v>
          </cell>
          <cell r="K69">
            <v>117449252</v>
          </cell>
        </row>
        <row r="70">
          <cell r="J70">
            <v>800050791</v>
          </cell>
          <cell r="K70">
            <v>28378697</v>
          </cell>
        </row>
        <row r="71">
          <cell r="J71">
            <v>800051167</v>
          </cell>
          <cell r="K71">
            <v>339158512</v>
          </cell>
        </row>
        <row r="72">
          <cell r="J72">
            <v>800051168</v>
          </cell>
          <cell r="K72">
            <v>189066276</v>
          </cell>
        </row>
        <row r="73">
          <cell r="J73">
            <v>800053552</v>
          </cell>
          <cell r="K73">
            <v>40913866</v>
          </cell>
        </row>
        <row r="74">
          <cell r="J74">
            <v>800054249</v>
          </cell>
          <cell r="K74">
            <v>357475854</v>
          </cell>
        </row>
        <row r="75">
          <cell r="J75">
            <v>800059405</v>
          </cell>
          <cell r="K75">
            <v>149160432</v>
          </cell>
        </row>
        <row r="76">
          <cell r="J76">
            <v>800061313</v>
          </cell>
          <cell r="K76">
            <v>319394570</v>
          </cell>
        </row>
        <row r="77">
          <cell r="J77">
            <v>800062255</v>
          </cell>
          <cell r="K77">
            <v>76433862</v>
          </cell>
        </row>
        <row r="78">
          <cell r="J78">
            <v>800063791</v>
          </cell>
          <cell r="K78">
            <v>89404472</v>
          </cell>
        </row>
        <row r="79">
          <cell r="J79">
            <v>800065411</v>
          </cell>
          <cell r="K79">
            <v>18229699</v>
          </cell>
        </row>
        <row r="80">
          <cell r="J80">
            <v>800066389</v>
          </cell>
          <cell r="K80">
            <v>23194870</v>
          </cell>
        </row>
        <row r="81">
          <cell r="J81">
            <v>800069901</v>
          </cell>
          <cell r="K81">
            <v>273507363</v>
          </cell>
        </row>
        <row r="82">
          <cell r="J82">
            <v>800070682</v>
          </cell>
          <cell r="K82">
            <v>458290083</v>
          </cell>
        </row>
        <row r="83">
          <cell r="J83">
            <v>800071934</v>
          </cell>
          <cell r="K83">
            <v>328735892</v>
          </cell>
        </row>
        <row r="84">
          <cell r="J84">
            <v>800074859</v>
          </cell>
          <cell r="K84">
            <v>60490923</v>
          </cell>
        </row>
        <row r="85">
          <cell r="J85">
            <v>800075537</v>
          </cell>
          <cell r="K85">
            <v>12838265</v>
          </cell>
        </row>
        <row r="86">
          <cell r="J86">
            <v>800077545</v>
          </cell>
          <cell r="K86">
            <v>220829202</v>
          </cell>
        </row>
        <row r="87">
          <cell r="J87">
            <v>800077808</v>
          </cell>
          <cell r="K87">
            <v>130148797</v>
          </cell>
        </row>
        <row r="88">
          <cell r="J88">
            <v>800079035</v>
          </cell>
          <cell r="K88">
            <v>137205623</v>
          </cell>
        </row>
        <row r="89">
          <cell r="J89">
            <v>800083233</v>
          </cell>
          <cell r="K89">
            <v>45002686</v>
          </cell>
        </row>
        <row r="90">
          <cell r="J90">
            <v>800084378</v>
          </cell>
          <cell r="K90">
            <v>579514872</v>
          </cell>
        </row>
        <row r="91">
          <cell r="J91">
            <v>800092788</v>
          </cell>
          <cell r="K91">
            <v>71514366</v>
          </cell>
        </row>
        <row r="92">
          <cell r="J92">
            <v>800094378</v>
          </cell>
          <cell r="K92">
            <v>117164688</v>
          </cell>
        </row>
        <row r="93">
          <cell r="J93">
            <v>800094386</v>
          </cell>
          <cell r="K93">
            <v>373787376</v>
          </cell>
        </row>
        <row r="94">
          <cell r="J94">
            <v>800094449</v>
          </cell>
          <cell r="K94">
            <v>122409936</v>
          </cell>
        </row>
        <row r="95">
          <cell r="J95">
            <v>800094457</v>
          </cell>
          <cell r="K95">
            <v>82360595</v>
          </cell>
        </row>
        <row r="96">
          <cell r="J96">
            <v>800094462</v>
          </cell>
          <cell r="K96">
            <v>409990608</v>
          </cell>
        </row>
        <row r="97">
          <cell r="J97">
            <v>800094466</v>
          </cell>
          <cell r="K97">
            <v>187374069</v>
          </cell>
        </row>
        <row r="98">
          <cell r="J98">
            <v>800095466</v>
          </cell>
          <cell r="K98">
            <v>839982284</v>
          </cell>
        </row>
        <row r="99">
          <cell r="J99">
            <v>800095514</v>
          </cell>
          <cell r="K99">
            <v>285140227</v>
          </cell>
        </row>
        <row r="100">
          <cell r="J100">
            <v>800095728</v>
          </cell>
          <cell r="K100">
            <v>278052895</v>
          </cell>
        </row>
        <row r="101">
          <cell r="J101">
            <v>800095734</v>
          </cell>
          <cell r="K101">
            <v>189491410</v>
          </cell>
        </row>
        <row r="102">
          <cell r="J102">
            <v>800095754</v>
          </cell>
          <cell r="K102">
            <v>201464621</v>
          </cell>
        </row>
        <row r="103">
          <cell r="J103">
            <v>800095757</v>
          </cell>
          <cell r="K103">
            <v>13061034</v>
          </cell>
        </row>
        <row r="104">
          <cell r="J104">
            <v>800095760</v>
          </cell>
          <cell r="K104">
            <v>73535549</v>
          </cell>
        </row>
        <row r="105">
          <cell r="J105">
            <v>800095763</v>
          </cell>
          <cell r="K105">
            <v>231011971</v>
          </cell>
        </row>
        <row r="106">
          <cell r="J106">
            <v>800095770</v>
          </cell>
          <cell r="K106">
            <v>35752080</v>
          </cell>
        </row>
        <row r="107">
          <cell r="J107">
            <v>800095775</v>
          </cell>
          <cell r="K107">
            <v>381427879</v>
          </cell>
        </row>
        <row r="108">
          <cell r="J108">
            <v>800095785</v>
          </cell>
          <cell r="K108">
            <v>534720422</v>
          </cell>
        </row>
        <row r="109">
          <cell r="J109">
            <v>800095786</v>
          </cell>
          <cell r="K109">
            <v>62811637</v>
          </cell>
        </row>
        <row r="110">
          <cell r="J110">
            <v>800095788</v>
          </cell>
          <cell r="K110">
            <v>41823330</v>
          </cell>
        </row>
        <row r="111">
          <cell r="J111">
            <v>800095961</v>
          </cell>
          <cell r="K111">
            <v>415720118</v>
          </cell>
        </row>
        <row r="112">
          <cell r="J112">
            <v>800095978</v>
          </cell>
          <cell r="K112">
            <v>146941093</v>
          </cell>
        </row>
        <row r="113">
          <cell r="J113">
            <v>800095980</v>
          </cell>
          <cell r="K113">
            <v>122000177</v>
          </cell>
        </row>
        <row r="114">
          <cell r="J114">
            <v>800095983</v>
          </cell>
          <cell r="K114">
            <v>40860058</v>
          </cell>
        </row>
        <row r="115">
          <cell r="J115">
            <v>800095986</v>
          </cell>
          <cell r="K115">
            <v>138980967</v>
          </cell>
        </row>
        <row r="116">
          <cell r="J116">
            <v>800096558</v>
          </cell>
          <cell r="K116">
            <v>827423507</v>
          </cell>
        </row>
        <row r="117">
          <cell r="J117">
            <v>800096561</v>
          </cell>
          <cell r="K117">
            <v>868492321</v>
          </cell>
        </row>
        <row r="118">
          <cell r="J118">
            <v>800096576</v>
          </cell>
          <cell r="K118">
            <v>397998522</v>
          </cell>
        </row>
        <row r="119">
          <cell r="J119">
            <v>800096585</v>
          </cell>
          <cell r="K119">
            <v>496028409</v>
          </cell>
        </row>
        <row r="120">
          <cell r="J120">
            <v>800096587</v>
          </cell>
          <cell r="K120">
            <v>452293057</v>
          </cell>
        </row>
        <row r="121">
          <cell r="J121">
            <v>800096592</v>
          </cell>
          <cell r="K121">
            <v>241293059</v>
          </cell>
        </row>
        <row r="122">
          <cell r="J122">
            <v>800096595</v>
          </cell>
          <cell r="K122">
            <v>24088847</v>
          </cell>
        </row>
        <row r="123">
          <cell r="J123">
            <v>800096597</v>
          </cell>
          <cell r="K123">
            <v>71416402</v>
          </cell>
        </row>
        <row r="124">
          <cell r="J124">
            <v>800096599</v>
          </cell>
          <cell r="K124">
            <v>263250909</v>
          </cell>
        </row>
        <row r="125">
          <cell r="J125">
            <v>800096605</v>
          </cell>
          <cell r="K125">
            <v>291908220</v>
          </cell>
        </row>
        <row r="126">
          <cell r="J126">
            <v>800096610</v>
          </cell>
          <cell r="K126">
            <v>18422494</v>
          </cell>
        </row>
        <row r="127">
          <cell r="J127">
            <v>800096613</v>
          </cell>
          <cell r="K127">
            <v>259144316</v>
          </cell>
        </row>
        <row r="128">
          <cell r="J128">
            <v>800096619</v>
          </cell>
          <cell r="K128">
            <v>341217894</v>
          </cell>
        </row>
        <row r="129">
          <cell r="J129">
            <v>800096623</v>
          </cell>
          <cell r="K129">
            <v>309188529</v>
          </cell>
        </row>
        <row r="130">
          <cell r="J130">
            <v>800096626</v>
          </cell>
          <cell r="K130">
            <v>268230529</v>
          </cell>
        </row>
        <row r="131">
          <cell r="J131">
            <v>800096744</v>
          </cell>
          <cell r="K131">
            <v>129661901</v>
          </cell>
        </row>
        <row r="132">
          <cell r="J132">
            <v>800096753</v>
          </cell>
          <cell r="K132">
            <v>109089339</v>
          </cell>
        </row>
        <row r="133">
          <cell r="J133">
            <v>800096766</v>
          </cell>
          <cell r="K133">
            <v>37941541</v>
          </cell>
        </row>
        <row r="134">
          <cell r="J134">
            <v>800096770</v>
          </cell>
          <cell r="K134">
            <v>52628329</v>
          </cell>
        </row>
        <row r="135">
          <cell r="J135">
            <v>800096777</v>
          </cell>
          <cell r="K135">
            <v>591306826</v>
          </cell>
        </row>
        <row r="136">
          <cell r="J136">
            <v>800096804</v>
          </cell>
          <cell r="K136">
            <v>40074503</v>
          </cell>
        </row>
        <row r="137">
          <cell r="J137">
            <v>800097098</v>
          </cell>
          <cell r="K137">
            <v>362951818</v>
          </cell>
        </row>
        <row r="138">
          <cell r="J138">
            <v>800097176</v>
          </cell>
          <cell r="K138">
            <v>163657290</v>
          </cell>
        </row>
        <row r="139">
          <cell r="J139">
            <v>800097180</v>
          </cell>
          <cell r="K139">
            <v>93372835</v>
          </cell>
        </row>
        <row r="140">
          <cell r="J140">
            <v>800098195</v>
          </cell>
          <cell r="K140">
            <v>106201255</v>
          </cell>
        </row>
        <row r="141">
          <cell r="J141">
            <v>800098203</v>
          </cell>
          <cell r="K141">
            <v>103255072</v>
          </cell>
        </row>
        <row r="142">
          <cell r="J142">
            <v>800098911</v>
          </cell>
          <cell r="K142">
            <v>653822899</v>
          </cell>
        </row>
        <row r="143">
          <cell r="J143">
            <v>800099054</v>
          </cell>
          <cell r="K143">
            <v>44158879</v>
          </cell>
        </row>
        <row r="144">
          <cell r="J144">
            <v>800099058</v>
          </cell>
          <cell r="K144">
            <v>102518105</v>
          </cell>
        </row>
        <row r="145">
          <cell r="J145">
            <v>800099061</v>
          </cell>
          <cell r="K145">
            <v>646037510</v>
          </cell>
        </row>
        <row r="146">
          <cell r="J146">
            <v>800099062</v>
          </cell>
          <cell r="K146">
            <v>237667146</v>
          </cell>
        </row>
        <row r="147">
          <cell r="J147">
            <v>800099066</v>
          </cell>
          <cell r="K147">
            <v>326386072</v>
          </cell>
        </row>
        <row r="148">
          <cell r="J148">
            <v>800099072</v>
          </cell>
          <cell r="K148">
            <v>49290569</v>
          </cell>
        </row>
        <row r="149">
          <cell r="J149">
            <v>800099076</v>
          </cell>
          <cell r="K149">
            <v>535490866</v>
          </cell>
        </row>
        <row r="150">
          <cell r="J150">
            <v>800099079</v>
          </cell>
          <cell r="K150">
            <v>40460291</v>
          </cell>
        </row>
        <row r="151">
          <cell r="J151">
            <v>800099084</v>
          </cell>
          <cell r="K151">
            <v>66158805</v>
          </cell>
        </row>
        <row r="152">
          <cell r="J152">
            <v>800099085</v>
          </cell>
          <cell r="K152">
            <v>118256632</v>
          </cell>
        </row>
        <row r="153">
          <cell r="J153">
            <v>800099089</v>
          </cell>
          <cell r="K153">
            <v>65723652</v>
          </cell>
        </row>
        <row r="154">
          <cell r="J154">
            <v>800099090</v>
          </cell>
          <cell r="K154">
            <v>80402667</v>
          </cell>
        </row>
        <row r="155">
          <cell r="J155">
            <v>800099092</v>
          </cell>
          <cell r="K155">
            <v>22149513</v>
          </cell>
        </row>
        <row r="156">
          <cell r="J156">
            <v>800099095</v>
          </cell>
          <cell r="K156">
            <v>132403876</v>
          </cell>
        </row>
        <row r="157">
          <cell r="J157">
            <v>800099098</v>
          </cell>
          <cell r="K157">
            <v>249881234</v>
          </cell>
        </row>
        <row r="158">
          <cell r="J158">
            <v>800099102</v>
          </cell>
          <cell r="K158">
            <v>186010858</v>
          </cell>
        </row>
        <row r="159">
          <cell r="J159">
            <v>800099105</v>
          </cell>
          <cell r="K159">
            <v>125289250</v>
          </cell>
        </row>
        <row r="160">
          <cell r="J160">
            <v>800099106</v>
          </cell>
          <cell r="K160">
            <v>197263000</v>
          </cell>
        </row>
        <row r="161">
          <cell r="J161">
            <v>800099108</v>
          </cell>
          <cell r="K161">
            <v>127259237</v>
          </cell>
        </row>
        <row r="162">
          <cell r="J162">
            <v>800099113</v>
          </cell>
          <cell r="K162">
            <v>518351795</v>
          </cell>
        </row>
        <row r="163">
          <cell r="J163">
            <v>800099118</v>
          </cell>
          <cell r="K163">
            <v>121824549</v>
          </cell>
        </row>
        <row r="164">
          <cell r="J164">
            <v>800099122</v>
          </cell>
          <cell r="K164">
            <v>183127700</v>
          </cell>
        </row>
        <row r="165">
          <cell r="J165">
            <v>800099127</v>
          </cell>
          <cell r="K165">
            <v>203200189</v>
          </cell>
        </row>
        <row r="166">
          <cell r="J166">
            <v>800099132</v>
          </cell>
          <cell r="K166">
            <v>286924608</v>
          </cell>
        </row>
        <row r="167">
          <cell r="J167">
            <v>800099136</v>
          </cell>
          <cell r="K167">
            <v>33785749</v>
          </cell>
        </row>
        <row r="168">
          <cell r="J168">
            <v>800099138</v>
          </cell>
          <cell r="K168">
            <v>177947386</v>
          </cell>
        </row>
        <row r="169">
          <cell r="J169">
            <v>800099142</v>
          </cell>
          <cell r="K169">
            <v>200465302</v>
          </cell>
        </row>
        <row r="170">
          <cell r="J170">
            <v>800099143</v>
          </cell>
          <cell r="K170">
            <v>189509068</v>
          </cell>
        </row>
        <row r="171">
          <cell r="J171">
            <v>800099147</v>
          </cell>
          <cell r="K171">
            <v>241302020</v>
          </cell>
        </row>
        <row r="172">
          <cell r="J172">
            <v>800099153</v>
          </cell>
          <cell r="K172">
            <v>83254660</v>
          </cell>
        </row>
        <row r="173">
          <cell r="J173">
            <v>800099187</v>
          </cell>
          <cell r="K173">
            <v>52747027</v>
          </cell>
        </row>
        <row r="174">
          <cell r="J174">
            <v>800099196</v>
          </cell>
          <cell r="K174">
            <v>100586290</v>
          </cell>
        </row>
        <row r="175">
          <cell r="J175">
            <v>800099199</v>
          </cell>
          <cell r="K175">
            <v>134506122</v>
          </cell>
        </row>
        <row r="176">
          <cell r="J176">
            <v>800099202</v>
          </cell>
          <cell r="K176">
            <v>52912807</v>
          </cell>
        </row>
        <row r="177">
          <cell r="J177">
            <v>800099206</v>
          </cell>
          <cell r="K177">
            <v>39983957</v>
          </cell>
        </row>
        <row r="178">
          <cell r="J178">
            <v>800099210</v>
          </cell>
          <cell r="K178">
            <v>118865226</v>
          </cell>
        </row>
        <row r="179">
          <cell r="J179">
            <v>800099234</v>
          </cell>
          <cell r="K179">
            <v>21832227</v>
          </cell>
        </row>
        <row r="180">
          <cell r="J180">
            <v>800099236</v>
          </cell>
          <cell r="K180">
            <v>271332955</v>
          </cell>
        </row>
        <row r="181">
          <cell r="J181">
            <v>800099237</v>
          </cell>
          <cell r="K181">
            <v>58003226</v>
          </cell>
        </row>
        <row r="182">
          <cell r="J182">
            <v>800099238</v>
          </cell>
          <cell r="K182">
            <v>113586625</v>
          </cell>
        </row>
        <row r="183">
          <cell r="J183">
            <v>800099251</v>
          </cell>
          <cell r="K183">
            <v>67278153</v>
          </cell>
        </row>
        <row r="184">
          <cell r="J184">
            <v>800099260</v>
          </cell>
          <cell r="K184">
            <v>46482468</v>
          </cell>
        </row>
        <row r="185">
          <cell r="J185">
            <v>800099262</v>
          </cell>
          <cell r="K185">
            <v>11046894</v>
          </cell>
        </row>
        <row r="186">
          <cell r="J186">
            <v>800099263</v>
          </cell>
          <cell r="K186">
            <v>199273741</v>
          </cell>
        </row>
        <row r="187">
          <cell r="J187">
            <v>800099310</v>
          </cell>
          <cell r="K187">
            <v>236890931</v>
          </cell>
        </row>
        <row r="188">
          <cell r="J188">
            <v>800099431</v>
          </cell>
          <cell r="K188">
            <v>12368548</v>
          </cell>
        </row>
        <row r="189">
          <cell r="J189">
            <v>800099441</v>
          </cell>
          <cell r="K189">
            <v>17252572</v>
          </cell>
        </row>
        <row r="190">
          <cell r="J190">
            <v>800099455</v>
          </cell>
          <cell r="K190">
            <v>41702603</v>
          </cell>
        </row>
        <row r="191">
          <cell r="J191">
            <v>800099489</v>
          </cell>
          <cell r="K191">
            <v>169711582</v>
          </cell>
        </row>
        <row r="192">
          <cell r="J192">
            <v>800099631</v>
          </cell>
          <cell r="K192">
            <v>115871514</v>
          </cell>
        </row>
        <row r="193">
          <cell r="J193">
            <v>800099635</v>
          </cell>
          <cell r="K193">
            <v>36086375</v>
          </cell>
        </row>
        <row r="194">
          <cell r="J194">
            <v>800099639</v>
          </cell>
          <cell r="K194">
            <v>22425385</v>
          </cell>
        </row>
        <row r="195">
          <cell r="J195">
            <v>800099642</v>
          </cell>
          <cell r="K195">
            <v>166919017</v>
          </cell>
        </row>
        <row r="196">
          <cell r="J196">
            <v>800099651</v>
          </cell>
          <cell r="K196">
            <v>41833288</v>
          </cell>
        </row>
        <row r="197">
          <cell r="J197">
            <v>800099662</v>
          </cell>
          <cell r="K197">
            <v>333082281</v>
          </cell>
        </row>
        <row r="198">
          <cell r="J198">
            <v>800099665</v>
          </cell>
          <cell r="K198">
            <v>31869552</v>
          </cell>
        </row>
        <row r="199">
          <cell r="J199">
            <v>800099691</v>
          </cell>
          <cell r="K199">
            <v>60923755</v>
          </cell>
        </row>
        <row r="200">
          <cell r="J200">
            <v>800099694</v>
          </cell>
          <cell r="K200">
            <v>29600446</v>
          </cell>
        </row>
        <row r="201">
          <cell r="J201">
            <v>800099714</v>
          </cell>
          <cell r="K201">
            <v>7530659</v>
          </cell>
        </row>
        <row r="202">
          <cell r="J202">
            <v>800099829</v>
          </cell>
          <cell r="K202">
            <v>72045508</v>
          </cell>
        </row>
        <row r="203">
          <cell r="J203">
            <v>800099832</v>
          </cell>
          <cell r="K203">
            <v>26437089</v>
          </cell>
        </row>
        <row r="204">
          <cell r="J204">
            <v>800100049</v>
          </cell>
          <cell r="K204">
            <v>416740904</v>
          </cell>
        </row>
        <row r="205">
          <cell r="J205">
            <v>800100051</v>
          </cell>
          <cell r="K205">
            <v>145421799</v>
          </cell>
        </row>
        <row r="206">
          <cell r="J206">
            <v>800100052</v>
          </cell>
          <cell r="K206">
            <v>80517913</v>
          </cell>
        </row>
        <row r="207">
          <cell r="J207">
            <v>800100054</v>
          </cell>
          <cell r="K207">
            <v>164866245</v>
          </cell>
        </row>
        <row r="208">
          <cell r="J208">
            <v>800100057</v>
          </cell>
          <cell r="K208">
            <v>67847156</v>
          </cell>
        </row>
        <row r="209">
          <cell r="J209">
            <v>800100059</v>
          </cell>
          <cell r="K209">
            <v>184289802</v>
          </cell>
        </row>
        <row r="210">
          <cell r="J210">
            <v>800100134</v>
          </cell>
          <cell r="K210">
            <v>228656975</v>
          </cell>
        </row>
        <row r="211">
          <cell r="J211">
            <v>800100136</v>
          </cell>
          <cell r="K211">
            <v>89724767</v>
          </cell>
        </row>
        <row r="212">
          <cell r="J212">
            <v>800100137</v>
          </cell>
          <cell r="K212">
            <v>535803896</v>
          </cell>
        </row>
        <row r="213">
          <cell r="J213">
            <v>800100138</v>
          </cell>
          <cell r="K213">
            <v>214434192</v>
          </cell>
        </row>
        <row r="214">
          <cell r="J214">
            <v>800100140</v>
          </cell>
          <cell r="K214">
            <v>105405750</v>
          </cell>
        </row>
        <row r="215">
          <cell r="J215">
            <v>800100141</v>
          </cell>
          <cell r="K215">
            <v>176541768</v>
          </cell>
        </row>
        <row r="216">
          <cell r="J216">
            <v>800100143</v>
          </cell>
          <cell r="K216">
            <v>50267030</v>
          </cell>
        </row>
        <row r="217">
          <cell r="J217">
            <v>800100144</v>
          </cell>
          <cell r="K217">
            <v>158550584</v>
          </cell>
        </row>
        <row r="218">
          <cell r="J218">
            <v>800100145</v>
          </cell>
          <cell r="K218">
            <v>110311112</v>
          </cell>
        </row>
        <row r="219">
          <cell r="J219">
            <v>800100147</v>
          </cell>
          <cell r="K219">
            <v>88327437</v>
          </cell>
        </row>
        <row r="220">
          <cell r="J220">
            <v>800100514</v>
          </cell>
          <cell r="K220">
            <v>306277589</v>
          </cell>
        </row>
        <row r="221">
          <cell r="J221">
            <v>800100518</v>
          </cell>
          <cell r="K221">
            <v>47402056</v>
          </cell>
        </row>
        <row r="222">
          <cell r="J222">
            <v>800100519</v>
          </cell>
          <cell r="K222">
            <v>79708514</v>
          </cell>
        </row>
        <row r="223">
          <cell r="J223">
            <v>800100521</v>
          </cell>
          <cell r="K223">
            <v>125758090</v>
          </cell>
        </row>
        <row r="224">
          <cell r="J224">
            <v>800100527</v>
          </cell>
          <cell r="K224">
            <v>386807411</v>
          </cell>
        </row>
        <row r="225">
          <cell r="J225">
            <v>800100529</v>
          </cell>
          <cell r="K225">
            <v>75458308</v>
          </cell>
        </row>
        <row r="226">
          <cell r="J226">
            <v>800100532</v>
          </cell>
          <cell r="K226">
            <v>41595426</v>
          </cell>
        </row>
        <row r="227">
          <cell r="J227">
            <v>800100533</v>
          </cell>
          <cell r="K227">
            <v>562242289</v>
          </cell>
        </row>
        <row r="228">
          <cell r="J228">
            <v>800100729</v>
          </cell>
          <cell r="K228">
            <v>411266447</v>
          </cell>
        </row>
        <row r="229">
          <cell r="J229">
            <v>800100747</v>
          </cell>
          <cell r="K229">
            <v>423216012</v>
          </cell>
        </row>
        <row r="230">
          <cell r="J230">
            <v>800100751</v>
          </cell>
          <cell r="K230">
            <v>355870404</v>
          </cell>
        </row>
        <row r="231">
          <cell r="J231">
            <v>800102798</v>
          </cell>
          <cell r="K231">
            <v>54401070</v>
          </cell>
        </row>
        <row r="232">
          <cell r="J232">
            <v>800102799</v>
          </cell>
          <cell r="K232">
            <v>821689166</v>
          </cell>
        </row>
        <row r="233">
          <cell r="J233">
            <v>800102801</v>
          </cell>
          <cell r="K233">
            <v>785550710</v>
          </cell>
        </row>
        <row r="234">
          <cell r="J234">
            <v>800102891</v>
          </cell>
          <cell r="K234">
            <v>155493061</v>
          </cell>
        </row>
        <row r="235">
          <cell r="J235">
            <v>800102896</v>
          </cell>
          <cell r="K235">
            <v>513946915</v>
          </cell>
        </row>
        <row r="236">
          <cell r="J236">
            <v>800102903</v>
          </cell>
          <cell r="K236">
            <v>61996194</v>
          </cell>
        </row>
        <row r="237">
          <cell r="J237">
            <v>800102912</v>
          </cell>
          <cell r="K237">
            <v>265940919</v>
          </cell>
        </row>
        <row r="238">
          <cell r="J238">
            <v>800103308</v>
          </cell>
          <cell r="K238">
            <v>180494443</v>
          </cell>
        </row>
        <row r="239">
          <cell r="J239">
            <v>800103318</v>
          </cell>
          <cell r="K239">
            <v>82524740</v>
          </cell>
        </row>
        <row r="240">
          <cell r="J240">
            <v>800104060</v>
          </cell>
          <cell r="K240">
            <v>69554959</v>
          </cell>
        </row>
        <row r="241">
          <cell r="J241">
            <v>800104062</v>
          </cell>
          <cell r="K241">
            <v>79514134</v>
          </cell>
        </row>
        <row r="242">
          <cell r="J242">
            <v>800108683</v>
          </cell>
          <cell r="K242">
            <v>638274061</v>
          </cell>
        </row>
        <row r="243">
          <cell r="J243">
            <v>800116284</v>
          </cell>
          <cell r="K243">
            <v>304976892</v>
          </cell>
        </row>
        <row r="244">
          <cell r="J244">
            <v>800117687</v>
          </cell>
          <cell r="K244">
            <v>284016236</v>
          </cell>
        </row>
        <row r="245">
          <cell r="J245">
            <v>800124166</v>
          </cell>
          <cell r="K245">
            <v>24993711</v>
          </cell>
        </row>
        <row r="246">
          <cell r="J246">
            <v>800131177</v>
          </cell>
          <cell r="K246">
            <v>36532003</v>
          </cell>
        </row>
        <row r="247">
          <cell r="J247">
            <v>800136069</v>
          </cell>
          <cell r="K247">
            <v>351771836</v>
          </cell>
        </row>
        <row r="248">
          <cell r="J248">
            <v>800138959</v>
          </cell>
          <cell r="K248">
            <v>185456787</v>
          </cell>
        </row>
        <row r="249">
          <cell r="J249">
            <v>800148720</v>
          </cell>
          <cell r="K249">
            <v>83502478</v>
          </cell>
        </row>
        <row r="250">
          <cell r="J250">
            <v>800188492</v>
          </cell>
          <cell r="K250">
            <v>10327540</v>
          </cell>
        </row>
        <row r="251">
          <cell r="J251">
            <v>800213967</v>
          </cell>
          <cell r="K251">
            <v>74629237</v>
          </cell>
        </row>
        <row r="252">
          <cell r="J252">
            <v>800222489</v>
          </cell>
          <cell r="K252">
            <v>264508568</v>
          </cell>
        </row>
        <row r="253">
          <cell r="J253">
            <v>800222498</v>
          </cell>
          <cell r="K253">
            <v>68504000</v>
          </cell>
        </row>
        <row r="254">
          <cell r="J254">
            <v>800222502</v>
          </cell>
          <cell r="K254">
            <v>161318029</v>
          </cell>
        </row>
        <row r="255">
          <cell r="J255">
            <v>800229887</v>
          </cell>
          <cell r="K255">
            <v>24243092</v>
          </cell>
        </row>
        <row r="256">
          <cell r="J256">
            <v>800245021</v>
          </cell>
          <cell r="K256">
            <v>138481388</v>
          </cell>
        </row>
        <row r="257">
          <cell r="J257">
            <v>800250853</v>
          </cell>
          <cell r="K257">
            <v>123377280</v>
          </cell>
        </row>
        <row r="258">
          <cell r="J258">
            <v>800252922</v>
          </cell>
          <cell r="K258">
            <v>165657126</v>
          </cell>
        </row>
        <row r="259">
          <cell r="J259">
            <v>800253526</v>
          </cell>
          <cell r="K259">
            <v>103286409</v>
          </cell>
        </row>
        <row r="260">
          <cell r="J260">
            <v>800254481</v>
          </cell>
          <cell r="K260">
            <v>106110504</v>
          </cell>
        </row>
        <row r="261">
          <cell r="J261">
            <v>800255213</v>
          </cell>
          <cell r="K261">
            <v>183667868</v>
          </cell>
        </row>
        <row r="262">
          <cell r="J262">
            <v>800255214</v>
          </cell>
          <cell r="K262">
            <v>60101071</v>
          </cell>
        </row>
        <row r="263">
          <cell r="J263">
            <v>806001274</v>
          </cell>
          <cell r="K263">
            <v>58239050</v>
          </cell>
        </row>
        <row r="264">
          <cell r="J264">
            <v>806001439</v>
          </cell>
          <cell r="K264">
            <v>31017050</v>
          </cell>
        </row>
        <row r="265">
          <cell r="J265">
            <v>806001937</v>
          </cell>
          <cell r="K265">
            <v>40495032</v>
          </cell>
        </row>
        <row r="266">
          <cell r="J266">
            <v>806004900</v>
          </cell>
          <cell r="K266">
            <v>134887792</v>
          </cell>
        </row>
        <row r="267">
          <cell r="J267">
            <v>809002637</v>
          </cell>
          <cell r="K267">
            <v>136144900</v>
          </cell>
        </row>
        <row r="268">
          <cell r="J268">
            <v>811009017</v>
          </cell>
          <cell r="K268">
            <v>33105453</v>
          </cell>
        </row>
        <row r="269">
          <cell r="J269">
            <v>812001675</v>
          </cell>
          <cell r="K269">
            <v>87755393</v>
          </cell>
        </row>
        <row r="270">
          <cell r="J270">
            <v>817002675</v>
          </cell>
          <cell r="K270">
            <v>124305869</v>
          </cell>
        </row>
        <row r="271">
          <cell r="J271">
            <v>819000985</v>
          </cell>
          <cell r="K271">
            <v>263940829</v>
          </cell>
        </row>
        <row r="272">
          <cell r="J272">
            <v>819003224</v>
          </cell>
          <cell r="K272">
            <v>363133031</v>
          </cell>
        </row>
        <row r="273">
          <cell r="J273">
            <v>819003225</v>
          </cell>
          <cell r="K273">
            <v>100306861</v>
          </cell>
        </row>
        <row r="274">
          <cell r="J274">
            <v>819003297</v>
          </cell>
          <cell r="K274">
            <v>1099946223</v>
          </cell>
        </row>
        <row r="275">
          <cell r="J275">
            <v>819003760</v>
          </cell>
          <cell r="K275">
            <v>177845799</v>
          </cell>
        </row>
        <row r="276">
          <cell r="J276">
            <v>823002595</v>
          </cell>
          <cell r="K276">
            <v>143235066</v>
          </cell>
        </row>
        <row r="277">
          <cell r="J277">
            <v>823003543</v>
          </cell>
          <cell r="K277">
            <v>97396083</v>
          </cell>
        </row>
        <row r="278">
          <cell r="J278">
            <v>824001624</v>
          </cell>
          <cell r="K278">
            <v>172717433</v>
          </cell>
        </row>
        <row r="279">
          <cell r="J279">
            <v>825000166</v>
          </cell>
          <cell r="K279">
            <v>9189553</v>
          </cell>
        </row>
        <row r="280">
          <cell r="J280">
            <v>825000676</v>
          </cell>
          <cell r="K280">
            <v>47772073</v>
          </cell>
        </row>
        <row r="281">
          <cell r="J281">
            <v>842000017</v>
          </cell>
          <cell r="K281">
            <v>461717015</v>
          </cell>
        </row>
        <row r="282">
          <cell r="J282">
            <v>860527046</v>
          </cell>
          <cell r="K282">
            <v>93543776</v>
          </cell>
        </row>
        <row r="283">
          <cell r="J283">
            <v>890000441</v>
          </cell>
          <cell r="K283">
            <v>170742574</v>
          </cell>
        </row>
        <row r="284">
          <cell r="J284">
            <v>890000464</v>
          </cell>
          <cell r="K284">
            <v>77077940</v>
          </cell>
        </row>
        <row r="285">
          <cell r="J285">
            <v>890000564</v>
          </cell>
          <cell r="K285">
            <v>118467833</v>
          </cell>
        </row>
        <row r="286">
          <cell r="J286">
            <v>890000858</v>
          </cell>
          <cell r="K286">
            <v>68765582</v>
          </cell>
        </row>
        <row r="287">
          <cell r="J287">
            <v>890001044</v>
          </cell>
          <cell r="K287">
            <v>318228701</v>
          </cell>
        </row>
        <row r="288">
          <cell r="J288">
            <v>890001061</v>
          </cell>
          <cell r="K288">
            <v>73717037</v>
          </cell>
        </row>
        <row r="289">
          <cell r="J289">
            <v>890001127</v>
          </cell>
          <cell r="K289">
            <v>87332014</v>
          </cell>
        </row>
        <row r="290">
          <cell r="J290">
            <v>890001181</v>
          </cell>
          <cell r="K290">
            <v>82792528</v>
          </cell>
        </row>
        <row r="291">
          <cell r="J291">
            <v>890001339</v>
          </cell>
          <cell r="K291">
            <v>100681050</v>
          </cell>
        </row>
        <row r="292">
          <cell r="J292">
            <v>890001879</v>
          </cell>
          <cell r="K292">
            <v>41945957</v>
          </cell>
        </row>
        <row r="293">
          <cell r="J293">
            <v>890072044</v>
          </cell>
          <cell r="K293">
            <v>109728709</v>
          </cell>
        </row>
        <row r="294">
          <cell r="J294">
            <v>890102018</v>
          </cell>
          <cell r="K294">
            <v>118791517</v>
          </cell>
        </row>
        <row r="295">
          <cell r="J295">
            <v>890103003</v>
          </cell>
          <cell r="K295">
            <v>384295832</v>
          </cell>
        </row>
        <row r="296">
          <cell r="J296">
            <v>890103962</v>
          </cell>
          <cell r="K296">
            <v>446374962</v>
          </cell>
        </row>
        <row r="297">
          <cell r="J297">
            <v>890106291</v>
          </cell>
          <cell r="K297">
            <v>275099035</v>
          </cell>
        </row>
        <row r="298">
          <cell r="J298">
            <v>890112371</v>
          </cell>
          <cell r="K298">
            <v>847224261</v>
          </cell>
        </row>
        <row r="299">
          <cell r="J299">
            <v>890115982</v>
          </cell>
          <cell r="K299">
            <v>102557394</v>
          </cell>
        </row>
        <row r="300">
          <cell r="J300">
            <v>890116159</v>
          </cell>
          <cell r="K300">
            <v>178410922</v>
          </cell>
        </row>
        <row r="301">
          <cell r="J301">
            <v>890116278</v>
          </cell>
          <cell r="K301">
            <v>131091076</v>
          </cell>
        </row>
        <row r="302">
          <cell r="J302">
            <v>890201190</v>
          </cell>
          <cell r="K302">
            <v>609354724</v>
          </cell>
        </row>
        <row r="303">
          <cell r="J303">
            <v>890203688</v>
          </cell>
          <cell r="K303">
            <v>183250926</v>
          </cell>
        </row>
        <row r="304">
          <cell r="J304">
            <v>890204138</v>
          </cell>
          <cell r="K304">
            <v>131468365</v>
          </cell>
        </row>
        <row r="305">
          <cell r="J305">
            <v>890204537</v>
          </cell>
          <cell r="K305">
            <v>142945770</v>
          </cell>
        </row>
        <row r="306">
          <cell r="J306">
            <v>890204643</v>
          </cell>
          <cell r="K306">
            <v>229609924</v>
          </cell>
        </row>
        <row r="307">
          <cell r="J307">
            <v>890204699</v>
          </cell>
          <cell r="K307">
            <v>27908081</v>
          </cell>
        </row>
        <row r="308">
          <cell r="J308">
            <v>890204802</v>
          </cell>
          <cell r="K308">
            <v>151364732</v>
          </cell>
        </row>
        <row r="309">
          <cell r="J309">
            <v>890205051</v>
          </cell>
          <cell r="K309">
            <v>41865431</v>
          </cell>
        </row>
        <row r="310">
          <cell r="J310">
            <v>890205058</v>
          </cell>
          <cell r="K310">
            <v>38014824</v>
          </cell>
        </row>
        <row r="311">
          <cell r="J311">
            <v>890205119</v>
          </cell>
          <cell r="K311">
            <v>75217651</v>
          </cell>
        </row>
        <row r="312">
          <cell r="J312">
            <v>890205124</v>
          </cell>
          <cell r="K312">
            <v>35875601</v>
          </cell>
        </row>
        <row r="313">
          <cell r="J313">
            <v>890205176</v>
          </cell>
          <cell r="K313">
            <v>892878036</v>
          </cell>
        </row>
        <row r="314">
          <cell r="J314">
            <v>890205308</v>
          </cell>
          <cell r="K314">
            <v>63364518</v>
          </cell>
        </row>
        <row r="315">
          <cell r="J315">
            <v>890205326</v>
          </cell>
          <cell r="K315">
            <v>29358957</v>
          </cell>
        </row>
        <row r="316">
          <cell r="J316">
            <v>890205334</v>
          </cell>
          <cell r="K316">
            <v>136634093</v>
          </cell>
        </row>
        <row r="317">
          <cell r="J317">
            <v>890205439</v>
          </cell>
          <cell r="K317">
            <v>29339859</v>
          </cell>
        </row>
        <row r="318">
          <cell r="J318">
            <v>890205581</v>
          </cell>
          <cell r="K318">
            <v>27277882</v>
          </cell>
        </row>
        <row r="319">
          <cell r="J319">
            <v>890205632</v>
          </cell>
          <cell r="K319">
            <v>174003120</v>
          </cell>
        </row>
        <row r="320">
          <cell r="J320">
            <v>890205973</v>
          </cell>
          <cell r="K320">
            <v>33029784</v>
          </cell>
        </row>
        <row r="321">
          <cell r="J321">
            <v>890206110</v>
          </cell>
          <cell r="K321">
            <v>537306927</v>
          </cell>
        </row>
        <row r="322">
          <cell r="J322">
            <v>890206250</v>
          </cell>
          <cell r="K322">
            <v>87595712</v>
          </cell>
        </row>
        <row r="323">
          <cell r="J323">
            <v>890206290</v>
          </cell>
          <cell r="K323">
            <v>35092485</v>
          </cell>
        </row>
        <row r="324">
          <cell r="J324">
            <v>890206722</v>
          </cell>
          <cell r="K324">
            <v>26235802</v>
          </cell>
        </row>
        <row r="325">
          <cell r="J325">
            <v>890207022</v>
          </cell>
          <cell r="K325">
            <v>65097972</v>
          </cell>
        </row>
        <row r="326">
          <cell r="J326">
            <v>890207790</v>
          </cell>
          <cell r="K326">
            <v>60866335</v>
          </cell>
        </row>
        <row r="327">
          <cell r="J327">
            <v>890208098</v>
          </cell>
          <cell r="K327">
            <v>59174324</v>
          </cell>
        </row>
        <row r="328">
          <cell r="J328">
            <v>890208119</v>
          </cell>
          <cell r="K328">
            <v>41250308</v>
          </cell>
        </row>
        <row r="329">
          <cell r="J329">
            <v>890208148</v>
          </cell>
          <cell r="K329">
            <v>52593474</v>
          </cell>
        </row>
        <row r="330">
          <cell r="J330">
            <v>890208360</v>
          </cell>
          <cell r="K330">
            <v>83651490</v>
          </cell>
        </row>
        <row r="331">
          <cell r="J331">
            <v>890208363</v>
          </cell>
          <cell r="K331">
            <v>15813138</v>
          </cell>
        </row>
        <row r="332">
          <cell r="J332">
            <v>890208676</v>
          </cell>
          <cell r="K332">
            <v>32792671</v>
          </cell>
        </row>
        <row r="333">
          <cell r="J333">
            <v>890208807</v>
          </cell>
          <cell r="K333">
            <v>154090801</v>
          </cell>
        </row>
        <row r="334">
          <cell r="J334">
            <v>890208947</v>
          </cell>
          <cell r="K334">
            <v>35539889</v>
          </cell>
        </row>
        <row r="335">
          <cell r="J335">
            <v>890209640</v>
          </cell>
          <cell r="K335">
            <v>87175645</v>
          </cell>
        </row>
        <row r="336">
          <cell r="J336">
            <v>890209889</v>
          </cell>
          <cell r="K336">
            <v>92371264</v>
          </cell>
        </row>
        <row r="337">
          <cell r="J337">
            <v>890210227</v>
          </cell>
          <cell r="K337">
            <v>19643415</v>
          </cell>
        </row>
        <row r="338">
          <cell r="J338">
            <v>890210438</v>
          </cell>
          <cell r="K338">
            <v>35685099</v>
          </cell>
        </row>
        <row r="339">
          <cell r="J339">
            <v>890210617</v>
          </cell>
          <cell r="K339">
            <v>106286840</v>
          </cell>
        </row>
        <row r="340">
          <cell r="J340">
            <v>890210704</v>
          </cell>
          <cell r="K340">
            <v>195830741</v>
          </cell>
        </row>
        <row r="341">
          <cell r="J341">
            <v>890210883</v>
          </cell>
          <cell r="K341">
            <v>102806712</v>
          </cell>
        </row>
        <row r="342">
          <cell r="J342">
            <v>890210890</v>
          </cell>
          <cell r="K342">
            <v>171928055</v>
          </cell>
        </row>
        <row r="343">
          <cell r="J343">
            <v>890210932</v>
          </cell>
          <cell r="K343">
            <v>105376446</v>
          </cell>
        </row>
        <row r="344">
          <cell r="J344">
            <v>890210945</v>
          </cell>
          <cell r="K344">
            <v>42845446</v>
          </cell>
        </row>
        <row r="345">
          <cell r="J345">
            <v>890210946</v>
          </cell>
          <cell r="K345">
            <v>49834189</v>
          </cell>
        </row>
        <row r="346">
          <cell r="J346">
            <v>890210947</v>
          </cell>
          <cell r="K346">
            <v>34360416</v>
          </cell>
        </row>
        <row r="347">
          <cell r="J347">
            <v>890210950</v>
          </cell>
          <cell r="K347">
            <v>35229974</v>
          </cell>
        </row>
        <row r="348">
          <cell r="J348">
            <v>890210951</v>
          </cell>
          <cell r="K348">
            <v>25153838</v>
          </cell>
        </row>
        <row r="349">
          <cell r="J349">
            <v>890270859</v>
          </cell>
          <cell r="K349">
            <v>444596369</v>
          </cell>
        </row>
        <row r="350">
          <cell r="J350">
            <v>890309611</v>
          </cell>
          <cell r="K350">
            <v>223741001</v>
          </cell>
        </row>
        <row r="351">
          <cell r="J351">
            <v>890399045</v>
          </cell>
          <cell r="K351">
            <v>134256843</v>
          </cell>
        </row>
        <row r="352">
          <cell r="J352">
            <v>890399046</v>
          </cell>
          <cell r="K352">
            <v>509159775</v>
          </cell>
        </row>
        <row r="353">
          <cell r="J353">
            <v>890480006</v>
          </cell>
          <cell r="K353">
            <v>333440823</v>
          </cell>
        </row>
        <row r="354">
          <cell r="J354">
            <v>890480069</v>
          </cell>
          <cell r="K354">
            <v>256754497</v>
          </cell>
        </row>
        <row r="355">
          <cell r="J355">
            <v>890480203</v>
          </cell>
          <cell r="K355">
            <v>201416403</v>
          </cell>
        </row>
        <row r="356">
          <cell r="J356">
            <v>890480254</v>
          </cell>
          <cell r="K356">
            <v>347613614</v>
          </cell>
        </row>
        <row r="357">
          <cell r="J357">
            <v>890480431</v>
          </cell>
          <cell r="K357">
            <v>78742057</v>
          </cell>
        </row>
        <row r="358">
          <cell r="J358">
            <v>890480643</v>
          </cell>
          <cell r="K358">
            <v>118392616</v>
          </cell>
        </row>
        <row r="359">
          <cell r="J359">
            <v>890481192</v>
          </cell>
          <cell r="K359">
            <v>143028556</v>
          </cell>
        </row>
        <row r="360">
          <cell r="J360">
            <v>890481295</v>
          </cell>
          <cell r="K360">
            <v>128855933</v>
          </cell>
        </row>
        <row r="361">
          <cell r="J361">
            <v>890481310</v>
          </cell>
          <cell r="K361">
            <v>152186664</v>
          </cell>
        </row>
        <row r="362">
          <cell r="J362">
            <v>890481343</v>
          </cell>
          <cell r="K362">
            <v>15499828</v>
          </cell>
        </row>
        <row r="363">
          <cell r="J363">
            <v>890481362</v>
          </cell>
          <cell r="K363">
            <v>448342459</v>
          </cell>
        </row>
        <row r="364">
          <cell r="J364">
            <v>890481447</v>
          </cell>
          <cell r="K364">
            <v>90860265</v>
          </cell>
        </row>
        <row r="365">
          <cell r="J365">
            <v>890501102</v>
          </cell>
          <cell r="K365">
            <v>732080624</v>
          </cell>
        </row>
        <row r="366">
          <cell r="J366">
            <v>890501362</v>
          </cell>
          <cell r="K366">
            <v>273082180</v>
          </cell>
        </row>
        <row r="367">
          <cell r="J367">
            <v>890501404</v>
          </cell>
          <cell r="K367">
            <v>68676914</v>
          </cell>
        </row>
        <row r="368">
          <cell r="J368">
            <v>890501422</v>
          </cell>
          <cell r="K368">
            <v>154679638</v>
          </cell>
        </row>
        <row r="369">
          <cell r="J369">
            <v>890501434</v>
          </cell>
          <cell r="K369">
            <v>1020131443</v>
          </cell>
        </row>
        <row r="370">
          <cell r="J370">
            <v>890501436</v>
          </cell>
          <cell r="K370">
            <v>140225220</v>
          </cell>
        </row>
        <row r="371">
          <cell r="J371">
            <v>890501549</v>
          </cell>
          <cell r="K371">
            <v>89025505</v>
          </cell>
        </row>
        <row r="372">
          <cell r="J372">
            <v>890501776</v>
          </cell>
          <cell r="K372">
            <v>107388518</v>
          </cell>
        </row>
        <row r="373">
          <cell r="J373">
            <v>890501981</v>
          </cell>
          <cell r="K373">
            <v>80962768</v>
          </cell>
        </row>
        <row r="374">
          <cell r="J374">
            <v>890502611</v>
          </cell>
          <cell r="K374">
            <v>55326276</v>
          </cell>
        </row>
        <row r="375">
          <cell r="J375">
            <v>890503106</v>
          </cell>
          <cell r="K375">
            <v>243011424</v>
          </cell>
        </row>
        <row r="376">
          <cell r="J376">
            <v>890503233</v>
          </cell>
          <cell r="K376">
            <v>63056318</v>
          </cell>
        </row>
        <row r="377">
          <cell r="J377">
            <v>890503483</v>
          </cell>
          <cell r="K377">
            <v>44841724</v>
          </cell>
        </row>
        <row r="378">
          <cell r="J378">
            <v>890503680</v>
          </cell>
          <cell r="K378">
            <v>82988126</v>
          </cell>
        </row>
        <row r="379">
          <cell r="J379">
            <v>890504612</v>
          </cell>
          <cell r="K379">
            <v>333954754</v>
          </cell>
        </row>
        <row r="380">
          <cell r="J380">
            <v>890505662</v>
          </cell>
          <cell r="K380">
            <v>105765204</v>
          </cell>
        </row>
        <row r="381">
          <cell r="J381">
            <v>890506116</v>
          </cell>
          <cell r="K381">
            <v>37665089</v>
          </cell>
        </row>
        <row r="382">
          <cell r="J382">
            <v>890506128</v>
          </cell>
          <cell r="K382">
            <v>67584600</v>
          </cell>
        </row>
        <row r="383">
          <cell r="J383">
            <v>890680162</v>
          </cell>
          <cell r="K383">
            <v>337849785</v>
          </cell>
        </row>
        <row r="384">
          <cell r="J384">
            <v>890700842</v>
          </cell>
          <cell r="K384">
            <v>157713075</v>
          </cell>
        </row>
        <row r="385">
          <cell r="J385">
            <v>890700859</v>
          </cell>
          <cell r="K385">
            <v>305175770</v>
          </cell>
        </row>
        <row r="386">
          <cell r="J386">
            <v>890700911</v>
          </cell>
          <cell r="K386">
            <v>114618688</v>
          </cell>
        </row>
        <row r="387">
          <cell r="J387">
            <v>890700942</v>
          </cell>
          <cell r="K387">
            <v>150284929</v>
          </cell>
        </row>
        <row r="388">
          <cell r="J388">
            <v>890700961</v>
          </cell>
          <cell r="K388">
            <v>123740417</v>
          </cell>
        </row>
        <row r="389">
          <cell r="J389">
            <v>890700978</v>
          </cell>
          <cell r="K389">
            <v>49181326</v>
          </cell>
        </row>
        <row r="390">
          <cell r="J390">
            <v>890700982</v>
          </cell>
          <cell r="K390">
            <v>177721282</v>
          </cell>
        </row>
        <row r="391">
          <cell r="J391">
            <v>890701077</v>
          </cell>
          <cell r="K391">
            <v>98660792</v>
          </cell>
        </row>
        <row r="392">
          <cell r="J392">
            <v>890702017</v>
          </cell>
          <cell r="K392">
            <v>73083783</v>
          </cell>
        </row>
        <row r="393">
          <cell r="J393">
            <v>890702018</v>
          </cell>
          <cell r="K393">
            <v>171448041</v>
          </cell>
        </row>
        <row r="394">
          <cell r="J394">
            <v>890702021</v>
          </cell>
          <cell r="K394">
            <v>106709090</v>
          </cell>
        </row>
        <row r="395">
          <cell r="J395">
            <v>890702023</v>
          </cell>
          <cell r="K395">
            <v>523410309</v>
          </cell>
        </row>
        <row r="396">
          <cell r="J396">
            <v>890702026</v>
          </cell>
          <cell r="K396">
            <v>131162223</v>
          </cell>
        </row>
        <row r="397">
          <cell r="J397">
            <v>890702027</v>
          </cell>
          <cell r="K397">
            <v>42532970</v>
          </cell>
        </row>
        <row r="398">
          <cell r="J398">
            <v>890702038</v>
          </cell>
          <cell r="K398">
            <v>136506266</v>
          </cell>
        </row>
        <row r="399">
          <cell r="J399">
            <v>890702040</v>
          </cell>
          <cell r="K399">
            <v>408298324</v>
          </cell>
        </row>
        <row r="400">
          <cell r="J400">
            <v>890801130</v>
          </cell>
          <cell r="K400">
            <v>257909118</v>
          </cell>
        </row>
        <row r="401">
          <cell r="J401">
            <v>890801131</v>
          </cell>
          <cell r="K401">
            <v>77548860</v>
          </cell>
        </row>
        <row r="402">
          <cell r="J402">
            <v>890801143</v>
          </cell>
          <cell r="K402">
            <v>87455560</v>
          </cell>
        </row>
        <row r="403">
          <cell r="J403">
            <v>890905211</v>
          </cell>
          <cell r="K403">
            <v>482470383</v>
          </cell>
        </row>
        <row r="404">
          <cell r="J404">
            <v>890907569</v>
          </cell>
          <cell r="K404">
            <v>352296021</v>
          </cell>
        </row>
        <row r="405">
          <cell r="J405">
            <v>890910913</v>
          </cell>
          <cell r="K405">
            <v>114170074</v>
          </cell>
        </row>
        <row r="406">
          <cell r="J406">
            <v>890920814</v>
          </cell>
          <cell r="K406">
            <v>195197066</v>
          </cell>
        </row>
        <row r="407">
          <cell r="J407">
            <v>890980094</v>
          </cell>
          <cell r="K407">
            <v>371537160</v>
          </cell>
        </row>
        <row r="408">
          <cell r="J408">
            <v>890980096</v>
          </cell>
          <cell r="K408">
            <v>268153906</v>
          </cell>
        </row>
        <row r="409">
          <cell r="J409">
            <v>890980112</v>
          </cell>
          <cell r="K409">
            <v>82077315</v>
          </cell>
        </row>
        <row r="410">
          <cell r="J410">
            <v>890980330</v>
          </cell>
          <cell r="K410">
            <v>93472896</v>
          </cell>
        </row>
        <row r="411">
          <cell r="J411">
            <v>890980447</v>
          </cell>
          <cell r="K411">
            <v>471966572</v>
          </cell>
        </row>
        <row r="412">
          <cell r="J412">
            <v>890980767</v>
          </cell>
          <cell r="K412">
            <v>345267665</v>
          </cell>
        </row>
        <row r="413">
          <cell r="J413">
            <v>890980781</v>
          </cell>
          <cell r="K413">
            <v>80758620</v>
          </cell>
        </row>
        <row r="414">
          <cell r="J414">
            <v>890980802</v>
          </cell>
          <cell r="K414">
            <v>132657968</v>
          </cell>
        </row>
        <row r="415">
          <cell r="J415">
            <v>890980807</v>
          </cell>
          <cell r="K415">
            <v>78969478</v>
          </cell>
        </row>
        <row r="416">
          <cell r="J416">
            <v>890980850</v>
          </cell>
          <cell r="K416">
            <v>297494773</v>
          </cell>
        </row>
        <row r="417">
          <cell r="J417">
            <v>890980917</v>
          </cell>
          <cell r="K417">
            <v>214314205</v>
          </cell>
        </row>
        <row r="418">
          <cell r="J418">
            <v>890980950</v>
          </cell>
          <cell r="K418">
            <v>326313901</v>
          </cell>
        </row>
        <row r="419">
          <cell r="J419">
            <v>890980958</v>
          </cell>
          <cell r="K419">
            <v>132891377</v>
          </cell>
        </row>
        <row r="420">
          <cell r="J420">
            <v>890980998</v>
          </cell>
          <cell r="K420">
            <v>355637368</v>
          </cell>
        </row>
        <row r="421">
          <cell r="J421">
            <v>890981000</v>
          </cell>
          <cell r="K421">
            <v>210304322</v>
          </cell>
        </row>
        <row r="422">
          <cell r="J422">
            <v>890981069</v>
          </cell>
          <cell r="K422">
            <v>121591286</v>
          </cell>
        </row>
        <row r="423">
          <cell r="J423">
            <v>890981080</v>
          </cell>
          <cell r="K423">
            <v>200743627</v>
          </cell>
        </row>
        <row r="424">
          <cell r="J424">
            <v>890981105</v>
          </cell>
          <cell r="K424">
            <v>99188885</v>
          </cell>
        </row>
        <row r="425">
          <cell r="J425">
            <v>890981106</v>
          </cell>
          <cell r="K425">
            <v>260075606</v>
          </cell>
        </row>
        <row r="426">
          <cell r="J426">
            <v>890981107</v>
          </cell>
          <cell r="K426">
            <v>49089568</v>
          </cell>
        </row>
        <row r="427">
          <cell r="J427">
            <v>890981115</v>
          </cell>
          <cell r="K427">
            <v>75997856</v>
          </cell>
        </row>
        <row r="428">
          <cell r="J428">
            <v>890981138</v>
          </cell>
          <cell r="K428">
            <v>92150650</v>
          </cell>
        </row>
        <row r="429">
          <cell r="J429">
            <v>890981150</v>
          </cell>
          <cell r="K429">
            <v>421679786</v>
          </cell>
        </row>
        <row r="430">
          <cell r="J430">
            <v>890981162</v>
          </cell>
          <cell r="K430">
            <v>87669867</v>
          </cell>
        </row>
        <row r="431">
          <cell r="J431">
            <v>890981207</v>
          </cell>
          <cell r="K431">
            <v>299454394</v>
          </cell>
        </row>
        <row r="432">
          <cell r="J432">
            <v>890981238</v>
          </cell>
          <cell r="K432">
            <v>66896464</v>
          </cell>
        </row>
        <row r="433">
          <cell r="J433">
            <v>890981367</v>
          </cell>
          <cell r="K433">
            <v>95982757</v>
          </cell>
        </row>
        <row r="434">
          <cell r="J434">
            <v>890981391</v>
          </cell>
          <cell r="K434">
            <v>502889898</v>
          </cell>
        </row>
        <row r="435">
          <cell r="J435">
            <v>890981493</v>
          </cell>
          <cell r="K435">
            <v>79880628</v>
          </cell>
        </row>
        <row r="436">
          <cell r="J436">
            <v>890981732</v>
          </cell>
          <cell r="K436">
            <v>300867198</v>
          </cell>
        </row>
        <row r="437">
          <cell r="J437">
            <v>890981786</v>
          </cell>
          <cell r="K437">
            <v>114474878</v>
          </cell>
        </row>
        <row r="438">
          <cell r="J438">
            <v>890981868</v>
          </cell>
          <cell r="K438">
            <v>103780690</v>
          </cell>
        </row>
        <row r="439">
          <cell r="J439">
            <v>890981880</v>
          </cell>
          <cell r="K439">
            <v>77255401</v>
          </cell>
        </row>
        <row r="440">
          <cell r="J440">
            <v>890982055</v>
          </cell>
          <cell r="K440">
            <v>365054837</v>
          </cell>
        </row>
        <row r="441">
          <cell r="J441">
            <v>890982123</v>
          </cell>
          <cell r="K441">
            <v>157453138</v>
          </cell>
        </row>
        <row r="442">
          <cell r="J442">
            <v>890982141</v>
          </cell>
          <cell r="K442">
            <v>155025868</v>
          </cell>
        </row>
        <row r="443">
          <cell r="J443">
            <v>890982147</v>
          </cell>
          <cell r="K443">
            <v>129878524</v>
          </cell>
        </row>
        <row r="444">
          <cell r="J444">
            <v>890982238</v>
          </cell>
          <cell r="K444">
            <v>221475872</v>
          </cell>
        </row>
        <row r="445">
          <cell r="J445">
            <v>890982278</v>
          </cell>
          <cell r="K445">
            <v>405350422</v>
          </cell>
        </row>
        <row r="446">
          <cell r="J446">
            <v>890982301</v>
          </cell>
          <cell r="K446">
            <v>126411338</v>
          </cell>
        </row>
        <row r="447">
          <cell r="J447">
            <v>890982321</v>
          </cell>
          <cell r="K447">
            <v>67534596</v>
          </cell>
        </row>
        <row r="448">
          <cell r="J448">
            <v>890982489</v>
          </cell>
          <cell r="K448">
            <v>238370014</v>
          </cell>
        </row>
        <row r="449">
          <cell r="J449">
            <v>890982494</v>
          </cell>
          <cell r="K449">
            <v>74707749</v>
          </cell>
        </row>
        <row r="450">
          <cell r="J450">
            <v>890982506</v>
          </cell>
          <cell r="K450">
            <v>250267807</v>
          </cell>
        </row>
        <row r="451">
          <cell r="J451">
            <v>890982566</v>
          </cell>
          <cell r="K451">
            <v>156049340</v>
          </cell>
        </row>
        <row r="452">
          <cell r="J452">
            <v>890982583</v>
          </cell>
          <cell r="K452">
            <v>78243604</v>
          </cell>
        </row>
        <row r="453">
          <cell r="J453">
            <v>890982616</v>
          </cell>
          <cell r="K453">
            <v>49914936</v>
          </cell>
        </row>
        <row r="454">
          <cell r="J454">
            <v>890983664</v>
          </cell>
          <cell r="K454">
            <v>162555251</v>
          </cell>
        </row>
        <row r="455">
          <cell r="J455">
            <v>890983672</v>
          </cell>
          <cell r="K455">
            <v>160909022</v>
          </cell>
        </row>
        <row r="456">
          <cell r="J456">
            <v>890983701</v>
          </cell>
          <cell r="K456">
            <v>44934229</v>
          </cell>
        </row>
        <row r="457">
          <cell r="J457">
            <v>890983706</v>
          </cell>
          <cell r="K457">
            <v>41002011</v>
          </cell>
        </row>
        <row r="458">
          <cell r="J458">
            <v>890983716</v>
          </cell>
          <cell r="K458">
            <v>261253989</v>
          </cell>
        </row>
        <row r="459">
          <cell r="J459">
            <v>890983718</v>
          </cell>
          <cell r="K459">
            <v>43289221</v>
          </cell>
        </row>
        <row r="460">
          <cell r="J460">
            <v>890983736</v>
          </cell>
          <cell r="K460">
            <v>130154951</v>
          </cell>
        </row>
        <row r="461">
          <cell r="J461">
            <v>890983740</v>
          </cell>
          <cell r="K461">
            <v>211518500</v>
          </cell>
        </row>
        <row r="462">
          <cell r="J462">
            <v>890983763</v>
          </cell>
          <cell r="K462">
            <v>45174517</v>
          </cell>
        </row>
        <row r="463">
          <cell r="J463">
            <v>890983786</v>
          </cell>
          <cell r="K463">
            <v>90787692</v>
          </cell>
        </row>
        <row r="464">
          <cell r="J464">
            <v>890983803</v>
          </cell>
          <cell r="K464">
            <v>212126486</v>
          </cell>
        </row>
        <row r="465">
          <cell r="J465">
            <v>890983808</v>
          </cell>
          <cell r="K465">
            <v>117767683</v>
          </cell>
        </row>
        <row r="466">
          <cell r="J466">
            <v>890983813</v>
          </cell>
          <cell r="K466">
            <v>263394022</v>
          </cell>
        </row>
        <row r="467">
          <cell r="J467">
            <v>890983814</v>
          </cell>
          <cell r="K467">
            <v>570585770</v>
          </cell>
        </row>
        <row r="468">
          <cell r="J468">
            <v>890983824</v>
          </cell>
          <cell r="K468">
            <v>97874861</v>
          </cell>
        </row>
        <row r="469">
          <cell r="J469">
            <v>890983830</v>
          </cell>
          <cell r="K469">
            <v>94236391</v>
          </cell>
        </row>
        <row r="470">
          <cell r="J470">
            <v>890983873</v>
          </cell>
          <cell r="K470">
            <v>987459059</v>
          </cell>
        </row>
        <row r="471">
          <cell r="J471">
            <v>890983906</v>
          </cell>
          <cell r="K471">
            <v>283786388</v>
          </cell>
        </row>
        <row r="472">
          <cell r="J472">
            <v>890983922</v>
          </cell>
          <cell r="K472">
            <v>388739333</v>
          </cell>
        </row>
        <row r="473">
          <cell r="J473">
            <v>890983938</v>
          </cell>
          <cell r="K473">
            <v>113489369</v>
          </cell>
        </row>
        <row r="474">
          <cell r="J474">
            <v>890984043</v>
          </cell>
          <cell r="K474">
            <v>212678584</v>
          </cell>
        </row>
        <row r="475">
          <cell r="J475">
            <v>890984068</v>
          </cell>
          <cell r="K475">
            <v>52266030</v>
          </cell>
        </row>
        <row r="476">
          <cell r="J476">
            <v>890984132</v>
          </cell>
          <cell r="K476">
            <v>63100575</v>
          </cell>
        </row>
        <row r="477">
          <cell r="J477">
            <v>890984161</v>
          </cell>
          <cell r="K477">
            <v>46486544</v>
          </cell>
        </row>
        <row r="478">
          <cell r="J478">
            <v>890984186</v>
          </cell>
          <cell r="K478">
            <v>66160249</v>
          </cell>
        </row>
        <row r="479">
          <cell r="J479">
            <v>890984221</v>
          </cell>
          <cell r="K479">
            <v>642722350</v>
          </cell>
        </row>
        <row r="480">
          <cell r="J480">
            <v>890984224</v>
          </cell>
          <cell r="K480">
            <v>113387085</v>
          </cell>
        </row>
        <row r="481">
          <cell r="J481">
            <v>890984265</v>
          </cell>
          <cell r="K481">
            <v>250479459</v>
          </cell>
        </row>
        <row r="482">
          <cell r="J482">
            <v>890984295</v>
          </cell>
          <cell r="K482">
            <v>503450070</v>
          </cell>
        </row>
        <row r="483">
          <cell r="J483">
            <v>890984312</v>
          </cell>
          <cell r="K483">
            <v>481763802</v>
          </cell>
        </row>
        <row r="484">
          <cell r="J484">
            <v>890984376</v>
          </cell>
          <cell r="K484">
            <v>88232376</v>
          </cell>
        </row>
        <row r="485">
          <cell r="J485">
            <v>890984634</v>
          </cell>
          <cell r="K485">
            <v>233433387</v>
          </cell>
        </row>
        <row r="486">
          <cell r="J486">
            <v>890985285</v>
          </cell>
          <cell r="K486">
            <v>209646495</v>
          </cell>
        </row>
        <row r="487">
          <cell r="J487">
            <v>890985354</v>
          </cell>
          <cell r="K487">
            <v>392560881</v>
          </cell>
        </row>
        <row r="488">
          <cell r="J488">
            <v>890985623</v>
          </cell>
          <cell r="K488">
            <v>645262433</v>
          </cell>
        </row>
        <row r="489">
          <cell r="J489">
            <v>891102764</v>
          </cell>
          <cell r="K489">
            <v>206854243</v>
          </cell>
        </row>
        <row r="490">
          <cell r="J490">
            <v>891102844</v>
          </cell>
          <cell r="K490">
            <v>110625395</v>
          </cell>
        </row>
        <row r="491">
          <cell r="J491">
            <v>891180009</v>
          </cell>
          <cell r="K491">
            <v>527618082</v>
          </cell>
        </row>
        <row r="492">
          <cell r="J492">
            <v>891180019</v>
          </cell>
          <cell r="K492">
            <v>98886291</v>
          </cell>
        </row>
        <row r="493">
          <cell r="J493">
            <v>891180024</v>
          </cell>
          <cell r="K493">
            <v>379996287</v>
          </cell>
        </row>
        <row r="494">
          <cell r="J494">
            <v>891180028</v>
          </cell>
          <cell r="K494">
            <v>107047479</v>
          </cell>
        </row>
        <row r="495">
          <cell r="J495">
            <v>891180040</v>
          </cell>
          <cell r="K495">
            <v>121709835</v>
          </cell>
        </row>
        <row r="496">
          <cell r="J496">
            <v>891180056</v>
          </cell>
          <cell r="K496">
            <v>480705104</v>
          </cell>
        </row>
        <row r="497">
          <cell r="J497">
            <v>891180069</v>
          </cell>
          <cell r="K497">
            <v>552179728</v>
          </cell>
        </row>
        <row r="498">
          <cell r="J498">
            <v>891180070</v>
          </cell>
          <cell r="K498">
            <v>197075971</v>
          </cell>
        </row>
        <row r="499">
          <cell r="J499">
            <v>891180076</v>
          </cell>
          <cell r="K499">
            <v>174495129</v>
          </cell>
        </row>
        <row r="500">
          <cell r="J500">
            <v>891180118</v>
          </cell>
          <cell r="K500">
            <v>52571091</v>
          </cell>
        </row>
        <row r="501">
          <cell r="J501">
            <v>891180127</v>
          </cell>
          <cell r="K501">
            <v>75132539</v>
          </cell>
        </row>
        <row r="502">
          <cell r="J502">
            <v>891180131</v>
          </cell>
          <cell r="K502">
            <v>108271044</v>
          </cell>
        </row>
        <row r="503">
          <cell r="J503">
            <v>891180132</v>
          </cell>
          <cell r="K503">
            <v>62341337</v>
          </cell>
        </row>
        <row r="504">
          <cell r="J504">
            <v>891180139</v>
          </cell>
          <cell r="K504">
            <v>160601269</v>
          </cell>
        </row>
        <row r="505">
          <cell r="J505">
            <v>891180155</v>
          </cell>
          <cell r="K505">
            <v>787386918</v>
          </cell>
        </row>
        <row r="506">
          <cell r="J506">
            <v>891180176</v>
          </cell>
          <cell r="K506">
            <v>428424160</v>
          </cell>
        </row>
        <row r="507">
          <cell r="J507">
            <v>891180177</v>
          </cell>
          <cell r="K507">
            <v>314706960</v>
          </cell>
        </row>
        <row r="508">
          <cell r="J508">
            <v>891180179</v>
          </cell>
          <cell r="K508">
            <v>111988192</v>
          </cell>
        </row>
        <row r="509">
          <cell r="J509">
            <v>891180180</v>
          </cell>
          <cell r="K509">
            <v>220949308</v>
          </cell>
        </row>
        <row r="510">
          <cell r="J510">
            <v>891180181</v>
          </cell>
          <cell r="K510">
            <v>108422345</v>
          </cell>
        </row>
        <row r="511">
          <cell r="J511">
            <v>891180182</v>
          </cell>
          <cell r="K511">
            <v>326867162</v>
          </cell>
        </row>
        <row r="512">
          <cell r="J512">
            <v>891180183</v>
          </cell>
          <cell r="K512">
            <v>82598451</v>
          </cell>
        </row>
        <row r="513">
          <cell r="J513">
            <v>891180187</v>
          </cell>
          <cell r="K513">
            <v>96636642</v>
          </cell>
        </row>
        <row r="514">
          <cell r="J514">
            <v>891180191</v>
          </cell>
          <cell r="K514">
            <v>372119955</v>
          </cell>
        </row>
        <row r="515">
          <cell r="J515">
            <v>891180194</v>
          </cell>
          <cell r="K515">
            <v>95999155</v>
          </cell>
        </row>
        <row r="516">
          <cell r="J516">
            <v>891180199</v>
          </cell>
          <cell r="K516">
            <v>237991190</v>
          </cell>
        </row>
        <row r="517">
          <cell r="J517">
            <v>891180205</v>
          </cell>
          <cell r="K517">
            <v>223449780</v>
          </cell>
        </row>
        <row r="518">
          <cell r="J518">
            <v>891180211</v>
          </cell>
          <cell r="K518">
            <v>327530639</v>
          </cell>
        </row>
        <row r="519">
          <cell r="J519">
            <v>891190431</v>
          </cell>
          <cell r="K519">
            <v>89801185</v>
          </cell>
        </row>
        <row r="520">
          <cell r="J520">
            <v>891200461</v>
          </cell>
          <cell r="K520">
            <v>296215970</v>
          </cell>
        </row>
        <row r="521">
          <cell r="J521">
            <v>891200513</v>
          </cell>
          <cell r="K521">
            <v>304478033</v>
          </cell>
        </row>
        <row r="522">
          <cell r="J522">
            <v>891280000</v>
          </cell>
          <cell r="K522">
            <v>401735692</v>
          </cell>
        </row>
        <row r="523">
          <cell r="J523">
            <v>891380007</v>
          </cell>
          <cell r="K523">
            <v>66180672</v>
          </cell>
        </row>
        <row r="524">
          <cell r="J524">
            <v>891380038</v>
          </cell>
          <cell r="K524">
            <v>206399806</v>
          </cell>
        </row>
        <row r="525">
          <cell r="J525">
            <v>891380089</v>
          </cell>
          <cell r="K525">
            <v>383267128</v>
          </cell>
        </row>
        <row r="526">
          <cell r="J526">
            <v>891380115</v>
          </cell>
          <cell r="K526">
            <v>615450100</v>
          </cell>
        </row>
        <row r="527">
          <cell r="J527">
            <v>891480022</v>
          </cell>
          <cell r="K527">
            <v>195347256</v>
          </cell>
        </row>
        <row r="528">
          <cell r="J528">
            <v>891480024</v>
          </cell>
          <cell r="K528">
            <v>47960209</v>
          </cell>
        </row>
        <row r="529">
          <cell r="J529">
            <v>891480025</v>
          </cell>
          <cell r="K529">
            <v>52665492</v>
          </cell>
        </row>
        <row r="530">
          <cell r="J530">
            <v>891480026</v>
          </cell>
          <cell r="K530">
            <v>83513234</v>
          </cell>
        </row>
        <row r="531">
          <cell r="J531">
            <v>891480030</v>
          </cell>
          <cell r="K531">
            <v>50243057</v>
          </cell>
        </row>
        <row r="532">
          <cell r="J532">
            <v>891480031</v>
          </cell>
          <cell r="K532">
            <v>333339001</v>
          </cell>
        </row>
        <row r="533">
          <cell r="J533">
            <v>891480033</v>
          </cell>
          <cell r="K533">
            <v>222339069</v>
          </cell>
        </row>
        <row r="534">
          <cell r="J534">
            <v>891500269</v>
          </cell>
          <cell r="K534">
            <v>71279270</v>
          </cell>
        </row>
        <row r="535">
          <cell r="J535">
            <v>891500580</v>
          </cell>
          <cell r="K535">
            <v>325800203</v>
          </cell>
        </row>
        <row r="536">
          <cell r="J536">
            <v>891500725</v>
          </cell>
          <cell r="K536">
            <v>354038940</v>
          </cell>
        </row>
        <row r="537">
          <cell r="J537">
            <v>891500742</v>
          </cell>
          <cell r="K537">
            <v>412627379</v>
          </cell>
        </row>
        <row r="538">
          <cell r="J538">
            <v>891500841</v>
          </cell>
          <cell r="K538">
            <v>102650177</v>
          </cell>
        </row>
        <row r="539">
          <cell r="J539">
            <v>891500856</v>
          </cell>
          <cell r="K539">
            <v>502115636</v>
          </cell>
        </row>
        <row r="540">
          <cell r="J540">
            <v>891500864</v>
          </cell>
          <cell r="K540">
            <v>95250546</v>
          </cell>
        </row>
        <row r="541">
          <cell r="J541">
            <v>891500869</v>
          </cell>
          <cell r="K541">
            <v>247802695</v>
          </cell>
        </row>
        <row r="542">
          <cell r="J542">
            <v>891500978</v>
          </cell>
          <cell r="K542">
            <v>367735282</v>
          </cell>
        </row>
        <row r="543">
          <cell r="J543">
            <v>891500982</v>
          </cell>
          <cell r="K543">
            <v>230559972</v>
          </cell>
        </row>
        <row r="544">
          <cell r="J544">
            <v>891500997</v>
          </cell>
          <cell r="K544">
            <v>198836848</v>
          </cell>
        </row>
        <row r="545">
          <cell r="J545">
            <v>891501277</v>
          </cell>
          <cell r="K545">
            <v>10568277</v>
          </cell>
        </row>
        <row r="546">
          <cell r="J546">
            <v>891501283</v>
          </cell>
          <cell r="K546">
            <v>288702327</v>
          </cell>
        </row>
        <row r="547">
          <cell r="J547">
            <v>891501292</v>
          </cell>
          <cell r="K547">
            <v>367219037</v>
          </cell>
        </row>
        <row r="548">
          <cell r="J548">
            <v>891501723</v>
          </cell>
          <cell r="K548">
            <v>226219772</v>
          </cell>
        </row>
        <row r="549">
          <cell r="J549">
            <v>891502169</v>
          </cell>
          <cell r="K549">
            <v>89551340</v>
          </cell>
        </row>
        <row r="550">
          <cell r="J550">
            <v>891502194</v>
          </cell>
          <cell r="K550">
            <v>454918575</v>
          </cell>
        </row>
        <row r="551">
          <cell r="J551">
            <v>891502307</v>
          </cell>
          <cell r="K551">
            <v>221410174</v>
          </cell>
        </row>
        <row r="552">
          <cell r="J552">
            <v>891502397</v>
          </cell>
          <cell r="K552">
            <v>233432446</v>
          </cell>
        </row>
        <row r="553">
          <cell r="J553">
            <v>891502482</v>
          </cell>
          <cell r="K553">
            <v>95544940</v>
          </cell>
        </row>
        <row r="554">
          <cell r="J554">
            <v>891502664</v>
          </cell>
          <cell r="K554">
            <v>183830597</v>
          </cell>
        </row>
        <row r="555">
          <cell r="J555">
            <v>891580006</v>
          </cell>
          <cell r="K555">
            <v>532985815</v>
          </cell>
        </row>
        <row r="556">
          <cell r="J556">
            <v>891680011</v>
          </cell>
          <cell r="K556">
            <v>658832398</v>
          </cell>
        </row>
        <row r="557">
          <cell r="J557">
            <v>891702186</v>
          </cell>
          <cell r="K557">
            <v>260683594</v>
          </cell>
        </row>
        <row r="558">
          <cell r="J558">
            <v>891703045</v>
          </cell>
          <cell r="K558">
            <v>573831709</v>
          </cell>
        </row>
        <row r="559">
          <cell r="J559">
            <v>891780009</v>
          </cell>
          <cell r="K559">
            <v>540590789</v>
          </cell>
        </row>
        <row r="560">
          <cell r="J560">
            <v>891780041</v>
          </cell>
          <cell r="K560">
            <v>494213191</v>
          </cell>
        </row>
        <row r="561">
          <cell r="J561">
            <v>891780042</v>
          </cell>
          <cell r="K561">
            <v>150942913</v>
          </cell>
        </row>
        <row r="562">
          <cell r="J562">
            <v>891780043</v>
          </cell>
          <cell r="K562">
            <v>614556997</v>
          </cell>
        </row>
        <row r="563">
          <cell r="J563">
            <v>891780044</v>
          </cell>
          <cell r="K563">
            <v>806485719</v>
          </cell>
        </row>
        <row r="564">
          <cell r="J564">
            <v>891780045</v>
          </cell>
          <cell r="K564">
            <v>244218764</v>
          </cell>
        </row>
        <row r="565">
          <cell r="J565">
            <v>891780047</v>
          </cell>
          <cell r="K565">
            <v>461823986</v>
          </cell>
        </row>
        <row r="566">
          <cell r="J566">
            <v>891780048</v>
          </cell>
          <cell r="K566">
            <v>9752572</v>
          </cell>
        </row>
        <row r="567">
          <cell r="J567">
            <v>891780049</v>
          </cell>
          <cell r="K567">
            <v>65915154</v>
          </cell>
        </row>
        <row r="568">
          <cell r="J568">
            <v>891780050</v>
          </cell>
          <cell r="K568">
            <v>120746543</v>
          </cell>
        </row>
        <row r="569">
          <cell r="J569">
            <v>891780051</v>
          </cell>
          <cell r="K569">
            <v>302175842</v>
          </cell>
        </row>
        <row r="570">
          <cell r="J570">
            <v>891780052</v>
          </cell>
          <cell r="K570">
            <v>95268443</v>
          </cell>
        </row>
        <row r="571">
          <cell r="J571">
            <v>891780054</v>
          </cell>
          <cell r="K571">
            <v>59176186</v>
          </cell>
        </row>
        <row r="572">
          <cell r="J572">
            <v>891780055</v>
          </cell>
          <cell r="K572">
            <v>168359700</v>
          </cell>
        </row>
        <row r="573">
          <cell r="J573">
            <v>891780056</v>
          </cell>
          <cell r="K573">
            <v>490419491</v>
          </cell>
        </row>
        <row r="574">
          <cell r="J574">
            <v>891780057</v>
          </cell>
          <cell r="K574">
            <v>56337824</v>
          </cell>
        </row>
        <row r="575">
          <cell r="J575">
            <v>891780103</v>
          </cell>
          <cell r="K575">
            <v>271301680</v>
          </cell>
        </row>
        <row r="576">
          <cell r="J576">
            <v>891800466</v>
          </cell>
          <cell r="K576">
            <v>190147714</v>
          </cell>
        </row>
        <row r="577">
          <cell r="J577">
            <v>891800846</v>
          </cell>
          <cell r="K577">
            <v>205010146</v>
          </cell>
        </row>
        <row r="578">
          <cell r="J578">
            <v>891800860</v>
          </cell>
          <cell r="K578">
            <v>130482277</v>
          </cell>
        </row>
        <row r="579">
          <cell r="J579">
            <v>891800896</v>
          </cell>
          <cell r="K579">
            <v>43304262</v>
          </cell>
        </row>
        <row r="580">
          <cell r="J580">
            <v>891800986</v>
          </cell>
          <cell r="K580">
            <v>193373673</v>
          </cell>
        </row>
        <row r="581">
          <cell r="J581">
            <v>891801061</v>
          </cell>
          <cell r="K581">
            <v>122178622</v>
          </cell>
        </row>
        <row r="582">
          <cell r="J582">
            <v>891801129</v>
          </cell>
          <cell r="K582">
            <v>56240656</v>
          </cell>
        </row>
        <row r="583">
          <cell r="J583">
            <v>891801240</v>
          </cell>
          <cell r="K583">
            <v>375559943</v>
          </cell>
        </row>
        <row r="584">
          <cell r="J584">
            <v>891801244</v>
          </cell>
          <cell r="K584">
            <v>95951690</v>
          </cell>
        </row>
        <row r="585">
          <cell r="J585">
            <v>891801268</v>
          </cell>
          <cell r="K585">
            <v>16905903</v>
          </cell>
        </row>
        <row r="586">
          <cell r="J586">
            <v>891801280</v>
          </cell>
          <cell r="K586">
            <v>163825075</v>
          </cell>
        </row>
        <row r="587">
          <cell r="J587">
            <v>891801282</v>
          </cell>
          <cell r="K587">
            <v>24289265</v>
          </cell>
        </row>
        <row r="588">
          <cell r="J588">
            <v>891801286</v>
          </cell>
          <cell r="K588">
            <v>26159703</v>
          </cell>
        </row>
        <row r="589">
          <cell r="J589">
            <v>891801357</v>
          </cell>
          <cell r="K589">
            <v>43766281</v>
          </cell>
        </row>
        <row r="590">
          <cell r="J590">
            <v>891801362</v>
          </cell>
          <cell r="K590">
            <v>121497439</v>
          </cell>
        </row>
        <row r="591">
          <cell r="J591">
            <v>891801368</v>
          </cell>
          <cell r="K591">
            <v>127842999</v>
          </cell>
        </row>
        <row r="592">
          <cell r="J592">
            <v>891801369</v>
          </cell>
          <cell r="K592">
            <v>115660597</v>
          </cell>
        </row>
        <row r="593">
          <cell r="J593">
            <v>891801376</v>
          </cell>
          <cell r="K593">
            <v>99582345</v>
          </cell>
        </row>
        <row r="594">
          <cell r="J594">
            <v>891801770</v>
          </cell>
          <cell r="K594">
            <v>17314675</v>
          </cell>
        </row>
        <row r="595">
          <cell r="J595">
            <v>891801787</v>
          </cell>
          <cell r="K595">
            <v>106810019</v>
          </cell>
        </row>
        <row r="596">
          <cell r="J596">
            <v>891801796</v>
          </cell>
          <cell r="K596">
            <v>24245043</v>
          </cell>
        </row>
        <row r="597">
          <cell r="J597">
            <v>891801911</v>
          </cell>
          <cell r="K597">
            <v>118751760</v>
          </cell>
        </row>
        <row r="598">
          <cell r="J598">
            <v>891801932</v>
          </cell>
          <cell r="K598">
            <v>74676387</v>
          </cell>
        </row>
        <row r="599">
          <cell r="J599">
            <v>891801962</v>
          </cell>
          <cell r="K599">
            <v>163738881</v>
          </cell>
        </row>
        <row r="600">
          <cell r="J600">
            <v>891801988</v>
          </cell>
          <cell r="K600">
            <v>16496756</v>
          </cell>
        </row>
        <row r="601">
          <cell r="J601">
            <v>891802106</v>
          </cell>
          <cell r="K601">
            <v>79190140</v>
          </cell>
        </row>
        <row r="602">
          <cell r="J602">
            <v>891802151</v>
          </cell>
          <cell r="K602">
            <v>82751417</v>
          </cell>
        </row>
        <row r="603">
          <cell r="J603">
            <v>891855015</v>
          </cell>
          <cell r="K603">
            <v>52572774</v>
          </cell>
        </row>
        <row r="604">
          <cell r="J604">
            <v>891855016</v>
          </cell>
          <cell r="K604">
            <v>120536277</v>
          </cell>
        </row>
        <row r="605">
          <cell r="J605">
            <v>891855130</v>
          </cell>
          <cell r="K605">
            <v>339157139</v>
          </cell>
        </row>
        <row r="606">
          <cell r="J606">
            <v>891855138</v>
          </cell>
          <cell r="K606">
            <v>15903443</v>
          </cell>
        </row>
        <row r="607">
          <cell r="J607">
            <v>891855361</v>
          </cell>
          <cell r="K607">
            <v>10294882</v>
          </cell>
        </row>
        <row r="608">
          <cell r="J608">
            <v>891855735</v>
          </cell>
          <cell r="K608">
            <v>71127074</v>
          </cell>
        </row>
        <row r="609">
          <cell r="J609">
            <v>891855769</v>
          </cell>
          <cell r="K609">
            <v>28914032</v>
          </cell>
        </row>
        <row r="610">
          <cell r="J610">
            <v>891856077</v>
          </cell>
          <cell r="K610">
            <v>24083927</v>
          </cell>
        </row>
        <row r="611">
          <cell r="J611">
            <v>891856131</v>
          </cell>
          <cell r="K611">
            <v>93473423</v>
          </cell>
        </row>
        <row r="612">
          <cell r="J612">
            <v>891856257</v>
          </cell>
          <cell r="K612">
            <v>40950047</v>
          </cell>
        </row>
        <row r="613">
          <cell r="J613">
            <v>891856288</v>
          </cell>
          <cell r="K613">
            <v>55120273</v>
          </cell>
        </row>
        <row r="614">
          <cell r="J614">
            <v>891856294</v>
          </cell>
          <cell r="K614">
            <v>85083265</v>
          </cell>
        </row>
        <row r="615">
          <cell r="J615">
            <v>891856464</v>
          </cell>
          <cell r="K615">
            <v>79758802</v>
          </cell>
        </row>
        <row r="616">
          <cell r="J616">
            <v>891856472</v>
          </cell>
          <cell r="K616">
            <v>31330345</v>
          </cell>
        </row>
        <row r="617">
          <cell r="J617">
            <v>891856555</v>
          </cell>
          <cell r="K617">
            <v>43384002</v>
          </cell>
        </row>
        <row r="618">
          <cell r="J618">
            <v>891856593</v>
          </cell>
          <cell r="K618">
            <v>55420269</v>
          </cell>
        </row>
        <row r="619">
          <cell r="J619">
            <v>891856625</v>
          </cell>
          <cell r="K619">
            <v>56720917</v>
          </cell>
        </row>
        <row r="620">
          <cell r="J620">
            <v>891857764</v>
          </cell>
          <cell r="K620">
            <v>73692548</v>
          </cell>
        </row>
        <row r="621">
          <cell r="J621">
            <v>891857805</v>
          </cell>
          <cell r="K621">
            <v>47203553</v>
          </cell>
        </row>
        <row r="622">
          <cell r="J622">
            <v>891857821</v>
          </cell>
          <cell r="K622">
            <v>50364666</v>
          </cell>
        </row>
        <row r="623">
          <cell r="J623">
            <v>891857844</v>
          </cell>
          <cell r="K623">
            <v>70767856</v>
          </cell>
        </row>
        <row r="624">
          <cell r="J624">
            <v>891857861</v>
          </cell>
          <cell r="K624">
            <v>13510889</v>
          </cell>
        </row>
        <row r="625">
          <cell r="J625">
            <v>891857920</v>
          </cell>
          <cell r="K625">
            <v>38026929</v>
          </cell>
        </row>
        <row r="626">
          <cell r="J626">
            <v>891900272</v>
          </cell>
          <cell r="K626">
            <v>46523648</v>
          </cell>
        </row>
        <row r="627">
          <cell r="J627">
            <v>891900289</v>
          </cell>
          <cell r="K627">
            <v>202069003</v>
          </cell>
        </row>
        <row r="628">
          <cell r="J628">
            <v>891900357</v>
          </cell>
          <cell r="K628">
            <v>196712907</v>
          </cell>
        </row>
        <row r="629">
          <cell r="J629">
            <v>891900624</v>
          </cell>
          <cell r="K629">
            <v>252492949</v>
          </cell>
        </row>
        <row r="630">
          <cell r="J630">
            <v>891900764</v>
          </cell>
          <cell r="K630">
            <v>251301432</v>
          </cell>
        </row>
        <row r="631">
          <cell r="J631">
            <v>891900945</v>
          </cell>
          <cell r="K631">
            <v>176570369</v>
          </cell>
        </row>
        <row r="632">
          <cell r="J632">
            <v>891900985</v>
          </cell>
          <cell r="K632">
            <v>192125232</v>
          </cell>
        </row>
        <row r="633">
          <cell r="J633">
            <v>891901079</v>
          </cell>
          <cell r="K633">
            <v>156802722</v>
          </cell>
        </row>
        <row r="634">
          <cell r="J634">
            <v>892099105</v>
          </cell>
          <cell r="K634">
            <v>585367509</v>
          </cell>
        </row>
        <row r="635">
          <cell r="J635">
            <v>892099173</v>
          </cell>
          <cell r="K635">
            <v>56936022</v>
          </cell>
        </row>
        <row r="636">
          <cell r="J636">
            <v>892099183</v>
          </cell>
          <cell r="K636">
            <v>215050391</v>
          </cell>
        </row>
        <row r="637">
          <cell r="J637">
            <v>892099242</v>
          </cell>
          <cell r="K637">
            <v>87776468</v>
          </cell>
        </row>
        <row r="638">
          <cell r="J638">
            <v>892099278</v>
          </cell>
          <cell r="K638">
            <v>90078116</v>
          </cell>
        </row>
        <row r="639">
          <cell r="J639">
            <v>892099317</v>
          </cell>
          <cell r="K639">
            <v>75514790</v>
          </cell>
        </row>
        <row r="640">
          <cell r="J640">
            <v>892099324</v>
          </cell>
          <cell r="K640">
            <v>370086615</v>
          </cell>
        </row>
        <row r="641">
          <cell r="J641">
            <v>892099325</v>
          </cell>
          <cell r="K641">
            <v>121664389</v>
          </cell>
        </row>
        <row r="642">
          <cell r="J642">
            <v>892099494</v>
          </cell>
          <cell r="K642">
            <v>679374653</v>
          </cell>
        </row>
        <row r="643">
          <cell r="J643">
            <v>892115007</v>
          </cell>
          <cell r="K643">
            <v>559206514</v>
          </cell>
        </row>
        <row r="644">
          <cell r="J644">
            <v>892115024</v>
          </cell>
          <cell r="K644">
            <v>178052087</v>
          </cell>
        </row>
        <row r="645">
          <cell r="J645">
            <v>892115179</v>
          </cell>
          <cell r="K645">
            <v>443002223</v>
          </cell>
        </row>
        <row r="646">
          <cell r="J646">
            <v>892120020</v>
          </cell>
          <cell r="K646">
            <v>3045881574</v>
          </cell>
        </row>
        <row r="647">
          <cell r="J647">
            <v>892200058</v>
          </cell>
          <cell r="K647">
            <v>252421205</v>
          </cell>
        </row>
        <row r="648">
          <cell r="J648">
            <v>892200591</v>
          </cell>
          <cell r="K648">
            <v>964005739</v>
          </cell>
        </row>
        <row r="649">
          <cell r="J649">
            <v>892200592</v>
          </cell>
          <cell r="K649">
            <v>1094725168</v>
          </cell>
        </row>
        <row r="650">
          <cell r="J650">
            <v>892200839</v>
          </cell>
          <cell r="K650">
            <v>460456134</v>
          </cell>
        </row>
        <row r="651">
          <cell r="J651">
            <v>892201282</v>
          </cell>
          <cell r="K651">
            <v>159590057</v>
          </cell>
        </row>
        <row r="652">
          <cell r="J652">
            <v>892201286</v>
          </cell>
          <cell r="K652">
            <v>147427508</v>
          </cell>
        </row>
        <row r="653">
          <cell r="J653">
            <v>892201287</v>
          </cell>
          <cell r="K653">
            <v>384548303</v>
          </cell>
        </row>
        <row r="654">
          <cell r="J654">
            <v>892201296</v>
          </cell>
          <cell r="K654">
            <v>71753842</v>
          </cell>
        </row>
        <row r="655">
          <cell r="J655">
            <v>892280032</v>
          </cell>
          <cell r="K655">
            <v>328607176</v>
          </cell>
        </row>
        <row r="656">
          <cell r="J656">
            <v>892280053</v>
          </cell>
          <cell r="K656">
            <v>30836612</v>
          </cell>
        </row>
        <row r="657">
          <cell r="J657">
            <v>892280054</v>
          </cell>
          <cell r="K657">
            <v>519555219</v>
          </cell>
        </row>
        <row r="658">
          <cell r="J658">
            <v>892280055</v>
          </cell>
          <cell r="K658">
            <v>731038825</v>
          </cell>
        </row>
        <row r="659">
          <cell r="J659">
            <v>892280057</v>
          </cell>
          <cell r="K659">
            <v>789972744</v>
          </cell>
        </row>
        <row r="660">
          <cell r="J660">
            <v>892280061</v>
          </cell>
          <cell r="K660">
            <v>460379877</v>
          </cell>
        </row>
        <row r="661">
          <cell r="J661">
            <v>892280063</v>
          </cell>
          <cell r="K661">
            <v>310947665</v>
          </cell>
        </row>
        <row r="662">
          <cell r="J662">
            <v>892300123</v>
          </cell>
          <cell r="K662">
            <v>273132442</v>
          </cell>
        </row>
        <row r="663">
          <cell r="J663">
            <v>892300815</v>
          </cell>
          <cell r="K663">
            <v>748431557</v>
          </cell>
        </row>
        <row r="664">
          <cell r="J664">
            <v>892301093</v>
          </cell>
          <cell r="K664">
            <v>353846449</v>
          </cell>
        </row>
        <row r="665">
          <cell r="J665">
            <v>892301130</v>
          </cell>
          <cell r="K665">
            <v>571816969</v>
          </cell>
        </row>
        <row r="666">
          <cell r="J666">
            <v>892301541</v>
          </cell>
          <cell r="K666">
            <v>376753745</v>
          </cell>
        </row>
        <row r="667">
          <cell r="J667">
            <v>892301761</v>
          </cell>
          <cell r="K667">
            <v>81151667</v>
          </cell>
        </row>
        <row r="668">
          <cell r="J668">
            <v>892400038</v>
          </cell>
          <cell r="K668">
            <v>245152074</v>
          </cell>
        </row>
        <row r="669">
          <cell r="J669">
            <v>899999061</v>
          </cell>
          <cell r="K669">
            <v>352417736</v>
          </cell>
        </row>
        <row r="670">
          <cell r="J670">
            <v>899999318</v>
          </cell>
          <cell r="K670">
            <v>156377313</v>
          </cell>
        </row>
        <row r="671">
          <cell r="J671">
            <v>899999323</v>
          </cell>
          <cell r="K671">
            <v>29132340</v>
          </cell>
        </row>
        <row r="672">
          <cell r="J672">
            <v>899999342</v>
          </cell>
          <cell r="K672">
            <v>162976906</v>
          </cell>
        </row>
        <row r="673">
          <cell r="J673">
            <v>899999462</v>
          </cell>
          <cell r="K673">
            <v>122808416</v>
          </cell>
        </row>
        <row r="674">
          <cell r="J674">
            <v>900127183</v>
          </cell>
          <cell r="K674">
            <v>156997775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"/>
      <sheetName val="fiduprev"/>
      <sheetName val="Gratuidad"/>
      <sheetName val="BDGRATUIDAD"/>
      <sheetName val="Hoja1"/>
      <sheetName val="Hoja2"/>
      <sheetName val="anuladas en mayo gratuidad}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>
            <v>800028432</v>
          </cell>
          <cell r="L2">
            <v>243386506</v>
          </cell>
        </row>
        <row r="3">
          <cell r="K3">
            <v>800095728</v>
          </cell>
          <cell r="L3">
            <v>12917846</v>
          </cell>
        </row>
        <row r="4">
          <cell r="K4">
            <v>800095760</v>
          </cell>
          <cell r="L4">
            <v>146535388</v>
          </cell>
        </row>
        <row r="5">
          <cell r="K5">
            <v>800095785</v>
          </cell>
          <cell r="L5">
            <v>9281941</v>
          </cell>
        </row>
        <row r="6">
          <cell r="K6">
            <v>800096734</v>
          </cell>
          <cell r="L6">
            <v>117926112</v>
          </cell>
        </row>
        <row r="7">
          <cell r="K7">
            <v>800096740</v>
          </cell>
          <cell r="L7">
            <v>104166149</v>
          </cell>
        </row>
        <row r="8">
          <cell r="K8">
            <v>800098911</v>
          </cell>
          <cell r="L8">
            <v>170860306</v>
          </cell>
        </row>
        <row r="9">
          <cell r="K9">
            <v>800099223</v>
          </cell>
          <cell r="L9">
            <v>135086254</v>
          </cell>
        </row>
        <row r="10">
          <cell r="K10">
            <v>800099425</v>
          </cell>
          <cell r="L10">
            <v>43085208</v>
          </cell>
        </row>
        <row r="11">
          <cell r="K11">
            <v>800102504</v>
          </cell>
          <cell r="L11">
            <v>85011406</v>
          </cell>
        </row>
        <row r="12">
          <cell r="K12">
            <v>800102906</v>
          </cell>
          <cell r="L12">
            <v>15650662</v>
          </cell>
        </row>
        <row r="13">
          <cell r="K13">
            <v>800113389</v>
          </cell>
          <cell r="L13">
            <v>422374283</v>
          </cell>
        </row>
        <row r="14">
          <cell r="K14">
            <v>806001937</v>
          </cell>
          <cell r="L14">
            <v>99820736</v>
          </cell>
        </row>
        <row r="15">
          <cell r="K15">
            <v>812001681</v>
          </cell>
          <cell r="L15">
            <v>74298192</v>
          </cell>
        </row>
        <row r="16">
          <cell r="K16">
            <v>819000925</v>
          </cell>
          <cell r="L16">
            <v>126273895</v>
          </cell>
        </row>
        <row r="17">
          <cell r="K17">
            <v>819003219</v>
          </cell>
          <cell r="L17">
            <v>111754162</v>
          </cell>
        </row>
        <row r="18">
          <cell r="K18">
            <v>823003543</v>
          </cell>
          <cell r="L18">
            <v>30279439</v>
          </cell>
        </row>
        <row r="19">
          <cell r="K19">
            <v>890000464</v>
          </cell>
          <cell r="L19">
            <v>135192782</v>
          </cell>
        </row>
        <row r="20">
          <cell r="K20">
            <v>890102018</v>
          </cell>
          <cell r="L20">
            <v>1145827026</v>
          </cell>
        </row>
        <row r="21">
          <cell r="K21">
            <v>890201222</v>
          </cell>
          <cell r="L21">
            <v>51816572</v>
          </cell>
        </row>
        <row r="22">
          <cell r="K22">
            <v>890399011</v>
          </cell>
          <cell r="L22">
            <v>171408432</v>
          </cell>
        </row>
        <row r="23">
          <cell r="K23">
            <v>890480184</v>
          </cell>
          <cell r="L23">
            <v>107012490</v>
          </cell>
        </row>
        <row r="24">
          <cell r="K24">
            <v>890480643</v>
          </cell>
          <cell r="L24">
            <v>73892793</v>
          </cell>
        </row>
        <row r="25">
          <cell r="K25">
            <v>890501434</v>
          </cell>
          <cell r="L25">
            <v>76768723</v>
          </cell>
        </row>
        <row r="26">
          <cell r="K26">
            <v>890680236</v>
          </cell>
          <cell r="L26">
            <v>85049187</v>
          </cell>
        </row>
        <row r="27">
          <cell r="K27">
            <v>890801138</v>
          </cell>
          <cell r="L27">
            <v>106402871</v>
          </cell>
        </row>
        <row r="28">
          <cell r="K28">
            <v>890801149</v>
          </cell>
          <cell r="L28">
            <v>95588319</v>
          </cell>
        </row>
        <row r="29">
          <cell r="K29">
            <v>890802650</v>
          </cell>
          <cell r="L29">
            <v>35001709</v>
          </cell>
        </row>
        <row r="30">
          <cell r="K30">
            <v>890802795</v>
          </cell>
          <cell r="L30">
            <v>35202252</v>
          </cell>
        </row>
        <row r="31">
          <cell r="K31">
            <v>890905211</v>
          </cell>
          <cell r="L31">
            <v>543195966</v>
          </cell>
        </row>
        <row r="32">
          <cell r="K32">
            <v>890906445</v>
          </cell>
          <cell r="L32">
            <v>622448293</v>
          </cell>
        </row>
        <row r="33">
          <cell r="K33">
            <v>890907106</v>
          </cell>
          <cell r="L33">
            <v>10074578</v>
          </cell>
        </row>
        <row r="34">
          <cell r="K34">
            <v>890980093</v>
          </cell>
          <cell r="L34">
            <v>180135016</v>
          </cell>
        </row>
        <row r="35">
          <cell r="K35">
            <v>890980096</v>
          </cell>
          <cell r="L35">
            <v>231554402</v>
          </cell>
        </row>
        <row r="36">
          <cell r="K36">
            <v>890980112</v>
          </cell>
          <cell r="L36">
            <v>235188823</v>
          </cell>
        </row>
        <row r="37">
          <cell r="K37">
            <v>890981138</v>
          </cell>
          <cell r="L37">
            <v>179922972</v>
          </cell>
        </row>
        <row r="38">
          <cell r="K38">
            <v>890981207</v>
          </cell>
          <cell r="L38">
            <v>41277828</v>
          </cell>
        </row>
        <row r="39">
          <cell r="K39">
            <v>890981567</v>
          </cell>
          <cell r="L39">
            <v>16823104</v>
          </cell>
        </row>
        <row r="40">
          <cell r="K40">
            <v>890983706</v>
          </cell>
          <cell r="L40">
            <v>57303217</v>
          </cell>
        </row>
        <row r="41">
          <cell r="K41">
            <v>890984882</v>
          </cell>
          <cell r="L41">
            <v>73275334</v>
          </cell>
        </row>
        <row r="42">
          <cell r="K42">
            <v>891380007</v>
          </cell>
          <cell r="L42">
            <v>75390113</v>
          </cell>
        </row>
        <row r="43">
          <cell r="K43">
            <v>891780044</v>
          </cell>
          <cell r="L43">
            <v>46932565</v>
          </cell>
        </row>
        <row r="44">
          <cell r="K44">
            <v>891780045</v>
          </cell>
          <cell r="L44">
            <v>183902248</v>
          </cell>
        </row>
        <row r="45">
          <cell r="K45">
            <v>891780048</v>
          </cell>
          <cell r="L45">
            <v>56541667</v>
          </cell>
        </row>
        <row r="46">
          <cell r="K46">
            <v>891780051</v>
          </cell>
          <cell r="L46">
            <v>291831724</v>
          </cell>
        </row>
        <row r="47">
          <cell r="K47">
            <v>891780055</v>
          </cell>
          <cell r="L47">
            <v>50458930</v>
          </cell>
        </row>
        <row r="48">
          <cell r="K48">
            <v>891855138</v>
          </cell>
          <cell r="L48">
            <v>27811306</v>
          </cell>
        </row>
        <row r="49">
          <cell r="K49">
            <v>892099475</v>
          </cell>
          <cell r="L49">
            <v>163166213</v>
          </cell>
        </row>
        <row r="50">
          <cell r="K50">
            <v>892115007</v>
          </cell>
          <cell r="L50">
            <v>51660680</v>
          </cell>
        </row>
        <row r="51">
          <cell r="K51">
            <v>899999061</v>
          </cell>
          <cell r="L51">
            <v>1163256937</v>
          </cell>
        </row>
        <row r="52">
          <cell r="K52">
            <v>899999302</v>
          </cell>
          <cell r="L52">
            <v>110903490</v>
          </cell>
        </row>
        <row r="53">
          <cell r="K53">
            <v>899999398</v>
          </cell>
          <cell r="L53">
            <v>19847192</v>
          </cell>
        </row>
        <row r="54">
          <cell r="K54">
            <v>899999407</v>
          </cell>
          <cell r="L54">
            <v>45357577</v>
          </cell>
        </row>
        <row r="55">
          <cell r="K55">
            <v>899999430</v>
          </cell>
          <cell r="L55">
            <v>171918184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8"/>
      <sheetName val="AP-PAT"/>
      <sheetName val="AP DOC-FIDU"/>
      <sheetName val="PRES-SER"/>
      <sheetName val="PENS-CANC"/>
      <sheetName val="CALIDAD"/>
      <sheetName val="nocercalidad"/>
      <sheetName val="MUNCERCALIDAD"/>
    </sheetNames>
    <sheetDataSet>
      <sheetData sheetId="0"/>
      <sheetData sheetId="1"/>
      <sheetData sheetId="2"/>
      <sheetData sheetId="3"/>
      <sheetData sheetId="4">
        <row r="2">
          <cell r="A2">
            <v>8909002860</v>
          </cell>
          <cell r="B2">
            <v>2762877812</v>
          </cell>
        </row>
        <row r="3">
          <cell r="A3">
            <v>8901020061</v>
          </cell>
          <cell r="B3">
            <v>1116272390</v>
          </cell>
        </row>
        <row r="4">
          <cell r="A4">
            <v>8904800591</v>
          </cell>
          <cell r="B4">
            <v>985171409</v>
          </cell>
        </row>
        <row r="5">
          <cell r="A5">
            <v>8918004981</v>
          </cell>
          <cell r="B5">
            <v>1803337580</v>
          </cell>
        </row>
        <row r="6">
          <cell r="A6">
            <v>8908010521</v>
          </cell>
          <cell r="B6">
            <v>0</v>
          </cell>
        </row>
        <row r="7">
          <cell r="A7">
            <v>8000915944</v>
          </cell>
          <cell r="B7">
            <v>0</v>
          </cell>
        </row>
        <row r="8">
          <cell r="A8">
            <v>8915800168</v>
          </cell>
          <cell r="B8">
            <v>837384827</v>
          </cell>
        </row>
        <row r="9">
          <cell r="A9">
            <v>8923999991</v>
          </cell>
          <cell r="B9">
            <v>227779843</v>
          </cell>
        </row>
        <row r="10">
          <cell r="A10">
            <v>8001039356</v>
          </cell>
          <cell r="B10">
            <v>508966832</v>
          </cell>
        </row>
        <row r="11">
          <cell r="A11">
            <v>8999991140</v>
          </cell>
          <cell r="B11">
            <v>3339633797</v>
          </cell>
        </row>
        <row r="12">
          <cell r="A12">
            <v>8916800103</v>
          </cell>
          <cell r="B12">
            <v>591168652</v>
          </cell>
        </row>
        <row r="13">
          <cell r="A13">
            <v>8001039134</v>
          </cell>
          <cell r="B13">
            <v>537128221</v>
          </cell>
        </row>
        <row r="14">
          <cell r="A14">
            <v>8921150151</v>
          </cell>
          <cell r="B14">
            <v>142898927</v>
          </cell>
        </row>
        <row r="15">
          <cell r="A15">
            <v>8001039206</v>
          </cell>
          <cell r="B15">
            <v>600431291</v>
          </cell>
        </row>
        <row r="16">
          <cell r="A16">
            <v>8920001488</v>
          </cell>
          <cell r="B16">
            <v>262233485</v>
          </cell>
        </row>
        <row r="17">
          <cell r="A17">
            <v>8001039238</v>
          </cell>
          <cell r="B17">
            <v>1025228897</v>
          </cell>
        </row>
        <row r="18">
          <cell r="A18">
            <v>8001039277</v>
          </cell>
          <cell r="B18">
            <v>1114881956</v>
          </cell>
        </row>
        <row r="19">
          <cell r="A19">
            <v>8900016391</v>
          </cell>
          <cell r="B19">
            <v>0</v>
          </cell>
        </row>
        <row r="20">
          <cell r="A20">
            <v>8914800857</v>
          </cell>
          <cell r="B20">
            <v>544946956</v>
          </cell>
        </row>
        <row r="21">
          <cell r="A21">
            <v>8902012356</v>
          </cell>
          <cell r="B21">
            <v>1555200516</v>
          </cell>
        </row>
        <row r="22">
          <cell r="A22">
            <v>8922800211</v>
          </cell>
          <cell r="B22">
            <v>0</v>
          </cell>
        </row>
        <row r="23">
          <cell r="A23">
            <v>8001136727</v>
          </cell>
          <cell r="B23">
            <v>2658897930</v>
          </cell>
        </row>
        <row r="24">
          <cell r="A24">
            <v>8903990295</v>
          </cell>
          <cell r="B24">
            <v>3421314966</v>
          </cell>
        </row>
        <row r="25">
          <cell r="A25">
            <v>8001028385</v>
          </cell>
          <cell r="B25">
            <v>35483017</v>
          </cell>
        </row>
        <row r="26">
          <cell r="A26">
            <v>8920992166</v>
          </cell>
          <cell r="B26">
            <v>62294604</v>
          </cell>
        </row>
        <row r="27">
          <cell r="A27">
            <v>8000941644</v>
          </cell>
          <cell r="B27">
            <v>90380151</v>
          </cell>
        </row>
        <row r="28">
          <cell r="A28">
            <v>8924000382</v>
          </cell>
          <cell r="B28">
            <v>128164044</v>
          </cell>
        </row>
        <row r="29">
          <cell r="A29">
            <v>8999993369</v>
          </cell>
          <cell r="B29">
            <v>0</v>
          </cell>
        </row>
        <row r="30">
          <cell r="A30">
            <v>8920991490</v>
          </cell>
          <cell r="B30">
            <v>15146835</v>
          </cell>
        </row>
        <row r="31">
          <cell r="A31">
            <v>8001031961</v>
          </cell>
          <cell r="B31">
            <v>9575745</v>
          </cell>
        </row>
        <row r="32">
          <cell r="A32">
            <v>8450000210</v>
          </cell>
          <cell r="B32">
            <v>9017382</v>
          </cell>
        </row>
        <row r="33">
          <cell r="A33">
            <v>8000940678</v>
          </cell>
          <cell r="B33">
            <v>22666318</v>
          </cell>
        </row>
        <row r="34">
          <cell r="A34">
            <v>8999990619</v>
          </cell>
          <cell r="B34">
            <v>3721053169</v>
          </cell>
        </row>
        <row r="35">
          <cell r="A35">
            <v>8901020181</v>
          </cell>
          <cell r="B35">
            <v>0</v>
          </cell>
        </row>
        <row r="36">
          <cell r="A36">
            <v>8904801844</v>
          </cell>
          <cell r="B36">
            <v>0</v>
          </cell>
        </row>
        <row r="37">
          <cell r="A37">
            <v>8917800094</v>
          </cell>
          <cell r="B37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Alexander.cardona@itagui.gov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" Type="http://schemas.openxmlformats.org/officeDocument/2006/relationships/hyperlink" Target="mailto:hacienda@capitanejo-santander.gov.co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hyperlink" Target="mailto:reciprocashacienda@cundinamar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52" Type="http://schemas.openxmlformats.org/officeDocument/2006/relationships/comments" Target="../comments1.xm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hacienda@lavega-cauca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FF00"/>
  </sheetPr>
  <dimension ref="A1:DT1141"/>
  <sheetViews>
    <sheetView tabSelected="1" zoomScale="98" zoomScaleNormal="98" workbookViewId="0">
      <pane xSplit="4" ySplit="2" topLeftCell="CR3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CT3" sqref="CT3:CT1135"/>
    </sheetView>
  </sheetViews>
  <sheetFormatPr baseColWidth="10" defaultColWidth="11.42578125" defaultRowHeight="15.75" x14ac:dyDescent="0.25"/>
  <cols>
    <col min="1" max="1" width="13.42578125" style="6" bestFit="1" customWidth="1"/>
    <col min="2" max="2" width="11" style="7" customWidth="1"/>
    <col min="3" max="3" width="11.28515625" style="6" customWidth="1"/>
    <col min="4" max="4" width="30.85546875" style="6" customWidth="1"/>
    <col min="5" max="5" width="43.7109375" style="26" customWidth="1"/>
    <col min="6" max="9" width="24" style="15" customWidth="1"/>
    <col min="10" max="10" width="24" style="19" customWidth="1"/>
    <col min="11" max="12" width="24" style="15" customWidth="1"/>
    <col min="13" max="13" width="24" style="28" customWidth="1"/>
    <col min="14" max="22" width="24" style="6" customWidth="1"/>
    <col min="23" max="23" width="20.140625" style="6" customWidth="1"/>
    <col min="24" max="24" width="23.5703125" style="6" customWidth="1"/>
    <col min="25" max="28" width="20.140625" style="6" customWidth="1"/>
    <col min="29" max="29" width="19.42578125" style="6" customWidth="1"/>
    <col min="30" max="31" width="25.28515625" style="6" customWidth="1"/>
    <col min="32" max="32" width="23.5703125" style="6" customWidth="1"/>
    <col min="33" max="35" width="21.5703125" style="6" customWidth="1"/>
    <col min="36" max="36" width="22.5703125" style="6" customWidth="1"/>
    <col min="37" max="37" width="21.85546875" style="6" customWidth="1"/>
    <col min="38" max="38" width="17" style="6" customWidth="1"/>
    <col min="39" max="39" width="18.28515625" style="6" customWidth="1"/>
    <col min="40" max="40" width="22.28515625" style="6" customWidth="1"/>
    <col min="41" max="41" width="19" style="6" customWidth="1"/>
    <col min="42" max="42" width="18.42578125" style="6" customWidth="1"/>
    <col min="43" max="44" width="16.5703125" style="6" customWidth="1"/>
    <col min="45" max="45" width="19.28515625" style="6" customWidth="1"/>
    <col min="46" max="46" width="20.5703125" style="6" customWidth="1"/>
    <col min="47" max="50" width="22.28515625" style="6" customWidth="1"/>
    <col min="51" max="52" width="21.5703125" style="6" customWidth="1"/>
    <col min="53" max="54" width="22.28515625" style="6" customWidth="1"/>
    <col min="55" max="55" width="24.7109375" style="6" customWidth="1"/>
    <col min="56" max="56" width="19" style="6" customWidth="1"/>
    <col min="57" max="57" width="18.42578125" style="6" customWidth="1"/>
    <col min="58" max="59" width="16.5703125" style="6" customWidth="1"/>
    <col min="60" max="60" width="15.140625" style="6" customWidth="1"/>
    <col min="61" max="61" width="19.5703125" style="6" customWidth="1"/>
    <col min="62" max="62" width="22.28515625" style="6" customWidth="1"/>
    <col min="63" max="63" width="17.85546875" style="6" customWidth="1"/>
    <col min="64" max="64" width="19.7109375" style="6" customWidth="1"/>
    <col min="65" max="65" width="22.28515625" style="6" customWidth="1"/>
    <col min="66" max="66" width="21.5703125" style="6" customWidth="1"/>
    <col min="67" max="67" width="22.28515625" style="6" customWidth="1"/>
    <col min="68" max="68" width="20.7109375" style="6" customWidth="1"/>
    <col min="69" max="69" width="22" style="6" customWidth="1"/>
    <col min="70" max="70" width="18.42578125" style="6" customWidth="1"/>
    <col min="71" max="72" width="16.5703125" style="6" customWidth="1"/>
    <col min="73" max="73" width="19" style="6" customWidth="1"/>
    <col min="74" max="74" width="19.28515625" style="6" customWidth="1"/>
    <col min="75" max="75" width="20.5703125" style="6" customWidth="1"/>
    <col min="76" max="80" width="22.28515625" style="6" customWidth="1"/>
    <col min="81" max="82" width="21.5703125" style="6" customWidth="1"/>
    <col min="83" max="84" width="22.28515625" style="6" customWidth="1"/>
    <col min="85" max="85" width="24.7109375" style="6" customWidth="1"/>
    <col min="86" max="86" width="22" style="6" bestFit="1" customWidth="1"/>
    <col min="87" max="87" width="18.42578125" style="6" customWidth="1"/>
    <col min="88" max="89" width="16.5703125" style="6" customWidth="1"/>
    <col min="90" max="90" width="20.5703125" style="6" customWidth="1"/>
    <col min="91" max="94" width="22.28515625" style="6" customWidth="1"/>
    <col min="95" max="95" width="21.5703125" style="6" customWidth="1"/>
    <col min="96" max="96" width="22.28515625" style="6" customWidth="1"/>
    <col min="97" max="97" width="24.7109375" style="6" customWidth="1"/>
    <col min="98" max="98" width="22.85546875" style="8" bestFit="1" customWidth="1"/>
    <col min="99" max="99" width="17.42578125" style="8" bestFit="1" customWidth="1"/>
    <col min="100" max="100" width="21.5703125" style="6" customWidth="1"/>
    <col min="101" max="101" width="20.85546875" style="6" customWidth="1"/>
    <col min="102" max="103" width="20.140625" style="6" customWidth="1"/>
    <col min="104" max="104" width="19.140625" style="6" customWidth="1"/>
    <col min="105" max="110" width="11.42578125" style="6" customWidth="1"/>
    <col min="111" max="16384" width="11.42578125" style="6"/>
  </cols>
  <sheetData>
    <row r="1" spans="1:108" s="2" customFormat="1" ht="29.25" customHeight="1" x14ac:dyDescent="0.2">
      <c r="A1" s="83" t="s">
        <v>0</v>
      </c>
      <c r="B1" s="90" t="s">
        <v>1003</v>
      </c>
      <c r="C1" s="88" t="s">
        <v>1</v>
      </c>
      <c r="D1" s="83" t="s">
        <v>2</v>
      </c>
      <c r="E1" s="89" t="s">
        <v>3</v>
      </c>
      <c r="F1" s="80" t="s">
        <v>2254</v>
      </c>
      <c r="G1" s="80"/>
      <c r="H1" s="80"/>
      <c r="I1" s="83" t="s">
        <v>2255</v>
      </c>
      <c r="J1" s="83"/>
      <c r="K1" s="83"/>
      <c r="L1" s="83"/>
      <c r="M1" s="84" t="s">
        <v>4</v>
      </c>
      <c r="N1" s="85" t="s">
        <v>2256</v>
      </c>
      <c r="O1" s="85"/>
      <c r="P1" s="85"/>
      <c r="Q1" s="83" t="s">
        <v>2257</v>
      </c>
      <c r="R1" s="83"/>
      <c r="S1" s="83"/>
      <c r="T1" s="83"/>
      <c r="U1" s="80" t="s">
        <v>5</v>
      </c>
      <c r="V1" s="85" t="s">
        <v>2259</v>
      </c>
      <c r="W1" s="85"/>
      <c r="X1" s="85"/>
      <c r="Y1" s="83" t="s">
        <v>2260</v>
      </c>
      <c r="Z1" s="83"/>
      <c r="AA1" s="83"/>
      <c r="AB1" s="83"/>
      <c r="AC1" s="80" t="s">
        <v>5</v>
      </c>
      <c r="AD1" s="85" t="s">
        <v>2263</v>
      </c>
      <c r="AE1" s="85"/>
      <c r="AF1" s="85"/>
      <c r="AG1" s="85"/>
      <c r="AH1" s="94" t="s">
        <v>2266</v>
      </c>
      <c r="AI1" s="95"/>
      <c r="AJ1" s="95"/>
      <c r="AK1" s="95"/>
      <c r="AL1" s="96"/>
      <c r="AM1" s="92" t="s">
        <v>2098</v>
      </c>
      <c r="AN1" s="78" t="s">
        <v>2292</v>
      </c>
      <c r="AO1" s="76" t="s">
        <v>2267</v>
      </c>
      <c r="AP1" s="77"/>
      <c r="AQ1" s="77"/>
      <c r="AR1" s="77"/>
      <c r="AS1" s="79"/>
      <c r="AT1" s="76" t="s">
        <v>2268</v>
      </c>
      <c r="AU1" s="77"/>
      <c r="AV1" s="77"/>
      <c r="AW1" s="77"/>
      <c r="AX1" s="77"/>
      <c r="AY1" s="77"/>
      <c r="AZ1" s="79"/>
      <c r="BA1" s="76" t="s">
        <v>2098</v>
      </c>
      <c r="BB1" s="79"/>
      <c r="BC1" s="78" t="s">
        <v>5</v>
      </c>
      <c r="BD1" s="76" t="s">
        <v>2273</v>
      </c>
      <c r="BE1" s="77"/>
      <c r="BF1" s="77"/>
      <c r="BG1" s="77"/>
      <c r="BH1" s="79"/>
      <c r="BI1" s="76" t="s">
        <v>2274</v>
      </c>
      <c r="BJ1" s="77"/>
      <c r="BK1" s="77"/>
      <c r="BL1" s="77"/>
      <c r="BM1" s="77"/>
      <c r="BN1" s="81" t="s">
        <v>2269</v>
      </c>
      <c r="BO1" s="81" t="s">
        <v>2275</v>
      </c>
      <c r="BP1" s="78" t="s">
        <v>2283</v>
      </c>
      <c r="BQ1" s="76" t="s">
        <v>2279</v>
      </c>
      <c r="BR1" s="77"/>
      <c r="BS1" s="77"/>
      <c r="BT1" s="77"/>
      <c r="BU1" s="77"/>
      <c r="BV1" s="79"/>
      <c r="BW1" s="76" t="s">
        <v>2280</v>
      </c>
      <c r="BX1" s="77"/>
      <c r="BY1" s="77"/>
      <c r="BZ1" s="77"/>
      <c r="CA1" s="77"/>
      <c r="CB1" s="77"/>
      <c r="CC1" s="77"/>
      <c r="CD1" s="79"/>
      <c r="CE1" s="76" t="s">
        <v>2098</v>
      </c>
      <c r="CF1" s="79"/>
      <c r="CG1" s="78" t="s">
        <v>2287</v>
      </c>
      <c r="CH1" s="76" t="s">
        <v>2288</v>
      </c>
      <c r="CI1" s="77"/>
      <c r="CJ1" s="77"/>
      <c r="CK1" s="77"/>
      <c r="CL1" s="76" t="s">
        <v>2290</v>
      </c>
      <c r="CM1" s="77"/>
      <c r="CN1" s="77"/>
      <c r="CO1" s="77"/>
      <c r="CP1" s="77"/>
      <c r="CQ1" s="77"/>
      <c r="CR1" s="69" t="s">
        <v>2098</v>
      </c>
      <c r="CS1" s="78" t="s">
        <v>2291</v>
      </c>
      <c r="CT1" s="91" t="s">
        <v>2096</v>
      </c>
      <c r="CU1" s="91"/>
      <c r="CV1" s="91"/>
      <c r="CW1" s="91"/>
    </row>
    <row r="2" spans="1:108" s="2" customFormat="1" ht="48.75" customHeight="1" x14ac:dyDescent="0.2">
      <c r="A2" s="83"/>
      <c r="B2" s="90"/>
      <c r="C2" s="88"/>
      <c r="D2" s="83"/>
      <c r="E2" s="89"/>
      <c r="F2" s="17" t="s">
        <v>6</v>
      </c>
      <c r="G2" s="18" t="s">
        <v>7</v>
      </c>
      <c r="H2" s="18" t="s">
        <v>8</v>
      </c>
      <c r="I2" s="30" t="s">
        <v>6</v>
      </c>
      <c r="J2" s="18" t="s">
        <v>9</v>
      </c>
      <c r="K2" s="18" t="s">
        <v>10</v>
      </c>
      <c r="L2" s="18" t="s">
        <v>8</v>
      </c>
      <c r="M2" s="84"/>
      <c r="N2" s="17" t="s">
        <v>6</v>
      </c>
      <c r="O2" s="18" t="s">
        <v>7</v>
      </c>
      <c r="P2" s="17" t="s">
        <v>2066</v>
      </c>
      <c r="Q2" s="17" t="s">
        <v>6</v>
      </c>
      <c r="R2" s="18" t="s">
        <v>9</v>
      </c>
      <c r="S2" s="18" t="s">
        <v>10</v>
      </c>
      <c r="T2" s="29" t="s">
        <v>2066</v>
      </c>
      <c r="U2" s="80"/>
      <c r="V2" s="31" t="s">
        <v>6</v>
      </c>
      <c r="W2" s="18" t="s">
        <v>7</v>
      </c>
      <c r="X2" s="31" t="s">
        <v>2066</v>
      </c>
      <c r="Y2" s="31" t="s">
        <v>6</v>
      </c>
      <c r="Z2" s="18" t="s">
        <v>9</v>
      </c>
      <c r="AA2" s="18" t="s">
        <v>10</v>
      </c>
      <c r="AB2" s="31" t="s">
        <v>2066</v>
      </c>
      <c r="AC2" s="80"/>
      <c r="AD2" s="32" t="s">
        <v>2264</v>
      </c>
      <c r="AE2" s="32" t="s">
        <v>2265</v>
      </c>
      <c r="AF2" s="18" t="s">
        <v>7</v>
      </c>
      <c r="AG2" s="32" t="s">
        <v>2066</v>
      </c>
      <c r="AH2" s="32" t="s">
        <v>2264</v>
      </c>
      <c r="AI2" s="32" t="s">
        <v>2265</v>
      </c>
      <c r="AJ2" s="18" t="s">
        <v>9</v>
      </c>
      <c r="AK2" s="18" t="s">
        <v>10</v>
      </c>
      <c r="AL2" s="32" t="s">
        <v>2066</v>
      </c>
      <c r="AM2" s="93"/>
      <c r="AN2" s="78"/>
      <c r="AO2" s="34" t="s">
        <v>2264</v>
      </c>
      <c r="AP2" s="34" t="s">
        <v>2265</v>
      </c>
      <c r="AQ2" s="34" t="s">
        <v>7</v>
      </c>
      <c r="AR2" s="35" t="s">
        <v>2066</v>
      </c>
      <c r="AS2" s="34" t="s">
        <v>2270</v>
      </c>
      <c r="AT2" s="34" t="s">
        <v>2264</v>
      </c>
      <c r="AU2" s="34" t="s">
        <v>2265</v>
      </c>
      <c r="AV2" s="34" t="s">
        <v>9</v>
      </c>
      <c r="AW2" s="34" t="s">
        <v>10</v>
      </c>
      <c r="AX2" s="35" t="s">
        <v>2066</v>
      </c>
      <c r="AY2" s="34" t="s">
        <v>2269</v>
      </c>
      <c r="AZ2" s="36" t="s">
        <v>2270</v>
      </c>
      <c r="BA2" s="34" t="s">
        <v>2271</v>
      </c>
      <c r="BB2" s="36" t="s">
        <v>2272</v>
      </c>
      <c r="BC2" s="78"/>
      <c r="BD2" s="37" t="s">
        <v>2264</v>
      </c>
      <c r="BE2" s="37" t="s">
        <v>2265</v>
      </c>
      <c r="BF2" s="37" t="s">
        <v>7</v>
      </c>
      <c r="BG2" s="37" t="s">
        <v>2066</v>
      </c>
      <c r="BH2" s="37" t="s">
        <v>2270</v>
      </c>
      <c r="BI2" s="37" t="s">
        <v>2264</v>
      </c>
      <c r="BJ2" s="37" t="s">
        <v>2265</v>
      </c>
      <c r="BK2" s="37" t="s">
        <v>9</v>
      </c>
      <c r="BL2" s="37" t="s">
        <v>10</v>
      </c>
      <c r="BM2" s="37" t="s">
        <v>2066</v>
      </c>
      <c r="BN2" s="82"/>
      <c r="BO2" s="82"/>
      <c r="BP2" s="78"/>
      <c r="BQ2" s="64" t="s">
        <v>2264</v>
      </c>
      <c r="BR2" s="64" t="s">
        <v>2265</v>
      </c>
      <c r="BS2" s="64" t="s">
        <v>7</v>
      </c>
      <c r="BT2" s="64" t="s">
        <v>2066</v>
      </c>
      <c r="BU2" s="64" t="s">
        <v>2284</v>
      </c>
      <c r="BV2" s="64" t="s">
        <v>2285</v>
      </c>
      <c r="BW2" s="64" t="s">
        <v>2264</v>
      </c>
      <c r="BX2" s="64" t="s">
        <v>2265</v>
      </c>
      <c r="BY2" s="64" t="s">
        <v>2284</v>
      </c>
      <c r="BZ2" s="64" t="s">
        <v>9</v>
      </c>
      <c r="CA2" s="64" t="s">
        <v>10</v>
      </c>
      <c r="CB2" s="64" t="s">
        <v>2066</v>
      </c>
      <c r="CC2" s="64" t="s">
        <v>2269</v>
      </c>
      <c r="CD2" s="64" t="s">
        <v>2286</v>
      </c>
      <c r="CE2" s="64" t="s">
        <v>2281</v>
      </c>
      <c r="CF2" s="64" t="s">
        <v>2282</v>
      </c>
      <c r="CG2" s="78"/>
      <c r="CH2" s="68" t="s">
        <v>2264</v>
      </c>
      <c r="CI2" s="68" t="s">
        <v>2265</v>
      </c>
      <c r="CJ2" s="68" t="s">
        <v>7</v>
      </c>
      <c r="CK2" s="68" t="s">
        <v>2066</v>
      </c>
      <c r="CL2" s="68" t="s">
        <v>2264</v>
      </c>
      <c r="CM2" s="68" t="s">
        <v>2265</v>
      </c>
      <c r="CN2" s="68" t="s">
        <v>9</v>
      </c>
      <c r="CO2" s="68" t="s">
        <v>10</v>
      </c>
      <c r="CP2" s="68" t="s">
        <v>2066</v>
      </c>
      <c r="CQ2" s="68" t="s">
        <v>2269</v>
      </c>
      <c r="CR2" s="68" t="s">
        <v>2289</v>
      </c>
      <c r="CS2" s="78"/>
      <c r="CT2" s="4" t="s">
        <v>2097</v>
      </c>
      <c r="CU2" s="4" t="s">
        <v>2098</v>
      </c>
      <c r="CV2" s="5" t="s">
        <v>2249</v>
      </c>
      <c r="CW2" s="4" t="s">
        <v>2095</v>
      </c>
    </row>
    <row r="3" spans="1:108" ht="15" customHeight="1" x14ac:dyDescent="0.2">
      <c r="A3" s="1">
        <v>8909811955</v>
      </c>
      <c r="B3" s="1">
        <v>890981195</v>
      </c>
      <c r="C3" s="9">
        <v>210205002</v>
      </c>
      <c r="D3" s="10" t="s">
        <v>43</v>
      </c>
      <c r="E3" s="46" t="s">
        <v>1076</v>
      </c>
      <c r="F3" s="21"/>
      <c r="G3" s="50"/>
      <c r="H3" s="21"/>
      <c r="I3" s="50"/>
      <c r="J3" s="21"/>
      <c r="K3" s="21"/>
      <c r="L3" s="50"/>
      <c r="M3" s="51"/>
      <c r="N3" s="21"/>
      <c r="O3" s="50"/>
      <c r="P3" s="21"/>
      <c r="Q3" s="50"/>
      <c r="R3" s="21"/>
      <c r="S3" s="21"/>
      <c r="T3" s="50"/>
      <c r="U3" s="51">
        <f t="shared" ref="U3:U66" si="0">SUM(M3:T3)</f>
        <v>0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>
        <v>252130017</v>
      </c>
      <c r="AN3" s="51">
        <f>SUM(AC3:AM3)</f>
        <v>252130017</v>
      </c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>
        <v>105194050</v>
      </c>
      <c r="AZ3" s="51"/>
      <c r="BA3" s="51"/>
      <c r="BB3" s="51"/>
      <c r="BC3" s="52">
        <f>SUM(AN3:BA3)-BB3</f>
        <v>357324067</v>
      </c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>
        <v>21038810</v>
      </c>
      <c r="BO3" s="51"/>
      <c r="BP3" s="52">
        <v>378362877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>
        <v>21038810</v>
      </c>
      <c r="CD3" s="52"/>
      <c r="CE3" s="52"/>
      <c r="CF3" s="52"/>
      <c r="CG3" s="52">
        <f>SUM(BP3:CF3)</f>
        <v>399401687</v>
      </c>
      <c r="CH3" s="52"/>
      <c r="CI3" s="52"/>
      <c r="CJ3" s="52"/>
      <c r="CK3" s="52"/>
      <c r="CL3" s="52"/>
      <c r="CM3" s="52"/>
      <c r="CN3" s="52"/>
      <c r="CO3" s="52"/>
      <c r="CP3" s="52"/>
      <c r="CQ3" s="52">
        <v>21038810</v>
      </c>
      <c r="CR3" s="52"/>
      <c r="CS3" s="52">
        <f t="shared" ref="CS3:CS66" si="1">SUM(CG3:CR3)</f>
        <v>420440497</v>
      </c>
      <c r="CT3" s="53">
        <v>168310480</v>
      </c>
      <c r="CU3" s="53">
        <f t="shared" ref="CU3:CU66" si="2">+AM3+BA3-BB3+BO3+CE3+CF3+CR3</f>
        <v>252130017</v>
      </c>
      <c r="CV3" s="54">
        <f>+CT3+CU3</f>
        <v>420440497</v>
      </c>
      <c r="CW3" s="55">
        <f>+CS3-CV3</f>
        <v>0</v>
      </c>
      <c r="CX3" s="16"/>
      <c r="CY3" s="16"/>
      <c r="CZ3" s="16"/>
    </row>
    <row r="4" spans="1:108" ht="15" customHeight="1" x14ac:dyDescent="0.2">
      <c r="A4" s="1">
        <v>8905046120</v>
      </c>
      <c r="B4" s="1">
        <v>890504612</v>
      </c>
      <c r="C4" s="9">
        <v>210354003</v>
      </c>
      <c r="D4" s="10" t="s">
        <v>751</v>
      </c>
      <c r="E4" s="46" t="s">
        <v>1771</v>
      </c>
      <c r="F4" s="21"/>
      <c r="G4" s="50"/>
      <c r="H4" s="21"/>
      <c r="I4" s="50"/>
      <c r="J4" s="21"/>
      <c r="K4" s="21"/>
      <c r="L4" s="50"/>
      <c r="M4" s="51"/>
      <c r="N4" s="21"/>
      <c r="O4" s="50"/>
      <c r="P4" s="21"/>
      <c r="Q4" s="50"/>
      <c r="R4" s="21"/>
      <c r="S4" s="21"/>
      <c r="T4" s="50"/>
      <c r="U4" s="51">
        <f t="shared" si="0"/>
        <v>0</v>
      </c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>
        <v>88161029</v>
      </c>
      <c r="AN4" s="51">
        <f t="shared" ref="AN4:AN56" si="3">SUM(AC4:AM4)</f>
        <v>88161029</v>
      </c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>
        <v>265996980</v>
      </c>
      <c r="AZ4" s="51"/>
      <c r="BA4" s="51">
        <f>VLOOKUP(B4,[1]Hoja3!J$3:K$674,2,0)</f>
        <v>333954754</v>
      </c>
      <c r="BB4" s="51"/>
      <c r="BC4" s="52">
        <f t="shared" ref="BC4:BC67" si="4">SUM(AN4:BA4)-BB4</f>
        <v>688112763</v>
      </c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>
        <v>53199396</v>
      </c>
      <c r="BO4" s="51"/>
      <c r="BP4" s="52">
        <v>741312159</v>
      </c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>
        <v>53199396</v>
      </c>
      <c r="CD4" s="52"/>
      <c r="CE4" s="52"/>
      <c r="CF4" s="52"/>
      <c r="CG4" s="52">
        <f t="shared" ref="CG4:CG67" si="5">SUM(BP4:CF4)</f>
        <v>794511555</v>
      </c>
      <c r="CH4" s="52"/>
      <c r="CI4" s="52"/>
      <c r="CJ4" s="52"/>
      <c r="CK4" s="52"/>
      <c r="CL4" s="52"/>
      <c r="CM4" s="52"/>
      <c r="CN4" s="52"/>
      <c r="CO4" s="52"/>
      <c r="CP4" s="52"/>
      <c r="CQ4" s="52">
        <v>53199396</v>
      </c>
      <c r="CR4" s="52"/>
      <c r="CS4" s="52">
        <f t="shared" si="1"/>
        <v>847710951</v>
      </c>
      <c r="CT4" s="53">
        <v>425595168</v>
      </c>
      <c r="CU4" s="53">
        <f t="shared" si="2"/>
        <v>422115783</v>
      </c>
      <c r="CV4" s="54">
        <f t="shared" ref="CV4:CV67" si="6">+CT4+CU4</f>
        <v>847710951</v>
      </c>
      <c r="CW4" s="55">
        <f t="shared" ref="CW4:CW67" si="7">+CS4-CV4</f>
        <v>0</v>
      </c>
      <c r="CX4" s="16"/>
      <c r="CY4" s="16"/>
      <c r="CZ4" s="16"/>
    </row>
    <row r="5" spans="1:108" ht="15" customHeight="1" x14ac:dyDescent="0.2">
      <c r="A5" s="1">
        <v>8909812511</v>
      </c>
      <c r="B5" s="1">
        <v>890981251</v>
      </c>
      <c r="C5" s="9">
        <v>210405004</v>
      </c>
      <c r="D5" s="10" t="s">
        <v>44</v>
      </c>
      <c r="E5" s="46" t="s">
        <v>1077</v>
      </c>
      <c r="F5" s="21"/>
      <c r="G5" s="50"/>
      <c r="H5" s="21"/>
      <c r="I5" s="50"/>
      <c r="J5" s="21"/>
      <c r="K5" s="21"/>
      <c r="L5" s="50"/>
      <c r="M5" s="51"/>
      <c r="N5" s="21"/>
      <c r="O5" s="50"/>
      <c r="P5" s="21"/>
      <c r="Q5" s="50"/>
      <c r="R5" s="21"/>
      <c r="S5" s="21"/>
      <c r="T5" s="50"/>
      <c r="U5" s="51">
        <f t="shared" si="0"/>
        <v>0</v>
      </c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>
        <v>29758392</v>
      </c>
      <c r="AN5" s="51">
        <f t="shared" si="3"/>
        <v>29758392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>
        <v>13969445</v>
      </c>
      <c r="AZ5" s="51"/>
      <c r="BA5" s="51"/>
      <c r="BB5" s="51"/>
      <c r="BC5" s="52">
        <f t="shared" si="4"/>
        <v>43727837</v>
      </c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>
        <v>2793889</v>
      </c>
      <c r="BO5" s="51"/>
      <c r="BP5" s="52">
        <v>46521726</v>
      </c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>
        <v>2793889</v>
      </c>
      <c r="CD5" s="52"/>
      <c r="CE5" s="52"/>
      <c r="CF5" s="52"/>
      <c r="CG5" s="52">
        <f t="shared" si="5"/>
        <v>49315615</v>
      </c>
      <c r="CH5" s="52"/>
      <c r="CI5" s="52"/>
      <c r="CJ5" s="52"/>
      <c r="CK5" s="52"/>
      <c r="CL5" s="52"/>
      <c r="CM5" s="52"/>
      <c r="CN5" s="52"/>
      <c r="CO5" s="52"/>
      <c r="CP5" s="52"/>
      <c r="CQ5" s="52">
        <v>2793889</v>
      </c>
      <c r="CR5" s="52"/>
      <c r="CS5" s="52">
        <f t="shared" si="1"/>
        <v>52109504</v>
      </c>
      <c r="CT5" s="53">
        <v>22351112</v>
      </c>
      <c r="CU5" s="53">
        <f t="shared" si="2"/>
        <v>29758392</v>
      </c>
      <c r="CV5" s="54">
        <f t="shared" si="6"/>
        <v>52109504</v>
      </c>
      <c r="CW5" s="55">
        <f t="shared" si="7"/>
        <v>0</v>
      </c>
      <c r="CX5" s="16"/>
      <c r="CY5" s="16"/>
      <c r="CZ5" s="16"/>
    </row>
    <row r="6" spans="1:108" ht="15" customHeight="1" x14ac:dyDescent="0.2">
      <c r="A6" s="1">
        <v>8920014573</v>
      </c>
      <c r="B6" s="1">
        <v>892001457</v>
      </c>
      <c r="C6" s="9">
        <v>210650006</v>
      </c>
      <c r="D6" s="10" t="s">
        <v>666</v>
      </c>
      <c r="E6" s="46" t="s">
        <v>1686</v>
      </c>
      <c r="F6" s="21"/>
      <c r="G6" s="50"/>
      <c r="H6" s="21"/>
      <c r="I6" s="50"/>
      <c r="J6" s="21"/>
      <c r="K6" s="21"/>
      <c r="L6" s="50"/>
      <c r="M6" s="51"/>
      <c r="N6" s="21"/>
      <c r="O6" s="50"/>
      <c r="P6" s="21"/>
      <c r="Q6" s="50"/>
      <c r="R6" s="21"/>
      <c r="S6" s="21"/>
      <c r="T6" s="50"/>
      <c r="U6" s="51">
        <f t="shared" si="0"/>
        <v>0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>
        <v>1070689589</v>
      </c>
      <c r="AN6" s="51">
        <f t="shared" si="3"/>
        <v>1070689589</v>
      </c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>
        <v>423302020</v>
      </c>
      <c r="AZ6" s="51"/>
      <c r="BA6" s="51"/>
      <c r="BB6" s="51"/>
      <c r="BC6" s="52">
        <f t="shared" si="4"/>
        <v>1493991609</v>
      </c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>
        <v>84660404</v>
      </c>
      <c r="BO6" s="51"/>
      <c r="BP6" s="52">
        <v>1578652013</v>
      </c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>
        <v>84660404</v>
      </c>
      <c r="CD6" s="52"/>
      <c r="CE6" s="52"/>
      <c r="CF6" s="52"/>
      <c r="CG6" s="52">
        <f t="shared" si="5"/>
        <v>1663312417</v>
      </c>
      <c r="CH6" s="52"/>
      <c r="CI6" s="52"/>
      <c r="CJ6" s="52"/>
      <c r="CK6" s="52"/>
      <c r="CL6" s="52"/>
      <c r="CM6" s="52"/>
      <c r="CN6" s="52"/>
      <c r="CO6" s="52"/>
      <c r="CP6" s="52"/>
      <c r="CQ6" s="52">
        <v>84660404</v>
      </c>
      <c r="CR6" s="52"/>
      <c r="CS6" s="52">
        <f t="shared" si="1"/>
        <v>1747972821</v>
      </c>
      <c r="CT6" s="53">
        <v>677283232</v>
      </c>
      <c r="CU6" s="53">
        <f t="shared" si="2"/>
        <v>1070689589</v>
      </c>
      <c r="CV6" s="54">
        <f t="shared" si="6"/>
        <v>1747972821</v>
      </c>
      <c r="CW6" s="55">
        <f t="shared" si="7"/>
        <v>0</v>
      </c>
      <c r="CX6" s="16"/>
      <c r="CY6" s="16"/>
      <c r="CZ6" s="16"/>
    </row>
    <row r="7" spans="1:108" ht="15" customHeight="1" x14ac:dyDescent="0.2">
      <c r="A7" s="1">
        <v>8916800508</v>
      </c>
      <c r="B7" s="1">
        <v>891680050</v>
      </c>
      <c r="C7" s="9">
        <v>210627006</v>
      </c>
      <c r="D7" s="10" t="s">
        <v>568</v>
      </c>
      <c r="E7" s="46" t="s">
        <v>1587</v>
      </c>
      <c r="F7" s="21"/>
      <c r="G7" s="50"/>
      <c r="H7" s="21"/>
      <c r="I7" s="50"/>
      <c r="J7" s="21"/>
      <c r="K7" s="21"/>
      <c r="L7" s="50"/>
      <c r="M7" s="51"/>
      <c r="N7" s="21"/>
      <c r="O7" s="50"/>
      <c r="P7" s="21"/>
      <c r="Q7" s="50"/>
      <c r="R7" s="21"/>
      <c r="S7" s="21"/>
      <c r="T7" s="50"/>
      <c r="U7" s="51">
        <f t="shared" si="0"/>
        <v>0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>
        <v>253745292</v>
      </c>
      <c r="AN7" s="51">
        <f t="shared" si="3"/>
        <v>253745292</v>
      </c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>
        <v>114043975</v>
      </c>
      <c r="AZ7" s="51"/>
      <c r="BA7" s="51"/>
      <c r="BB7" s="51"/>
      <c r="BC7" s="52">
        <f t="shared" si="4"/>
        <v>367789267</v>
      </c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>
        <v>22808795</v>
      </c>
      <c r="BO7" s="51"/>
      <c r="BP7" s="52">
        <v>390598062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>
        <v>22808795</v>
      </c>
      <c r="CD7" s="52"/>
      <c r="CE7" s="52"/>
      <c r="CF7" s="52"/>
      <c r="CG7" s="52">
        <f t="shared" si="5"/>
        <v>413406857</v>
      </c>
      <c r="CH7" s="52"/>
      <c r="CI7" s="52"/>
      <c r="CJ7" s="52"/>
      <c r="CK7" s="52"/>
      <c r="CL7" s="52"/>
      <c r="CM7" s="52"/>
      <c r="CN7" s="52"/>
      <c r="CO7" s="52"/>
      <c r="CP7" s="52"/>
      <c r="CQ7" s="52">
        <v>22808795</v>
      </c>
      <c r="CR7" s="52">
        <v>746641497</v>
      </c>
      <c r="CS7" s="52">
        <f t="shared" si="1"/>
        <v>1182857149</v>
      </c>
      <c r="CT7" s="53">
        <v>182470360</v>
      </c>
      <c r="CU7" s="53">
        <f t="shared" si="2"/>
        <v>1000386789</v>
      </c>
      <c r="CV7" s="54">
        <f t="shared" si="6"/>
        <v>1182857149</v>
      </c>
      <c r="CW7" s="55">
        <f t="shared" si="7"/>
        <v>0</v>
      </c>
      <c r="CX7" s="16"/>
      <c r="CY7" s="16"/>
      <c r="CZ7" s="16"/>
    </row>
    <row r="8" spans="1:108" ht="15" customHeight="1" x14ac:dyDescent="0.2">
      <c r="A8" s="1">
        <v>8911800691</v>
      </c>
      <c r="B8" s="1">
        <v>891180069</v>
      </c>
      <c r="C8" s="9">
        <v>210641006</v>
      </c>
      <c r="D8" s="10" t="s">
        <v>593</v>
      </c>
      <c r="E8" s="46" t="s">
        <v>1614</v>
      </c>
      <c r="F8" s="21"/>
      <c r="G8" s="50"/>
      <c r="H8" s="21"/>
      <c r="I8" s="50"/>
      <c r="J8" s="21"/>
      <c r="K8" s="21"/>
      <c r="L8" s="50"/>
      <c r="M8" s="51"/>
      <c r="N8" s="21"/>
      <c r="O8" s="50"/>
      <c r="P8" s="21"/>
      <c r="Q8" s="50"/>
      <c r="R8" s="21"/>
      <c r="S8" s="21"/>
      <c r="T8" s="50"/>
      <c r="U8" s="51">
        <f t="shared" si="0"/>
        <v>0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>
        <v>39915138</v>
      </c>
      <c r="AN8" s="51">
        <f t="shared" si="3"/>
        <v>39915138</v>
      </c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>
        <v>347609505</v>
      </c>
      <c r="AZ8" s="51"/>
      <c r="BA8" s="51">
        <f>VLOOKUP(B8,[1]Hoja3!J$3:K$674,2,0)</f>
        <v>552179728</v>
      </c>
      <c r="BB8" s="51"/>
      <c r="BC8" s="52">
        <f t="shared" si="4"/>
        <v>939704371</v>
      </c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>
        <v>69521901</v>
      </c>
      <c r="BO8" s="51"/>
      <c r="BP8" s="52">
        <v>1009226272</v>
      </c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>
        <v>69521901</v>
      </c>
      <c r="CD8" s="52"/>
      <c r="CE8" s="52"/>
      <c r="CF8" s="52"/>
      <c r="CG8" s="52">
        <f t="shared" si="5"/>
        <v>1078748173</v>
      </c>
      <c r="CH8" s="52"/>
      <c r="CI8" s="52"/>
      <c r="CJ8" s="52"/>
      <c r="CK8" s="52"/>
      <c r="CL8" s="52"/>
      <c r="CM8" s="52"/>
      <c r="CN8" s="52"/>
      <c r="CO8" s="52"/>
      <c r="CP8" s="52"/>
      <c r="CQ8" s="52">
        <v>69521901</v>
      </c>
      <c r="CR8" s="52"/>
      <c r="CS8" s="52">
        <f t="shared" si="1"/>
        <v>1148270074</v>
      </c>
      <c r="CT8" s="53">
        <v>556175208</v>
      </c>
      <c r="CU8" s="53">
        <f t="shared" si="2"/>
        <v>592094866</v>
      </c>
      <c r="CV8" s="54">
        <f t="shared" si="6"/>
        <v>1148270074</v>
      </c>
      <c r="CW8" s="55">
        <f t="shared" si="7"/>
        <v>0</v>
      </c>
      <c r="CX8" s="16"/>
      <c r="CY8" s="16"/>
      <c r="CZ8" s="16"/>
    </row>
    <row r="9" spans="1:108" ht="15" customHeight="1" x14ac:dyDescent="0.2">
      <c r="A9" s="1">
        <v>8000373711</v>
      </c>
      <c r="B9" s="1">
        <v>800037371</v>
      </c>
      <c r="C9" s="9">
        <v>210613006</v>
      </c>
      <c r="D9" s="10" t="s">
        <v>181</v>
      </c>
      <c r="E9" s="46" t="s">
        <v>1210</v>
      </c>
      <c r="F9" s="21"/>
      <c r="G9" s="50"/>
      <c r="H9" s="21"/>
      <c r="I9" s="50"/>
      <c r="J9" s="21"/>
      <c r="K9" s="21"/>
      <c r="L9" s="50"/>
      <c r="M9" s="51"/>
      <c r="N9" s="21"/>
      <c r="O9" s="50"/>
      <c r="P9" s="21"/>
      <c r="Q9" s="50"/>
      <c r="R9" s="21"/>
      <c r="S9" s="21"/>
      <c r="T9" s="50"/>
      <c r="U9" s="51">
        <f t="shared" si="0"/>
        <v>0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>
        <v>140244028</v>
      </c>
      <c r="AN9" s="51">
        <f t="shared" si="3"/>
        <v>140244028</v>
      </c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>
        <f>VLOOKUP(B9,[1]Hoja3!J$3:K$674,2,0)</f>
        <v>388190337</v>
      </c>
      <c r="BB9" s="51"/>
      <c r="BC9" s="52">
        <f t="shared" si="4"/>
        <v>528434365</v>
      </c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>
        <v>0</v>
      </c>
      <c r="BO9" s="51"/>
      <c r="BP9" s="52">
        <v>528434365</v>
      </c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>
        <v>525042595</v>
      </c>
      <c r="CD9" s="52"/>
      <c r="CE9" s="52"/>
      <c r="CF9" s="52"/>
      <c r="CG9" s="52">
        <f t="shared" si="5"/>
        <v>1053476960</v>
      </c>
      <c r="CH9" s="52"/>
      <c r="CI9" s="52"/>
      <c r="CJ9" s="52"/>
      <c r="CK9" s="52"/>
      <c r="CL9" s="52"/>
      <c r="CM9" s="52"/>
      <c r="CN9" s="52"/>
      <c r="CO9" s="52"/>
      <c r="CP9" s="52"/>
      <c r="CQ9" s="52">
        <v>75006085</v>
      </c>
      <c r="CR9" s="52"/>
      <c r="CS9" s="52">
        <f t="shared" si="1"/>
        <v>1128483045</v>
      </c>
      <c r="CT9" s="53">
        <v>600048680</v>
      </c>
      <c r="CU9" s="53">
        <f t="shared" si="2"/>
        <v>528434365</v>
      </c>
      <c r="CV9" s="54">
        <f t="shared" si="6"/>
        <v>1128483045</v>
      </c>
      <c r="CW9" s="55">
        <f t="shared" si="7"/>
        <v>0</v>
      </c>
      <c r="CX9" s="16"/>
      <c r="CY9" s="16"/>
      <c r="CZ9" s="8"/>
      <c r="DA9" s="8"/>
      <c r="DB9" s="8"/>
      <c r="DC9" s="8"/>
      <c r="DD9" s="8"/>
    </row>
    <row r="10" spans="1:108" ht="15" customHeight="1" x14ac:dyDescent="0.2">
      <c r="A10" s="1">
        <v>8911801399</v>
      </c>
      <c r="B10" s="1">
        <v>891180139</v>
      </c>
      <c r="C10" s="9">
        <v>211341013</v>
      </c>
      <c r="D10" s="10" t="s">
        <v>594</v>
      </c>
      <c r="E10" s="46" t="s">
        <v>1615</v>
      </c>
      <c r="F10" s="21"/>
      <c r="G10" s="50"/>
      <c r="H10" s="21"/>
      <c r="I10" s="50"/>
      <c r="J10" s="21"/>
      <c r="K10" s="21"/>
      <c r="L10" s="50"/>
      <c r="M10" s="51"/>
      <c r="N10" s="21"/>
      <c r="O10" s="50"/>
      <c r="P10" s="21"/>
      <c r="Q10" s="50"/>
      <c r="R10" s="21"/>
      <c r="S10" s="21"/>
      <c r="T10" s="50"/>
      <c r="U10" s="51">
        <f t="shared" si="0"/>
        <v>0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>
        <f t="shared" si="3"/>
        <v>0</v>
      </c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>
        <f>VLOOKUP(B10,[1]Hoja3!J$3:K$674,2,0)</f>
        <v>160601269</v>
      </c>
      <c r="BB10" s="51"/>
      <c r="BC10" s="52">
        <f t="shared" si="4"/>
        <v>160601269</v>
      </c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>
        <v>0</v>
      </c>
      <c r="BO10" s="51"/>
      <c r="BP10" s="52">
        <v>160601269</v>
      </c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>
        <v>0</v>
      </c>
      <c r="CD10" s="52"/>
      <c r="CE10" s="52"/>
      <c r="CF10" s="52"/>
      <c r="CG10" s="52">
        <f t="shared" si="5"/>
        <v>160601269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>
        <v>0</v>
      </c>
      <c r="CR10" s="52"/>
      <c r="CS10" s="52">
        <f t="shared" si="1"/>
        <v>160601269</v>
      </c>
      <c r="CT10" s="53"/>
      <c r="CU10" s="53">
        <f t="shared" si="2"/>
        <v>160601269</v>
      </c>
      <c r="CV10" s="54">
        <f t="shared" si="6"/>
        <v>160601269</v>
      </c>
      <c r="CW10" s="55">
        <f t="shared" si="7"/>
        <v>0</v>
      </c>
      <c r="CX10" s="16"/>
      <c r="CY10" s="16"/>
      <c r="CZ10" s="16"/>
    </row>
    <row r="11" spans="1:108" ht="15" customHeight="1" x14ac:dyDescent="0.2">
      <c r="A11" s="1">
        <v>8906801494</v>
      </c>
      <c r="B11" s="1">
        <v>890680149</v>
      </c>
      <c r="C11" s="9">
        <v>210125001</v>
      </c>
      <c r="D11" s="10" t="s">
        <v>460</v>
      </c>
      <c r="E11" s="46" t="s">
        <v>1487</v>
      </c>
      <c r="F11" s="21"/>
      <c r="G11" s="50"/>
      <c r="H11" s="21"/>
      <c r="I11" s="50"/>
      <c r="J11" s="21"/>
      <c r="K11" s="21"/>
      <c r="L11" s="50"/>
      <c r="M11" s="51"/>
      <c r="N11" s="21"/>
      <c r="O11" s="50"/>
      <c r="P11" s="21"/>
      <c r="Q11" s="50"/>
      <c r="R11" s="21"/>
      <c r="S11" s="21"/>
      <c r="T11" s="50"/>
      <c r="U11" s="51">
        <f t="shared" si="0"/>
        <v>0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>
        <f t="shared" si="3"/>
        <v>0</v>
      </c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>
        <v>67018435</v>
      </c>
      <c r="AZ11" s="51"/>
      <c r="BA11" s="51"/>
      <c r="BB11" s="51"/>
      <c r="BC11" s="52">
        <f t="shared" si="4"/>
        <v>67018435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>
        <v>13403687</v>
      </c>
      <c r="BO11" s="51"/>
      <c r="BP11" s="52">
        <v>80422122</v>
      </c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>
        <v>13403687</v>
      </c>
      <c r="CD11" s="52"/>
      <c r="CE11" s="52"/>
      <c r="CF11" s="52"/>
      <c r="CG11" s="52">
        <f t="shared" si="5"/>
        <v>93825809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>
        <v>13403687</v>
      </c>
      <c r="CR11" s="52"/>
      <c r="CS11" s="52">
        <f t="shared" si="1"/>
        <v>107229496</v>
      </c>
      <c r="CT11" s="53">
        <v>107229496</v>
      </c>
      <c r="CU11" s="53">
        <f t="shared" si="2"/>
        <v>0</v>
      </c>
      <c r="CV11" s="54">
        <f t="shared" si="6"/>
        <v>107229496</v>
      </c>
      <c r="CW11" s="55">
        <f t="shared" si="7"/>
        <v>0</v>
      </c>
      <c r="CX11" s="16"/>
      <c r="CY11" s="16"/>
      <c r="CZ11" s="8"/>
      <c r="DA11" s="8"/>
      <c r="DB11" s="8"/>
      <c r="DC11" s="8"/>
      <c r="DD11" s="8"/>
    </row>
    <row r="12" spans="1:108" ht="15" customHeight="1" x14ac:dyDescent="0.2">
      <c r="A12" s="1">
        <v>8000965614</v>
      </c>
      <c r="B12" s="1">
        <v>800096561</v>
      </c>
      <c r="C12" s="9">
        <v>211120011</v>
      </c>
      <c r="D12" s="10" t="s">
        <v>413</v>
      </c>
      <c r="E12" s="46" t="s">
        <v>1441</v>
      </c>
      <c r="F12" s="21"/>
      <c r="G12" s="50"/>
      <c r="H12" s="21"/>
      <c r="I12" s="50"/>
      <c r="J12" s="21"/>
      <c r="K12" s="21"/>
      <c r="L12" s="50"/>
      <c r="M12" s="51"/>
      <c r="N12" s="21"/>
      <c r="O12" s="50"/>
      <c r="P12" s="21"/>
      <c r="Q12" s="50"/>
      <c r="R12" s="21"/>
      <c r="S12" s="21"/>
      <c r="T12" s="50"/>
      <c r="U12" s="51">
        <f t="shared" si="0"/>
        <v>0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>
        <v>486427452</v>
      </c>
      <c r="AN12" s="51">
        <f t="shared" si="3"/>
        <v>486427452</v>
      </c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>
        <v>757350000</v>
      </c>
      <c r="AZ12" s="51"/>
      <c r="BA12" s="51">
        <f>VLOOKUP(B12,[1]Hoja3!J$3:K$674,2,0)</f>
        <v>868492321</v>
      </c>
      <c r="BB12" s="51"/>
      <c r="BC12" s="52">
        <f t="shared" si="4"/>
        <v>2112269773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>
        <v>151470000</v>
      </c>
      <c r="BO12" s="51"/>
      <c r="BP12" s="52">
        <v>2263739773</v>
      </c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>
        <v>151470000</v>
      </c>
      <c r="CD12" s="52"/>
      <c r="CE12" s="52"/>
      <c r="CF12" s="52"/>
      <c r="CG12" s="52">
        <f t="shared" si="5"/>
        <v>2415209773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>
        <v>151470000</v>
      </c>
      <c r="CR12" s="52"/>
      <c r="CS12" s="52">
        <f t="shared" si="1"/>
        <v>2566679773</v>
      </c>
      <c r="CT12" s="53">
        <v>1211760000</v>
      </c>
      <c r="CU12" s="53">
        <f t="shared" si="2"/>
        <v>1354919773</v>
      </c>
      <c r="CV12" s="54">
        <f t="shared" si="6"/>
        <v>2566679773</v>
      </c>
      <c r="CW12" s="55">
        <f t="shared" si="7"/>
        <v>0</v>
      </c>
      <c r="CX12" s="16"/>
      <c r="CY12" s="16"/>
      <c r="CZ12" s="16"/>
    </row>
    <row r="13" spans="1:108" ht="15" customHeight="1" x14ac:dyDescent="0.2">
      <c r="A13" s="1">
        <v>8902109281</v>
      </c>
      <c r="B13" s="1">
        <v>890210928</v>
      </c>
      <c r="C13" s="9">
        <v>211368013</v>
      </c>
      <c r="D13" s="10" t="s">
        <v>812</v>
      </c>
      <c r="E13" s="46" t="s">
        <v>1829</v>
      </c>
      <c r="F13" s="21"/>
      <c r="G13" s="50"/>
      <c r="H13" s="21"/>
      <c r="I13" s="50"/>
      <c r="J13" s="21"/>
      <c r="K13" s="21"/>
      <c r="L13" s="50"/>
      <c r="M13" s="51"/>
      <c r="N13" s="21"/>
      <c r="O13" s="50"/>
      <c r="P13" s="21"/>
      <c r="Q13" s="50"/>
      <c r="R13" s="21"/>
      <c r="S13" s="21"/>
      <c r="T13" s="50"/>
      <c r="U13" s="51">
        <f t="shared" si="0"/>
        <v>0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>
        <v>19292796</v>
      </c>
      <c r="AN13" s="51">
        <f t="shared" si="3"/>
        <v>19292796</v>
      </c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2">
        <f t="shared" si="4"/>
        <v>19292796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>
        <v>0</v>
      </c>
      <c r="BO13" s="51"/>
      <c r="BP13" s="52">
        <v>19292796</v>
      </c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>
        <v>0</v>
      </c>
      <c r="CD13" s="52"/>
      <c r="CE13" s="52"/>
      <c r="CF13" s="52"/>
      <c r="CG13" s="52">
        <f t="shared" si="5"/>
        <v>19292796</v>
      </c>
      <c r="CH13" s="52"/>
      <c r="CI13" s="52"/>
      <c r="CJ13" s="52"/>
      <c r="CK13" s="52"/>
      <c r="CL13" s="52"/>
      <c r="CM13" s="52"/>
      <c r="CN13" s="52"/>
      <c r="CO13" s="52"/>
      <c r="CP13" s="52"/>
      <c r="CQ13" s="52">
        <v>0</v>
      </c>
      <c r="CR13" s="52"/>
      <c r="CS13" s="52">
        <f t="shared" si="1"/>
        <v>19292796</v>
      </c>
      <c r="CT13" s="53"/>
      <c r="CU13" s="53">
        <f t="shared" si="2"/>
        <v>19292796</v>
      </c>
      <c r="CV13" s="54">
        <f t="shared" si="6"/>
        <v>19292796</v>
      </c>
      <c r="CW13" s="55">
        <f t="shared" si="7"/>
        <v>0</v>
      </c>
      <c r="CX13" s="16"/>
      <c r="CY13" s="16"/>
      <c r="CZ13" s="16"/>
    </row>
    <row r="14" spans="1:108" ht="15" customHeight="1" x14ac:dyDescent="0.2">
      <c r="A14" s="1">
        <v>8908011320</v>
      </c>
      <c r="B14" s="1">
        <v>890801132</v>
      </c>
      <c r="C14" s="9">
        <v>211317013</v>
      </c>
      <c r="D14" s="10" t="s">
        <v>336</v>
      </c>
      <c r="E14" s="46" t="s">
        <v>1367</v>
      </c>
      <c r="F14" s="21"/>
      <c r="G14" s="50"/>
      <c r="H14" s="21"/>
      <c r="I14" s="50"/>
      <c r="J14" s="21"/>
      <c r="K14" s="21"/>
      <c r="L14" s="50"/>
      <c r="M14" s="51"/>
      <c r="N14" s="21"/>
      <c r="O14" s="50"/>
      <c r="P14" s="21"/>
      <c r="Q14" s="50"/>
      <c r="R14" s="21"/>
      <c r="S14" s="21"/>
      <c r="T14" s="50"/>
      <c r="U14" s="51">
        <f t="shared" si="0"/>
        <v>0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>
        <v>315048858</v>
      </c>
      <c r="AN14" s="51">
        <f t="shared" si="3"/>
        <v>315048858</v>
      </c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>
        <v>161721530</v>
      </c>
      <c r="AZ14" s="51"/>
      <c r="BA14" s="51"/>
      <c r="BB14" s="51"/>
      <c r="BC14" s="52">
        <f t="shared" si="4"/>
        <v>476770388</v>
      </c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>
        <v>32344306</v>
      </c>
      <c r="BO14" s="51"/>
      <c r="BP14" s="52">
        <v>509114694</v>
      </c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>
        <v>32344306</v>
      </c>
      <c r="CD14" s="52"/>
      <c r="CE14" s="52"/>
      <c r="CF14" s="52"/>
      <c r="CG14" s="52">
        <f t="shared" si="5"/>
        <v>541459000</v>
      </c>
      <c r="CH14" s="52"/>
      <c r="CI14" s="52"/>
      <c r="CJ14" s="52"/>
      <c r="CK14" s="52"/>
      <c r="CL14" s="52"/>
      <c r="CM14" s="52"/>
      <c r="CN14" s="52"/>
      <c r="CO14" s="52"/>
      <c r="CP14" s="52"/>
      <c r="CQ14" s="52">
        <v>32344306</v>
      </c>
      <c r="CR14" s="52"/>
      <c r="CS14" s="52">
        <f t="shared" si="1"/>
        <v>573803306</v>
      </c>
      <c r="CT14" s="53">
        <v>258754448</v>
      </c>
      <c r="CU14" s="53">
        <f t="shared" si="2"/>
        <v>315048858</v>
      </c>
      <c r="CV14" s="54">
        <f t="shared" si="6"/>
        <v>573803306</v>
      </c>
      <c r="CW14" s="55">
        <f t="shared" si="7"/>
        <v>0</v>
      </c>
      <c r="CX14" s="16"/>
      <c r="CY14" s="16"/>
      <c r="CZ14" s="16"/>
    </row>
    <row r="15" spans="1:108" ht="15" customHeight="1" x14ac:dyDescent="0.2">
      <c r="A15" s="1">
        <v>8918552009</v>
      </c>
      <c r="B15" s="1">
        <v>891855200</v>
      </c>
      <c r="C15" s="9">
        <v>211085010</v>
      </c>
      <c r="D15" s="10" t="s">
        <v>956</v>
      </c>
      <c r="E15" s="46" t="s">
        <v>2016</v>
      </c>
      <c r="F15" s="21"/>
      <c r="G15" s="50"/>
      <c r="H15" s="21"/>
      <c r="I15" s="50"/>
      <c r="J15" s="21"/>
      <c r="K15" s="21"/>
      <c r="L15" s="50"/>
      <c r="M15" s="51"/>
      <c r="N15" s="21"/>
      <c r="O15" s="50"/>
      <c r="P15" s="21"/>
      <c r="Q15" s="50"/>
      <c r="R15" s="21"/>
      <c r="S15" s="21"/>
      <c r="T15" s="50"/>
      <c r="U15" s="51">
        <f t="shared" si="0"/>
        <v>0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>
        <v>552814024</v>
      </c>
      <c r="AN15" s="51">
        <f t="shared" si="3"/>
        <v>552814024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>
        <v>235416770</v>
      </c>
      <c r="AZ15" s="51"/>
      <c r="BA15" s="51"/>
      <c r="BB15" s="51"/>
      <c r="BC15" s="52">
        <f t="shared" si="4"/>
        <v>788230794</v>
      </c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>
        <v>47083354</v>
      </c>
      <c r="BO15" s="51"/>
      <c r="BP15" s="52">
        <v>835314148</v>
      </c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>
        <v>47083354</v>
      </c>
      <c r="CD15" s="52"/>
      <c r="CE15" s="52"/>
      <c r="CF15" s="52"/>
      <c r="CG15" s="52">
        <f t="shared" si="5"/>
        <v>882397502</v>
      </c>
      <c r="CH15" s="52"/>
      <c r="CI15" s="52"/>
      <c r="CJ15" s="52"/>
      <c r="CK15" s="52"/>
      <c r="CL15" s="52"/>
      <c r="CM15" s="52"/>
      <c r="CN15" s="52"/>
      <c r="CO15" s="52"/>
      <c r="CP15" s="52"/>
      <c r="CQ15" s="52">
        <v>47083354</v>
      </c>
      <c r="CR15" s="52"/>
      <c r="CS15" s="52">
        <f t="shared" si="1"/>
        <v>929480856</v>
      </c>
      <c r="CT15" s="53">
        <v>376666832</v>
      </c>
      <c r="CU15" s="53">
        <f t="shared" si="2"/>
        <v>552814024</v>
      </c>
      <c r="CV15" s="54">
        <f t="shared" si="6"/>
        <v>929480856</v>
      </c>
      <c r="CW15" s="55">
        <f t="shared" si="7"/>
        <v>0</v>
      </c>
      <c r="CX15" s="16"/>
      <c r="CY15" s="16"/>
      <c r="CZ15" s="16"/>
    </row>
    <row r="16" spans="1:108" ht="15" customHeight="1" x14ac:dyDescent="0.2">
      <c r="A16" s="1">
        <v>8000965581</v>
      </c>
      <c r="B16" s="1">
        <v>800096558</v>
      </c>
      <c r="C16" s="9">
        <v>211320013</v>
      </c>
      <c r="D16" s="10" t="s">
        <v>414</v>
      </c>
      <c r="E16" s="46" t="s">
        <v>1442</v>
      </c>
      <c r="F16" s="21"/>
      <c r="G16" s="50"/>
      <c r="H16" s="21"/>
      <c r="I16" s="50"/>
      <c r="J16" s="21"/>
      <c r="K16" s="21"/>
      <c r="L16" s="50"/>
      <c r="M16" s="51"/>
      <c r="N16" s="21"/>
      <c r="O16" s="50"/>
      <c r="P16" s="21"/>
      <c r="Q16" s="50"/>
      <c r="R16" s="21"/>
      <c r="S16" s="21"/>
      <c r="T16" s="50"/>
      <c r="U16" s="51">
        <f t="shared" si="0"/>
        <v>0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>
        <v>139096491</v>
      </c>
      <c r="AN16" s="51">
        <f t="shared" si="3"/>
        <v>139096491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>
        <v>554512040</v>
      </c>
      <c r="AZ16" s="51"/>
      <c r="BA16" s="51">
        <f>VLOOKUP(B16,[1]Hoja3!J$3:K$674,2,0)</f>
        <v>827423507</v>
      </c>
      <c r="BB16" s="51"/>
      <c r="BC16" s="52">
        <f t="shared" si="4"/>
        <v>1521032038</v>
      </c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>
        <v>110902408</v>
      </c>
      <c r="BO16" s="51"/>
      <c r="BP16" s="52">
        <v>1631934446</v>
      </c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>
        <v>110902408</v>
      </c>
      <c r="CD16" s="52"/>
      <c r="CE16" s="52"/>
      <c r="CF16" s="52"/>
      <c r="CG16" s="52">
        <f t="shared" si="5"/>
        <v>1742836854</v>
      </c>
      <c r="CH16" s="52"/>
      <c r="CI16" s="52"/>
      <c r="CJ16" s="52"/>
      <c r="CK16" s="52"/>
      <c r="CL16" s="52"/>
      <c r="CM16" s="52"/>
      <c r="CN16" s="52"/>
      <c r="CO16" s="52"/>
      <c r="CP16" s="52"/>
      <c r="CQ16" s="52">
        <v>110902408</v>
      </c>
      <c r="CR16" s="52"/>
      <c r="CS16" s="52">
        <f t="shared" si="1"/>
        <v>1853739262</v>
      </c>
      <c r="CT16" s="53">
        <v>887219264</v>
      </c>
      <c r="CU16" s="53">
        <f t="shared" si="2"/>
        <v>966519998</v>
      </c>
      <c r="CV16" s="54">
        <f t="shared" si="6"/>
        <v>1853739262</v>
      </c>
      <c r="CW16" s="55">
        <f t="shared" si="7"/>
        <v>0</v>
      </c>
      <c r="CX16" s="16"/>
      <c r="CY16" s="16"/>
      <c r="CZ16" s="16"/>
    </row>
    <row r="17" spans="1:108" ht="15" customHeight="1" x14ac:dyDescent="0.2">
      <c r="A17" s="1">
        <v>8911800701</v>
      </c>
      <c r="B17" s="1">
        <v>891180070</v>
      </c>
      <c r="C17" s="9">
        <v>211641016</v>
      </c>
      <c r="D17" s="10" t="s">
        <v>595</v>
      </c>
      <c r="E17" s="46" t="s">
        <v>1616</v>
      </c>
      <c r="F17" s="21"/>
      <c r="G17" s="50"/>
      <c r="H17" s="21"/>
      <c r="I17" s="50"/>
      <c r="J17" s="21"/>
      <c r="K17" s="21"/>
      <c r="L17" s="50"/>
      <c r="M17" s="51"/>
      <c r="N17" s="21"/>
      <c r="O17" s="50"/>
      <c r="P17" s="21"/>
      <c r="Q17" s="50"/>
      <c r="R17" s="21"/>
      <c r="S17" s="21"/>
      <c r="T17" s="50"/>
      <c r="U17" s="51">
        <f t="shared" si="0"/>
        <v>0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>
        <v>65203896</v>
      </c>
      <c r="AN17" s="51">
        <f t="shared" si="3"/>
        <v>65203896</v>
      </c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>
        <v>123885245</v>
      </c>
      <c r="AZ17" s="51"/>
      <c r="BA17" s="51">
        <f>VLOOKUP(B17,[1]Hoja3!J$3:K$674,2,0)</f>
        <v>197075971</v>
      </c>
      <c r="BB17" s="51"/>
      <c r="BC17" s="52">
        <f t="shared" si="4"/>
        <v>386165112</v>
      </c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>
        <v>24777049</v>
      </c>
      <c r="BO17" s="51"/>
      <c r="BP17" s="52">
        <v>410942161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>
        <v>24777049</v>
      </c>
      <c r="CD17" s="52"/>
      <c r="CE17" s="52"/>
      <c r="CF17" s="52"/>
      <c r="CG17" s="52">
        <f t="shared" si="5"/>
        <v>435719210</v>
      </c>
      <c r="CH17" s="52"/>
      <c r="CI17" s="52"/>
      <c r="CJ17" s="52"/>
      <c r="CK17" s="52"/>
      <c r="CL17" s="52"/>
      <c r="CM17" s="52"/>
      <c r="CN17" s="52"/>
      <c r="CO17" s="52"/>
      <c r="CP17" s="52"/>
      <c r="CQ17" s="52">
        <v>24777049</v>
      </c>
      <c r="CR17" s="52"/>
      <c r="CS17" s="52">
        <f t="shared" si="1"/>
        <v>460496259</v>
      </c>
      <c r="CT17" s="53">
        <v>198216392</v>
      </c>
      <c r="CU17" s="53">
        <f t="shared" si="2"/>
        <v>262279867</v>
      </c>
      <c r="CV17" s="54">
        <f t="shared" si="6"/>
        <v>460496259</v>
      </c>
      <c r="CW17" s="55">
        <f t="shared" si="7"/>
        <v>0</v>
      </c>
      <c r="CX17" s="16"/>
      <c r="CY17" s="16"/>
      <c r="CZ17" s="16"/>
    </row>
    <row r="18" spans="1:108" ht="15" customHeight="1" x14ac:dyDescent="0.2">
      <c r="A18" s="1">
        <v>8999994500</v>
      </c>
      <c r="B18" s="1">
        <v>899999450</v>
      </c>
      <c r="C18" s="9">
        <v>211925019</v>
      </c>
      <c r="D18" s="10" t="s">
        <v>461</v>
      </c>
      <c r="E18" s="46" t="s">
        <v>1488</v>
      </c>
      <c r="F18" s="21"/>
      <c r="G18" s="50"/>
      <c r="H18" s="21"/>
      <c r="I18" s="50"/>
      <c r="J18" s="21"/>
      <c r="K18" s="21"/>
      <c r="L18" s="50"/>
      <c r="M18" s="51"/>
      <c r="N18" s="21"/>
      <c r="O18" s="50"/>
      <c r="P18" s="21"/>
      <c r="Q18" s="50"/>
      <c r="R18" s="21"/>
      <c r="S18" s="21"/>
      <c r="T18" s="50"/>
      <c r="U18" s="51">
        <f t="shared" si="0"/>
        <v>0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>
        <v>81729133</v>
      </c>
      <c r="AN18" s="51">
        <f t="shared" si="3"/>
        <v>81729133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>
        <v>38479870</v>
      </c>
      <c r="AZ18" s="51"/>
      <c r="BA18" s="51"/>
      <c r="BB18" s="51"/>
      <c r="BC18" s="52">
        <f t="shared" si="4"/>
        <v>120209003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>
        <v>7695974</v>
      </c>
      <c r="BO18" s="51"/>
      <c r="BP18" s="52">
        <v>127904977</v>
      </c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>
        <v>7695974</v>
      </c>
      <c r="CD18" s="52"/>
      <c r="CE18" s="52"/>
      <c r="CF18" s="52"/>
      <c r="CG18" s="52">
        <f t="shared" si="5"/>
        <v>135600951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2">
        <v>7695974</v>
      </c>
      <c r="CR18" s="52"/>
      <c r="CS18" s="52">
        <f t="shared" si="1"/>
        <v>143296925</v>
      </c>
      <c r="CT18" s="53">
        <v>61567792</v>
      </c>
      <c r="CU18" s="53">
        <f t="shared" si="2"/>
        <v>81729133</v>
      </c>
      <c r="CV18" s="54">
        <f t="shared" si="6"/>
        <v>143296925</v>
      </c>
      <c r="CW18" s="55">
        <f t="shared" si="7"/>
        <v>0</v>
      </c>
      <c r="CX18" s="16"/>
      <c r="CY18" s="16"/>
      <c r="CZ18" s="16"/>
    </row>
    <row r="19" spans="1:108" ht="15" customHeight="1" x14ac:dyDescent="0.2">
      <c r="A19" s="1">
        <v>8911904318</v>
      </c>
      <c r="B19" s="1">
        <v>891190431</v>
      </c>
      <c r="C19" s="9">
        <v>212918029</v>
      </c>
      <c r="D19" s="10" t="s">
        <v>362</v>
      </c>
      <c r="E19" s="46" t="s">
        <v>1391</v>
      </c>
      <c r="F19" s="21"/>
      <c r="G19" s="50"/>
      <c r="H19" s="21"/>
      <c r="I19" s="50"/>
      <c r="J19" s="21"/>
      <c r="K19" s="21"/>
      <c r="L19" s="50"/>
      <c r="M19" s="51"/>
      <c r="N19" s="21"/>
      <c r="O19" s="50"/>
      <c r="P19" s="21"/>
      <c r="Q19" s="50"/>
      <c r="R19" s="21"/>
      <c r="S19" s="21"/>
      <c r="T19" s="50"/>
      <c r="U19" s="51">
        <f t="shared" si="0"/>
        <v>0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>
        <f t="shared" si="3"/>
        <v>0</v>
      </c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>
        <v>52123625</v>
      </c>
      <c r="AZ19" s="51"/>
      <c r="BA19" s="51">
        <f>VLOOKUP(B19,[1]Hoja3!J$3:K$674,2,0)</f>
        <v>89801185</v>
      </c>
      <c r="BB19" s="51"/>
      <c r="BC19" s="52">
        <f t="shared" si="4"/>
        <v>141924810</v>
      </c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>
        <v>10424725</v>
      </c>
      <c r="BO19" s="51"/>
      <c r="BP19" s="52">
        <v>152349535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>
        <v>10424725</v>
      </c>
      <c r="CD19" s="52"/>
      <c r="CE19" s="52">
        <v>252658051</v>
      </c>
      <c r="CF19" s="52"/>
      <c r="CG19" s="52">
        <f t="shared" si="5"/>
        <v>415432311</v>
      </c>
      <c r="CH19" s="52"/>
      <c r="CI19" s="52"/>
      <c r="CJ19" s="52"/>
      <c r="CK19" s="52"/>
      <c r="CL19" s="52"/>
      <c r="CM19" s="52"/>
      <c r="CN19" s="52"/>
      <c r="CO19" s="52"/>
      <c r="CP19" s="52"/>
      <c r="CQ19" s="52">
        <v>10424725</v>
      </c>
      <c r="CR19" s="52"/>
      <c r="CS19" s="52">
        <f t="shared" si="1"/>
        <v>425857036</v>
      </c>
      <c r="CT19" s="53">
        <v>83397800</v>
      </c>
      <c r="CU19" s="53">
        <f t="shared" si="2"/>
        <v>342459236</v>
      </c>
      <c r="CV19" s="54">
        <f t="shared" si="6"/>
        <v>425857036</v>
      </c>
      <c r="CW19" s="55">
        <f t="shared" si="7"/>
        <v>0</v>
      </c>
      <c r="CX19" s="16"/>
      <c r="CY19" s="16"/>
      <c r="CZ19" s="16"/>
    </row>
    <row r="20" spans="1:108" s="12" customFormat="1" ht="15" customHeight="1" x14ac:dyDescent="0.2">
      <c r="A20" s="1">
        <v>8390003600</v>
      </c>
      <c r="B20" s="1">
        <v>839000360</v>
      </c>
      <c r="C20" s="9">
        <v>213544035</v>
      </c>
      <c r="D20" s="10" t="s">
        <v>630</v>
      </c>
      <c r="E20" s="46" t="s">
        <v>1648</v>
      </c>
      <c r="F20" s="21"/>
      <c r="G20" s="50"/>
      <c r="H20" s="21"/>
      <c r="I20" s="50"/>
      <c r="J20" s="21"/>
      <c r="K20" s="21"/>
      <c r="L20" s="50"/>
      <c r="M20" s="51"/>
      <c r="N20" s="21"/>
      <c r="O20" s="50"/>
      <c r="P20" s="21"/>
      <c r="Q20" s="50"/>
      <c r="R20" s="21"/>
      <c r="S20" s="21"/>
      <c r="T20" s="50"/>
      <c r="U20" s="51">
        <f t="shared" si="0"/>
        <v>0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>
        <v>241481397</v>
      </c>
      <c r="AN20" s="51">
        <f t="shared" si="3"/>
        <v>241481397</v>
      </c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>
        <v>290027665</v>
      </c>
      <c r="AZ20" s="51"/>
      <c r="BA20" s="51"/>
      <c r="BB20" s="51"/>
      <c r="BC20" s="52">
        <f t="shared" si="4"/>
        <v>531509062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>
        <v>58005533</v>
      </c>
      <c r="BO20" s="51"/>
      <c r="BP20" s="52">
        <v>589514595</v>
      </c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>
        <v>58005533</v>
      </c>
      <c r="CD20" s="52"/>
      <c r="CE20" s="52"/>
      <c r="CF20" s="52"/>
      <c r="CG20" s="52">
        <f t="shared" si="5"/>
        <v>647520128</v>
      </c>
      <c r="CH20" s="52"/>
      <c r="CI20" s="52"/>
      <c r="CJ20" s="52"/>
      <c r="CK20" s="52"/>
      <c r="CL20" s="52"/>
      <c r="CM20" s="52"/>
      <c r="CN20" s="52"/>
      <c r="CO20" s="52"/>
      <c r="CP20" s="52"/>
      <c r="CQ20" s="52">
        <v>58005533</v>
      </c>
      <c r="CR20" s="52"/>
      <c r="CS20" s="52">
        <f t="shared" si="1"/>
        <v>705525661</v>
      </c>
      <c r="CT20" s="53">
        <v>464044264</v>
      </c>
      <c r="CU20" s="53">
        <f t="shared" si="2"/>
        <v>241481397</v>
      </c>
      <c r="CV20" s="54">
        <f t="shared" si="6"/>
        <v>705525661</v>
      </c>
      <c r="CW20" s="55">
        <f t="shared" si="7"/>
        <v>0</v>
      </c>
      <c r="CX20" s="16"/>
      <c r="CY20" s="16"/>
      <c r="CZ20" s="16"/>
      <c r="DA20" s="6"/>
      <c r="DB20" s="6"/>
      <c r="DC20" s="6"/>
      <c r="DD20" s="6"/>
    </row>
    <row r="21" spans="1:108" ht="15" customHeight="1" x14ac:dyDescent="0.2">
      <c r="A21" s="1">
        <v>8000994555</v>
      </c>
      <c r="B21" s="1">
        <v>800099455</v>
      </c>
      <c r="C21" s="9">
        <v>212068020</v>
      </c>
      <c r="D21" s="10" t="s">
        <v>813</v>
      </c>
      <c r="E21" s="46" t="s">
        <v>1830</v>
      </c>
      <c r="F21" s="21"/>
      <c r="G21" s="50"/>
      <c r="H21" s="21"/>
      <c r="I21" s="50"/>
      <c r="J21" s="21"/>
      <c r="K21" s="21"/>
      <c r="L21" s="50"/>
      <c r="M21" s="51"/>
      <c r="N21" s="21"/>
      <c r="O21" s="50"/>
      <c r="P21" s="21"/>
      <c r="Q21" s="50"/>
      <c r="R21" s="21"/>
      <c r="S21" s="21"/>
      <c r="T21" s="50"/>
      <c r="U21" s="51">
        <f t="shared" si="0"/>
        <v>0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>
        <v>16089164</v>
      </c>
      <c r="AN21" s="51">
        <f t="shared" si="3"/>
        <v>16089164</v>
      </c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30981420</v>
      </c>
      <c r="AZ21" s="51"/>
      <c r="BA21" s="51">
        <f>VLOOKUP(B21,[1]Hoja3!J$3:K$674,2,0)</f>
        <v>41702603</v>
      </c>
      <c r="BB21" s="51"/>
      <c r="BC21" s="52">
        <f t="shared" si="4"/>
        <v>88773187</v>
      </c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>
        <v>6196284</v>
      </c>
      <c r="BO21" s="51"/>
      <c r="BP21" s="52">
        <v>94969471</v>
      </c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>
        <v>6196284</v>
      </c>
      <c r="CD21" s="52"/>
      <c r="CE21" s="52"/>
      <c r="CF21" s="52"/>
      <c r="CG21" s="52">
        <f t="shared" si="5"/>
        <v>101165755</v>
      </c>
      <c r="CH21" s="52"/>
      <c r="CI21" s="52"/>
      <c r="CJ21" s="52"/>
      <c r="CK21" s="52"/>
      <c r="CL21" s="52"/>
      <c r="CM21" s="52"/>
      <c r="CN21" s="52"/>
      <c r="CO21" s="52"/>
      <c r="CP21" s="52"/>
      <c r="CQ21" s="52">
        <v>6196284</v>
      </c>
      <c r="CR21" s="52"/>
      <c r="CS21" s="52">
        <f t="shared" si="1"/>
        <v>107362039</v>
      </c>
      <c r="CT21" s="53">
        <v>49570272</v>
      </c>
      <c r="CU21" s="53">
        <f t="shared" si="2"/>
        <v>57791767</v>
      </c>
      <c r="CV21" s="54">
        <f t="shared" si="6"/>
        <v>107362039</v>
      </c>
      <c r="CW21" s="55">
        <f t="shared" si="7"/>
        <v>0</v>
      </c>
      <c r="CX21" s="16"/>
      <c r="CY21" s="16"/>
      <c r="CZ21" s="16"/>
    </row>
    <row r="22" spans="1:108" ht="15" customHeight="1" x14ac:dyDescent="0.2">
      <c r="A22" s="1">
        <v>8000990545</v>
      </c>
      <c r="B22" s="1">
        <v>800099054</v>
      </c>
      <c r="C22" s="9">
        <v>211952019</v>
      </c>
      <c r="D22" s="10" t="s">
        <v>692</v>
      </c>
      <c r="E22" s="46" t="s">
        <v>1714</v>
      </c>
      <c r="F22" s="21"/>
      <c r="G22" s="50"/>
      <c r="H22" s="21"/>
      <c r="I22" s="50"/>
      <c r="J22" s="21"/>
      <c r="K22" s="21"/>
      <c r="L22" s="50"/>
      <c r="M22" s="51"/>
      <c r="N22" s="21"/>
      <c r="O22" s="50"/>
      <c r="P22" s="21"/>
      <c r="Q22" s="50"/>
      <c r="R22" s="21"/>
      <c r="S22" s="21"/>
      <c r="T22" s="50"/>
      <c r="U22" s="51">
        <f t="shared" si="0"/>
        <v>0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>
        <v>84198709</v>
      </c>
      <c r="AN22" s="51">
        <f t="shared" si="3"/>
        <v>84198709</v>
      </c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>
        <f>VLOOKUP(B22,[1]Hoja3!J$3:K$674,2,0)</f>
        <v>44158879</v>
      </c>
      <c r="BB22" s="51"/>
      <c r="BC22" s="52">
        <f t="shared" si="4"/>
        <v>128357588</v>
      </c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>
        <v>0</v>
      </c>
      <c r="BO22" s="51"/>
      <c r="BP22" s="52">
        <v>128357588</v>
      </c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>
        <v>0</v>
      </c>
      <c r="CD22" s="52"/>
      <c r="CE22" s="52"/>
      <c r="CF22" s="52"/>
      <c r="CG22" s="52">
        <f t="shared" si="5"/>
        <v>128357588</v>
      </c>
      <c r="CH22" s="52"/>
      <c r="CI22" s="52"/>
      <c r="CJ22" s="52"/>
      <c r="CK22" s="52"/>
      <c r="CL22" s="52"/>
      <c r="CM22" s="52"/>
      <c r="CN22" s="52"/>
      <c r="CO22" s="52"/>
      <c r="CP22" s="52"/>
      <c r="CQ22" s="52">
        <v>126410504</v>
      </c>
      <c r="CR22" s="52"/>
      <c r="CS22" s="52">
        <f t="shared" si="1"/>
        <v>254768092</v>
      </c>
      <c r="CT22" s="53">
        <v>126410504</v>
      </c>
      <c r="CU22" s="53">
        <f t="shared" si="2"/>
        <v>128357588</v>
      </c>
      <c r="CV22" s="54">
        <f t="shared" si="6"/>
        <v>254768092</v>
      </c>
      <c r="CW22" s="55">
        <f t="shared" si="7"/>
        <v>0</v>
      </c>
      <c r="CX22" s="16"/>
      <c r="CY22" s="16"/>
      <c r="CZ22" s="16"/>
    </row>
    <row r="23" spans="1:108" ht="15" customHeight="1" x14ac:dyDescent="0.2">
      <c r="A23" s="1">
        <v>8919010790</v>
      </c>
      <c r="B23" s="1">
        <v>891901079</v>
      </c>
      <c r="C23" s="9">
        <v>212076020</v>
      </c>
      <c r="D23" s="10" t="s">
        <v>912</v>
      </c>
      <c r="E23" s="46" t="s">
        <v>1973</v>
      </c>
      <c r="F23" s="21"/>
      <c r="G23" s="50"/>
      <c r="H23" s="21"/>
      <c r="I23" s="50"/>
      <c r="J23" s="21"/>
      <c r="K23" s="21"/>
      <c r="L23" s="50"/>
      <c r="M23" s="51"/>
      <c r="N23" s="21"/>
      <c r="O23" s="50"/>
      <c r="P23" s="21"/>
      <c r="Q23" s="50"/>
      <c r="R23" s="21"/>
      <c r="S23" s="21"/>
      <c r="T23" s="50"/>
      <c r="U23" s="51">
        <f t="shared" si="0"/>
        <v>0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>
        <f t="shared" si="3"/>
        <v>0</v>
      </c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>
        <v>99623840</v>
      </c>
      <c r="AZ23" s="51"/>
      <c r="BA23" s="51">
        <f>VLOOKUP(B23,[1]Hoja3!J$3:K$674,2,0)</f>
        <v>156802722</v>
      </c>
      <c r="BB23" s="51"/>
      <c r="BC23" s="52">
        <f t="shared" si="4"/>
        <v>256426562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>
        <v>19924768</v>
      </c>
      <c r="BO23" s="51"/>
      <c r="BP23" s="52">
        <v>276351330</v>
      </c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>
        <v>19924768</v>
      </c>
      <c r="CD23" s="52"/>
      <c r="CE23" s="52"/>
      <c r="CF23" s="52"/>
      <c r="CG23" s="52">
        <f t="shared" si="5"/>
        <v>296276098</v>
      </c>
      <c r="CH23" s="52"/>
      <c r="CI23" s="52"/>
      <c r="CJ23" s="52"/>
      <c r="CK23" s="52"/>
      <c r="CL23" s="52"/>
      <c r="CM23" s="52"/>
      <c r="CN23" s="52"/>
      <c r="CO23" s="52"/>
      <c r="CP23" s="52"/>
      <c r="CQ23" s="52">
        <v>19924768</v>
      </c>
      <c r="CR23" s="52"/>
      <c r="CS23" s="52">
        <f t="shared" si="1"/>
        <v>316200866</v>
      </c>
      <c r="CT23" s="53">
        <v>159398144</v>
      </c>
      <c r="CU23" s="53">
        <f t="shared" si="2"/>
        <v>156802722</v>
      </c>
      <c r="CV23" s="54">
        <f t="shared" si="6"/>
        <v>316200866</v>
      </c>
      <c r="CW23" s="55">
        <f t="shared" si="7"/>
        <v>0</v>
      </c>
      <c r="CX23" s="16"/>
      <c r="CY23" s="16"/>
      <c r="CZ23" s="16"/>
    </row>
    <row r="24" spans="1:108" ht="15" customHeight="1" x14ac:dyDescent="0.2">
      <c r="A24" s="1">
        <v>8000990520</v>
      </c>
      <c r="B24" s="1">
        <v>800099052</v>
      </c>
      <c r="C24" s="9">
        <v>212252022</v>
      </c>
      <c r="D24" s="10" t="s">
        <v>693</v>
      </c>
      <c r="E24" s="46" t="s">
        <v>1715</v>
      </c>
      <c r="F24" s="21"/>
      <c r="G24" s="50"/>
      <c r="H24" s="21"/>
      <c r="I24" s="50"/>
      <c r="J24" s="21"/>
      <c r="K24" s="21"/>
      <c r="L24" s="50"/>
      <c r="M24" s="51"/>
      <c r="N24" s="21"/>
      <c r="O24" s="50"/>
      <c r="P24" s="21"/>
      <c r="Q24" s="50"/>
      <c r="R24" s="21"/>
      <c r="S24" s="21"/>
      <c r="T24" s="50"/>
      <c r="U24" s="51">
        <f t="shared" si="0"/>
        <v>0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>
        <v>130677857</v>
      </c>
      <c r="AN24" s="51">
        <f t="shared" si="3"/>
        <v>130677857</v>
      </c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>
        <v>49951505</v>
      </c>
      <c r="AZ24" s="51"/>
      <c r="BA24" s="51"/>
      <c r="BB24" s="51"/>
      <c r="BC24" s="52">
        <f t="shared" si="4"/>
        <v>180629362</v>
      </c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>
        <v>9990301</v>
      </c>
      <c r="BO24" s="51"/>
      <c r="BP24" s="52">
        <v>190619663</v>
      </c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>
        <v>9990301</v>
      </c>
      <c r="CD24" s="52"/>
      <c r="CE24" s="52"/>
      <c r="CF24" s="52"/>
      <c r="CG24" s="52">
        <f t="shared" si="5"/>
        <v>200609964</v>
      </c>
      <c r="CH24" s="52"/>
      <c r="CI24" s="52"/>
      <c r="CJ24" s="52"/>
      <c r="CK24" s="52"/>
      <c r="CL24" s="52"/>
      <c r="CM24" s="52"/>
      <c r="CN24" s="52"/>
      <c r="CO24" s="52"/>
      <c r="CP24" s="52"/>
      <c r="CQ24" s="52">
        <v>9990301</v>
      </c>
      <c r="CR24" s="52"/>
      <c r="CS24" s="52">
        <f t="shared" si="1"/>
        <v>210600265</v>
      </c>
      <c r="CT24" s="53">
        <v>79922408</v>
      </c>
      <c r="CU24" s="53">
        <f t="shared" si="2"/>
        <v>130677857</v>
      </c>
      <c r="CV24" s="54">
        <f t="shared" si="6"/>
        <v>210600265</v>
      </c>
      <c r="CW24" s="55">
        <f t="shared" si="7"/>
        <v>0</v>
      </c>
      <c r="CX24" s="16"/>
      <c r="CY24" s="16"/>
      <c r="CZ24" s="16"/>
    </row>
    <row r="25" spans="1:108" ht="15" customHeight="1" x14ac:dyDescent="0.2">
      <c r="A25" s="1">
        <v>8909837011</v>
      </c>
      <c r="B25" s="1">
        <v>890983701</v>
      </c>
      <c r="C25" s="9">
        <v>212105021</v>
      </c>
      <c r="D25" s="10" t="s">
        <v>45</v>
      </c>
      <c r="E25" s="46" t="s">
        <v>1078</v>
      </c>
      <c r="F25" s="21"/>
      <c r="G25" s="50"/>
      <c r="H25" s="21"/>
      <c r="I25" s="50"/>
      <c r="J25" s="21"/>
      <c r="K25" s="21"/>
      <c r="L25" s="50"/>
      <c r="M25" s="51"/>
      <c r="N25" s="21"/>
      <c r="O25" s="50"/>
      <c r="P25" s="21"/>
      <c r="Q25" s="50"/>
      <c r="R25" s="21"/>
      <c r="S25" s="21"/>
      <c r="T25" s="50"/>
      <c r="U25" s="51">
        <f t="shared" si="0"/>
        <v>0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>
        <f t="shared" si="3"/>
        <v>0</v>
      </c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24045055</v>
      </c>
      <c r="AZ25" s="51"/>
      <c r="BA25" s="51">
        <f>VLOOKUP(B25,[1]Hoja3!J$3:K$674,2,0)</f>
        <v>44934229</v>
      </c>
      <c r="BB25" s="51"/>
      <c r="BC25" s="52">
        <f t="shared" si="4"/>
        <v>68979284</v>
      </c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>
        <v>4809011</v>
      </c>
      <c r="BO25" s="51"/>
      <c r="BP25" s="52">
        <v>73788295</v>
      </c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>
        <v>4809011</v>
      </c>
      <c r="CD25" s="52"/>
      <c r="CE25" s="52"/>
      <c r="CF25" s="52"/>
      <c r="CG25" s="52">
        <f t="shared" si="5"/>
        <v>78597306</v>
      </c>
      <c r="CH25" s="52"/>
      <c r="CI25" s="52"/>
      <c r="CJ25" s="52"/>
      <c r="CK25" s="52"/>
      <c r="CL25" s="52"/>
      <c r="CM25" s="52"/>
      <c r="CN25" s="52"/>
      <c r="CO25" s="52"/>
      <c r="CP25" s="52"/>
      <c r="CQ25" s="52">
        <v>4809011</v>
      </c>
      <c r="CR25" s="52"/>
      <c r="CS25" s="52">
        <f t="shared" si="1"/>
        <v>83406317</v>
      </c>
      <c r="CT25" s="53">
        <v>38472088</v>
      </c>
      <c r="CU25" s="53">
        <f t="shared" si="2"/>
        <v>44934229</v>
      </c>
      <c r="CV25" s="54">
        <f t="shared" si="6"/>
        <v>83406317</v>
      </c>
      <c r="CW25" s="55">
        <f t="shared" si="7"/>
        <v>0</v>
      </c>
      <c r="CX25" s="16"/>
      <c r="CY25" s="16"/>
      <c r="CZ25" s="16"/>
    </row>
    <row r="26" spans="1:108" ht="15" customHeight="1" x14ac:dyDescent="0.2">
      <c r="A26" s="1">
        <v>8190032190</v>
      </c>
      <c r="B26" s="1">
        <v>819003219</v>
      </c>
      <c r="C26" s="9">
        <v>213047030</v>
      </c>
      <c r="D26" s="10" t="s">
        <v>640</v>
      </c>
      <c r="E26" s="46" t="s">
        <v>1659</v>
      </c>
      <c r="F26" s="21"/>
      <c r="G26" s="50"/>
      <c r="H26" s="21"/>
      <c r="I26" s="50"/>
      <c r="J26" s="21"/>
      <c r="K26" s="21"/>
      <c r="L26" s="50"/>
      <c r="M26" s="51"/>
      <c r="N26" s="21"/>
      <c r="O26" s="50"/>
      <c r="P26" s="21"/>
      <c r="Q26" s="50"/>
      <c r="R26" s="21"/>
      <c r="S26" s="21"/>
      <c r="T26" s="50"/>
      <c r="U26" s="51">
        <f t="shared" si="0"/>
        <v>0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>
        <v>304771944</v>
      </c>
      <c r="AN26" s="51">
        <f t="shared" si="3"/>
        <v>304771944</v>
      </c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>
        <v>181171435</v>
      </c>
      <c r="AZ26" s="51"/>
      <c r="BA26" s="51"/>
      <c r="BB26" s="51">
        <f>VLOOKUP(B26,'[2]anuladas en mayo gratuidad}'!K$2:L$55,2,0)</f>
        <v>111754162</v>
      </c>
      <c r="BC26" s="52">
        <f t="shared" si="4"/>
        <v>374189217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>
        <v>36234287</v>
      </c>
      <c r="BO26" s="51">
        <v>111754162</v>
      </c>
      <c r="BP26" s="52">
        <v>522177666</v>
      </c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>
        <v>36234287</v>
      </c>
      <c r="CD26" s="52"/>
      <c r="CE26" s="52"/>
      <c r="CF26" s="52"/>
      <c r="CG26" s="52">
        <f t="shared" si="5"/>
        <v>558411953</v>
      </c>
      <c r="CH26" s="52"/>
      <c r="CI26" s="52"/>
      <c r="CJ26" s="52"/>
      <c r="CK26" s="52"/>
      <c r="CL26" s="52"/>
      <c r="CM26" s="52"/>
      <c r="CN26" s="52"/>
      <c r="CO26" s="52"/>
      <c r="CP26" s="52"/>
      <c r="CQ26" s="52">
        <v>36234287</v>
      </c>
      <c r="CR26" s="52"/>
      <c r="CS26" s="52">
        <f t="shared" si="1"/>
        <v>594646240</v>
      </c>
      <c r="CT26" s="53">
        <v>289874296</v>
      </c>
      <c r="CU26" s="53">
        <f t="shared" si="2"/>
        <v>304771944</v>
      </c>
      <c r="CV26" s="54">
        <f t="shared" si="6"/>
        <v>594646240</v>
      </c>
      <c r="CW26" s="55">
        <f t="shared" si="7"/>
        <v>0</v>
      </c>
      <c r="CX26" s="16"/>
      <c r="CY26" s="16"/>
      <c r="CZ26" s="16"/>
    </row>
    <row r="27" spans="1:108" ht="15" customHeight="1" x14ac:dyDescent="0.2">
      <c r="A27" s="1">
        <v>8911800240</v>
      </c>
      <c r="B27" s="1">
        <v>891180024</v>
      </c>
      <c r="C27" s="9">
        <v>212041020</v>
      </c>
      <c r="D27" s="10" t="s">
        <v>596</v>
      </c>
      <c r="E27" s="46" t="s">
        <v>1617</v>
      </c>
      <c r="F27" s="21"/>
      <c r="G27" s="50"/>
      <c r="H27" s="21"/>
      <c r="I27" s="50"/>
      <c r="J27" s="21"/>
      <c r="K27" s="21"/>
      <c r="L27" s="50"/>
      <c r="M27" s="51"/>
      <c r="N27" s="21"/>
      <c r="O27" s="50"/>
      <c r="P27" s="21"/>
      <c r="Q27" s="50"/>
      <c r="R27" s="21"/>
      <c r="S27" s="21"/>
      <c r="T27" s="50"/>
      <c r="U27" s="51">
        <f t="shared" si="0"/>
        <v>0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>
        <f t="shared" si="3"/>
        <v>0</v>
      </c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>
        <v>179882655</v>
      </c>
      <c r="AZ27" s="51"/>
      <c r="BA27" s="51">
        <f>VLOOKUP(B27,[1]Hoja3!J$3:K$674,2,0)</f>
        <v>379996287</v>
      </c>
      <c r="BB27" s="51"/>
      <c r="BC27" s="52">
        <f t="shared" si="4"/>
        <v>559878942</v>
      </c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>
        <v>35976531</v>
      </c>
      <c r="BO27" s="51"/>
      <c r="BP27" s="52">
        <v>595855473</v>
      </c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>
        <v>35976531</v>
      </c>
      <c r="CD27" s="52"/>
      <c r="CE27" s="52"/>
      <c r="CF27" s="52"/>
      <c r="CG27" s="52">
        <f t="shared" si="5"/>
        <v>631832004</v>
      </c>
      <c r="CH27" s="52"/>
      <c r="CI27" s="52"/>
      <c r="CJ27" s="52"/>
      <c r="CK27" s="52"/>
      <c r="CL27" s="52"/>
      <c r="CM27" s="52"/>
      <c r="CN27" s="52"/>
      <c r="CO27" s="52"/>
      <c r="CP27" s="52"/>
      <c r="CQ27" s="52">
        <v>35976531</v>
      </c>
      <c r="CR27" s="52"/>
      <c r="CS27" s="52">
        <f t="shared" si="1"/>
        <v>667808535</v>
      </c>
      <c r="CT27" s="53">
        <v>287812248</v>
      </c>
      <c r="CU27" s="53">
        <f t="shared" si="2"/>
        <v>379996287</v>
      </c>
      <c r="CV27" s="54">
        <f t="shared" si="6"/>
        <v>667808535</v>
      </c>
      <c r="CW27" s="55">
        <f t="shared" si="7"/>
        <v>0</v>
      </c>
      <c r="CX27" s="16"/>
      <c r="CY27" s="16"/>
      <c r="CZ27" s="16"/>
    </row>
    <row r="28" spans="1:108" ht="15" customHeight="1" x14ac:dyDescent="0.2">
      <c r="A28" s="1">
        <v>8915026648</v>
      </c>
      <c r="B28" s="1">
        <v>891502664</v>
      </c>
      <c r="C28" s="9">
        <v>212219022</v>
      </c>
      <c r="D28" s="10" t="s">
        <v>373</v>
      </c>
      <c r="E28" s="46" t="s">
        <v>1405</v>
      </c>
      <c r="F28" s="21"/>
      <c r="G28" s="50"/>
      <c r="H28" s="21"/>
      <c r="I28" s="50"/>
      <c r="J28" s="21"/>
      <c r="K28" s="21"/>
      <c r="L28" s="50"/>
      <c r="M28" s="51"/>
      <c r="N28" s="21"/>
      <c r="O28" s="50"/>
      <c r="P28" s="21"/>
      <c r="Q28" s="50"/>
      <c r="R28" s="21"/>
      <c r="S28" s="21"/>
      <c r="T28" s="50"/>
      <c r="U28" s="51">
        <f t="shared" si="0"/>
        <v>0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>
        <f t="shared" si="3"/>
        <v>0</v>
      </c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>
        <v>171494880</v>
      </c>
      <c r="AZ28" s="51"/>
      <c r="BA28" s="51">
        <f>VLOOKUP(B28,[1]Hoja3!J$3:K$674,2,0)</f>
        <v>183830597</v>
      </c>
      <c r="BB28" s="51"/>
      <c r="BC28" s="52">
        <f t="shared" si="4"/>
        <v>355325477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>
        <v>34298976</v>
      </c>
      <c r="BO28" s="51"/>
      <c r="BP28" s="52">
        <v>389624453</v>
      </c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>
        <v>34298976</v>
      </c>
      <c r="CD28" s="52"/>
      <c r="CE28" s="52"/>
      <c r="CF28" s="52"/>
      <c r="CG28" s="52">
        <f t="shared" si="5"/>
        <v>423923429</v>
      </c>
      <c r="CH28" s="52"/>
      <c r="CI28" s="52"/>
      <c r="CJ28" s="52"/>
      <c r="CK28" s="52"/>
      <c r="CL28" s="52"/>
      <c r="CM28" s="52"/>
      <c r="CN28" s="52"/>
      <c r="CO28" s="52"/>
      <c r="CP28" s="52"/>
      <c r="CQ28" s="52">
        <v>34298976</v>
      </c>
      <c r="CR28" s="52"/>
      <c r="CS28" s="52">
        <f t="shared" si="1"/>
        <v>458222405</v>
      </c>
      <c r="CT28" s="53">
        <v>274391808</v>
      </c>
      <c r="CU28" s="53">
        <f t="shared" si="2"/>
        <v>183830597</v>
      </c>
      <c r="CV28" s="54">
        <f t="shared" si="6"/>
        <v>458222405</v>
      </c>
      <c r="CW28" s="55">
        <f t="shared" si="7"/>
        <v>0</v>
      </c>
      <c r="CX28" s="16"/>
      <c r="CY28" s="16"/>
      <c r="CZ28" s="16"/>
    </row>
    <row r="29" spans="1:108" ht="15" customHeight="1" x14ac:dyDescent="0.2">
      <c r="A29" s="1">
        <v>8918012813</v>
      </c>
      <c r="B29" s="1">
        <v>891801281</v>
      </c>
      <c r="C29" s="9">
        <v>212215022</v>
      </c>
      <c r="D29" s="10" t="s">
        <v>218</v>
      </c>
      <c r="E29" s="46" t="s">
        <v>1253</v>
      </c>
      <c r="F29" s="21"/>
      <c r="G29" s="50"/>
      <c r="H29" s="21"/>
      <c r="I29" s="50"/>
      <c r="J29" s="21"/>
      <c r="K29" s="21"/>
      <c r="L29" s="50"/>
      <c r="M29" s="51"/>
      <c r="N29" s="21"/>
      <c r="O29" s="50"/>
      <c r="P29" s="21"/>
      <c r="Q29" s="50"/>
      <c r="R29" s="21"/>
      <c r="S29" s="21"/>
      <c r="T29" s="50"/>
      <c r="U29" s="51">
        <f t="shared" si="0"/>
        <v>0</v>
      </c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18969966</v>
      </c>
      <c r="AN29" s="51">
        <f t="shared" si="3"/>
        <v>18969966</v>
      </c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>
        <v>12183630</v>
      </c>
      <c r="AZ29" s="51"/>
      <c r="BA29" s="51"/>
      <c r="BB29" s="51"/>
      <c r="BC29" s="52">
        <f t="shared" si="4"/>
        <v>31153596</v>
      </c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>
        <v>2436726</v>
      </c>
      <c r="BO29" s="51"/>
      <c r="BP29" s="52">
        <v>33590322</v>
      </c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>
        <v>2436726</v>
      </c>
      <c r="CD29" s="52"/>
      <c r="CE29" s="52"/>
      <c r="CF29" s="52"/>
      <c r="CG29" s="52">
        <f t="shared" si="5"/>
        <v>36027048</v>
      </c>
      <c r="CH29" s="52"/>
      <c r="CI29" s="52"/>
      <c r="CJ29" s="52"/>
      <c r="CK29" s="52"/>
      <c r="CL29" s="52"/>
      <c r="CM29" s="52"/>
      <c r="CN29" s="52"/>
      <c r="CO29" s="52"/>
      <c r="CP29" s="52"/>
      <c r="CQ29" s="52">
        <v>2436726</v>
      </c>
      <c r="CR29" s="52"/>
      <c r="CS29" s="52">
        <f t="shared" si="1"/>
        <v>38463774</v>
      </c>
      <c r="CT29" s="53">
        <v>19493808</v>
      </c>
      <c r="CU29" s="53">
        <f t="shared" si="2"/>
        <v>18969966</v>
      </c>
      <c r="CV29" s="54">
        <f t="shared" si="6"/>
        <v>38463774</v>
      </c>
      <c r="CW29" s="55">
        <f t="shared" si="7"/>
        <v>0</v>
      </c>
      <c r="CX29" s="16"/>
      <c r="CY29" s="16"/>
      <c r="CZ29" s="8"/>
      <c r="DA29" s="8"/>
      <c r="DB29" s="8"/>
      <c r="DC29" s="8"/>
      <c r="DD29" s="8"/>
    </row>
    <row r="30" spans="1:108" ht="15" customHeight="1" x14ac:dyDescent="0.2">
      <c r="A30" s="1">
        <v>8907020177</v>
      </c>
      <c r="B30" s="1">
        <v>890702017</v>
      </c>
      <c r="C30" s="9">
        <v>212473024</v>
      </c>
      <c r="D30" s="10" t="s">
        <v>2202</v>
      </c>
      <c r="E30" s="46" t="s">
        <v>1928</v>
      </c>
      <c r="F30" s="21"/>
      <c r="G30" s="50"/>
      <c r="H30" s="21"/>
      <c r="I30" s="50"/>
      <c r="J30" s="21"/>
      <c r="K30" s="21"/>
      <c r="L30" s="50"/>
      <c r="M30" s="51"/>
      <c r="N30" s="21"/>
      <c r="O30" s="50"/>
      <c r="P30" s="21"/>
      <c r="Q30" s="50"/>
      <c r="R30" s="21"/>
      <c r="S30" s="21"/>
      <c r="T30" s="50"/>
      <c r="U30" s="51">
        <f t="shared" si="0"/>
        <v>0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>
        <f t="shared" si="3"/>
        <v>0</v>
      </c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>
        <v>31865455</v>
      </c>
      <c r="AZ30" s="51"/>
      <c r="BA30" s="51">
        <f>VLOOKUP(B30,[1]Hoja3!J$3:K$674,2,0)</f>
        <v>73083783</v>
      </c>
      <c r="BB30" s="51"/>
      <c r="BC30" s="52">
        <f t="shared" si="4"/>
        <v>104949238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>
        <v>6373091</v>
      </c>
      <c r="BO30" s="51"/>
      <c r="BP30" s="52">
        <v>111322329</v>
      </c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>
        <v>6373091</v>
      </c>
      <c r="CD30" s="52"/>
      <c r="CE30" s="52"/>
      <c r="CF30" s="52"/>
      <c r="CG30" s="52">
        <f t="shared" si="5"/>
        <v>117695420</v>
      </c>
      <c r="CH30" s="52"/>
      <c r="CI30" s="52"/>
      <c r="CJ30" s="52"/>
      <c r="CK30" s="52"/>
      <c r="CL30" s="52"/>
      <c r="CM30" s="52"/>
      <c r="CN30" s="52"/>
      <c r="CO30" s="52"/>
      <c r="CP30" s="52"/>
      <c r="CQ30" s="52">
        <v>6373091</v>
      </c>
      <c r="CR30" s="52"/>
      <c r="CS30" s="52">
        <f t="shared" si="1"/>
        <v>124068511</v>
      </c>
      <c r="CT30" s="53">
        <v>50984728</v>
      </c>
      <c r="CU30" s="53">
        <f t="shared" si="2"/>
        <v>73083783</v>
      </c>
      <c r="CV30" s="54">
        <f t="shared" si="6"/>
        <v>124068511</v>
      </c>
      <c r="CW30" s="55">
        <f t="shared" si="7"/>
        <v>0</v>
      </c>
      <c r="CX30" s="16"/>
      <c r="CY30" s="16"/>
      <c r="CZ30" s="16"/>
    </row>
    <row r="31" spans="1:108" ht="15" customHeight="1" x14ac:dyDescent="0.2">
      <c r="A31" s="1">
        <v>8911801184</v>
      </c>
      <c r="B31" s="1">
        <v>891180118</v>
      </c>
      <c r="C31" s="9">
        <v>212641026</v>
      </c>
      <c r="D31" s="10" t="s">
        <v>597</v>
      </c>
      <c r="E31" s="46" t="s">
        <v>2082</v>
      </c>
      <c r="F31" s="21"/>
      <c r="G31" s="50"/>
      <c r="H31" s="21"/>
      <c r="I31" s="50"/>
      <c r="J31" s="21"/>
      <c r="K31" s="21"/>
      <c r="L31" s="50"/>
      <c r="M31" s="51"/>
      <c r="N31" s="21"/>
      <c r="O31" s="50"/>
      <c r="P31" s="21"/>
      <c r="Q31" s="50"/>
      <c r="R31" s="21"/>
      <c r="S31" s="21"/>
      <c r="T31" s="50"/>
      <c r="U31" s="51">
        <f t="shared" si="0"/>
        <v>0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>
        <f t="shared" si="3"/>
        <v>0</v>
      </c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>
        <f>VLOOKUP(B31,[1]Hoja3!J$3:K$674,2,0)</f>
        <v>52571091</v>
      </c>
      <c r="BB31" s="51"/>
      <c r="BC31" s="52">
        <f t="shared" si="4"/>
        <v>52571091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>
        <v>0</v>
      </c>
      <c r="BO31" s="51"/>
      <c r="BP31" s="52">
        <v>52571091</v>
      </c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>
        <v>36764644</v>
      </c>
      <c r="CD31" s="52"/>
      <c r="CE31" s="52"/>
      <c r="CF31" s="52"/>
      <c r="CG31" s="52">
        <f t="shared" si="5"/>
        <v>89335735</v>
      </c>
      <c r="CH31" s="52"/>
      <c r="CI31" s="52"/>
      <c r="CJ31" s="52"/>
      <c r="CK31" s="52"/>
      <c r="CL31" s="52"/>
      <c r="CM31" s="52"/>
      <c r="CN31" s="52"/>
      <c r="CO31" s="52"/>
      <c r="CP31" s="52"/>
      <c r="CQ31" s="52">
        <v>5252092</v>
      </c>
      <c r="CR31" s="52"/>
      <c r="CS31" s="52">
        <f t="shared" si="1"/>
        <v>94587827</v>
      </c>
      <c r="CT31" s="53">
        <v>42016736</v>
      </c>
      <c r="CU31" s="53">
        <f t="shared" si="2"/>
        <v>52571091</v>
      </c>
      <c r="CV31" s="54">
        <f t="shared" si="6"/>
        <v>94587827</v>
      </c>
      <c r="CW31" s="55">
        <f t="shared" si="7"/>
        <v>0</v>
      </c>
      <c r="CX31" s="16"/>
      <c r="CY31" s="16"/>
      <c r="CZ31" s="16"/>
    </row>
    <row r="32" spans="1:108" ht="15" customHeight="1" x14ac:dyDescent="0.2">
      <c r="A32" s="1">
        <v>8916000624</v>
      </c>
      <c r="B32" s="1">
        <v>891600062</v>
      </c>
      <c r="C32" s="9">
        <v>212527025</v>
      </c>
      <c r="D32" s="10" t="s">
        <v>569</v>
      </c>
      <c r="E32" s="46" t="s">
        <v>1588</v>
      </c>
      <c r="F32" s="21"/>
      <c r="G32" s="50"/>
      <c r="H32" s="21"/>
      <c r="I32" s="50"/>
      <c r="J32" s="21"/>
      <c r="K32" s="21"/>
      <c r="L32" s="50"/>
      <c r="M32" s="51"/>
      <c r="N32" s="21"/>
      <c r="O32" s="50"/>
      <c r="P32" s="21"/>
      <c r="Q32" s="50"/>
      <c r="R32" s="21"/>
      <c r="S32" s="21"/>
      <c r="T32" s="50"/>
      <c r="U32" s="51">
        <f t="shared" si="0"/>
        <v>0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140399501</v>
      </c>
      <c r="AN32" s="51">
        <f t="shared" si="3"/>
        <v>140399501</v>
      </c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>
        <v>450468775</v>
      </c>
      <c r="AZ32" s="51"/>
      <c r="BA32" s="51"/>
      <c r="BB32" s="51"/>
      <c r="BC32" s="52">
        <f t="shared" si="4"/>
        <v>590868276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>
        <v>90093755</v>
      </c>
      <c r="BO32" s="51"/>
      <c r="BP32" s="52">
        <v>680962031</v>
      </c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>
        <v>90093755</v>
      </c>
      <c r="CD32" s="52"/>
      <c r="CE32" s="52"/>
      <c r="CF32" s="52"/>
      <c r="CG32" s="52">
        <f t="shared" si="5"/>
        <v>771055786</v>
      </c>
      <c r="CH32" s="52"/>
      <c r="CI32" s="52"/>
      <c r="CJ32" s="52"/>
      <c r="CK32" s="52"/>
      <c r="CL32" s="52"/>
      <c r="CM32" s="52"/>
      <c r="CN32" s="52"/>
      <c r="CO32" s="52"/>
      <c r="CP32" s="52"/>
      <c r="CQ32" s="52">
        <v>90093755</v>
      </c>
      <c r="CR32" s="52">
        <v>184421496</v>
      </c>
      <c r="CS32" s="52">
        <f t="shared" si="1"/>
        <v>1045571037</v>
      </c>
      <c r="CT32" s="53">
        <v>720750040</v>
      </c>
      <c r="CU32" s="53">
        <f t="shared" si="2"/>
        <v>324820997</v>
      </c>
      <c r="CV32" s="54">
        <f t="shared" si="6"/>
        <v>1045571037</v>
      </c>
      <c r="CW32" s="55">
        <f t="shared" si="7"/>
        <v>0</v>
      </c>
      <c r="CX32" s="16"/>
      <c r="CY32" s="16"/>
      <c r="CZ32" s="16"/>
    </row>
    <row r="33" spans="1:108" ht="15" customHeight="1" x14ac:dyDescent="0.2">
      <c r="A33" s="1">
        <v>8002548799</v>
      </c>
      <c r="B33" s="1">
        <v>800254879</v>
      </c>
      <c r="C33" s="9">
        <v>213013030</v>
      </c>
      <c r="D33" s="10" t="s">
        <v>182</v>
      </c>
      <c r="E33" s="46" t="s">
        <v>1211</v>
      </c>
      <c r="F33" s="21"/>
      <c r="G33" s="50"/>
      <c r="H33" s="21"/>
      <c r="I33" s="50"/>
      <c r="J33" s="21"/>
      <c r="K33" s="21"/>
      <c r="L33" s="50"/>
      <c r="M33" s="51"/>
      <c r="N33" s="21"/>
      <c r="O33" s="50"/>
      <c r="P33" s="21"/>
      <c r="Q33" s="50"/>
      <c r="R33" s="21"/>
      <c r="S33" s="21"/>
      <c r="T33" s="50"/>
      <c r="U33" s="51">
        <f t="shared" si="0"/>
        <v>0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160720806</v>
      </c>
      <c r="AN33" s="51">
        <f t="shared" si="3"/>
        <v>160720806</v>
      </c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2">
        <f t="shared" si="4"/>
        <v>160720806</v>
      </c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>
        <v>0</v>
      </c>
      <c r="BO33" s="51"/>
      <c r="BP33" s="52">
        <v>160720806</v>
      </c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>
        <v>168490637</v>
      </c>
      <c r="CD33" s="52"/>
      <c r="CE33" s="52"/>
      <c r="CF33" s="52"/>
      <c r="CG33" s="52">
        <f t="shared" si="5"/>
        <v>329211443</v>
      </c>
      <c r="CH33" s="52"/>
      <c r="CI33" s="52"/>
      <c r="CJ33" s="52"/>
      <c r="CK33" s="52"/>
      <c r="CL33" s="52"/>
      <c r="CM33" s="52"/>
      <c r="CN33" s="52"/>
      <c r="CO33" s="52"/>
      <c r="CP33" s="52"/>
      <c r="CQ33" s="52">
        <v>24070091</v>
      </c>
      <c r="CR33" s="52"/>
      <c r="CS33" s="52">
        <f t="shared" si="1"/>
        <v>353281534</v>
      </c>
      <c r="CT33" s="53">
        <v>192560728</v>
      </c>
      <c r="CU33" s="53">
        <f t="shared" si="2"/>
        <v>160720806</v>
      </c>
      <c r="CV33" s="54">
        <f t="shared" si="6"/>
        <v>353281534</v>
      </c>
      <c r="CW33" s="55">
        <f t="shared" si="7"/>
        <v>0</v>
      </c>
      <c r="CX33" s="16"/>
      <c r="CY33" s="16"/>
      <c r="CZ33" s="8"/>
      <c r="DA33" s="8"/>
      <c r="DB33" s="8"/>
      <c r="DC33" s="8"/>
      <c r="DD33" s="8"/>
    </row>
    <row r="34" spans="1:108" ht="15" customHeight="1" x14ac:dyDescent="0.2">
      <c r="A34" s="1">
        <v>8907009616</v>
      </c>
      <c r="B34" s="1">
        <v>890700961</v>
      </c>
      <c r="C34" s="9">
        <v>212673026</v>
      </c>
      <c r="D34" s="10" t="s">
        <v>2204</v>
      </c>
      <c r="E34" s="46" t="s">
        <v>1929</v>
      </c>
      <c r="F34" s="21"/>
      <c r="G34" s="50"/>
      <c r="H34" s="21"/>
      <c r="I34" s="50"/>
      <c r="J34" s="21"/>
      <c r="K34" s="21"/>
      <c r="L34" s="50"/>
      <c r="M34" s="51"/>
      <c r="N34" s="21"/>
      <c r="O34" s="50"/>
      <c r="P34" s="21"/>
      <c r="Q34" s="50"/>
      <c r="R34" s="21"/>
      <c r="S34" s="21"/>
      <c r="T34" s="50"/>
      <c r="U34" s="51">
        <f t="shared" si="0"/>
        <v>0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>
        <f t="shared" si="3"/>
        <v>0</v>
      </c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>
        <v>59173945</v>
      </c>
      <c r="AZ34" s="51"/>
      <c r="BA34" s="51">
        <f>VLOOKUP(B34,[1]Hoja3!J$3:K$674,2,0)</f>
        <v>123740417</v>
      </c>
      <c r="BB34" s="51"/>
      <c r="BC34" s="52">
        <f t="shared" si="4"/>
        <v>182914362</v>
      </c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>
        <v>11834789</v>
      </c>
      <c r="BO34" s="51"/>
      <c r="BP34" s="52">
        <v>194749151</v>
      </c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>
        <v>11834789</v>
      </c>
      <c r="CD34" s="52"/>
      <c r="CE34" s="52"/>
      <c r="CF34" s="52"/>
      <c r="CG34" s="52">
        <f t="shared" si="5"/>
        <v>206583940</v>
      </c>
      <c r="CH34" s="52"/>
      <c r="CI34" s="52"/>
      <c r="CJ34" s="52"/>
      <c r="CK34" s="52"/>
      <c r="CL34" s="52"/>
      <c r="CM34" s="52"/>
      <c r="CN34" s="52"/>
      <c r="CO34" s="52"/>
      <c r="CP34" s="52"/>
      <c r="CQ34" s="52">
        <v>11834789</v>
      </c>
      <c r="CR34" s="52"/>
      <c r="CS34" s="52">
        <f t="shared" si="1"/>
        <v>218418729</v>
      </c>
      <c r="CT34" s="53">
        <v>94678312</v>
      </c>
      <c r="CU34" s="53">
        <f t="shared" si="2"/>
        <v>123740417</v>
      </c>
      <c r="CV34" s="54">
        <f t="shared" si="6"/>
        <v>218418729</v>
      </c>
      <c r="CW34" s="55">
        <f t="shared" si="7"/>
        <v>0</v>
      </c>
      <c r="CX34" s="16"/>
      <c r="CY34" s="16"/>
      <c r="CZ34" s="16"/>
    </row>
    <row r="35" spans="1:108" ht="15" customHeight="1" x14ac:dyDescent="0.2">
      <c r="A35" s="1">
        <v>8909817320</v>
      </c>
      <c r="B35" s="1">
        <v>890981732</v>
      </c>
      <c r="C35" s="9">
        <v>213005030</v>
      </c>
      <c r="D35" s="10" t="s">
        <v>46</v>
      </c>
      <c r="E35" s="46" t="s">
        <v>1079</v>
      </c>
      <c r="F35" s="21"/>
      <c r="G35" s="50"/>
      <c r="H35" s="21"/>
      <c r="I35" s="50"/>
      <c r="J35" s="21"/>
      <c r="K35" s="21"/>
      <c r="L35" s="50"/>
      <c r="M35" s="51"/>
      <c r="N35" s="21"/>
      <c r="O35" s="50"/>
      <c r="P35" s="21"/>
      <c r="Q35" s="50"/>
      <c r="R35" s="21"/>
      <c r="S35" s="21"/>
      <c r="T35" s="50"/>
      <c r="U35" s="51">
        <f t="shared" si="0"/>
        <v>0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29248474</v>
      </c>
      <c r="AN35" s="51">
        <f t="shared" si="3"/>
        <v>29248474</v>
      </c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>
        <f>VLOOKUP(B35,[1]Hoja3!J$3:K$674,2,0)</f>
        <v>300867198</v>
      </c>
      <c r="BB35" s="51"/>
      <c r="BC35" s="52">
        <f t="shared" si="4"/>
        <v>330115672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>
        <v>32548418</v>
      </c>
      <c r="BO35" s="51"/>
      <c r="BP35" s="52">
        <v>362664090</v>
      </c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>
        <v>32548418</v>
      </c>
      <c r="CD35" s="52">
        <v>162742090</v>
      </c>
      <c r="CE35" s="52"/>
      <c r="CF35" s="52"/>
      <c r="CG35" s="52">
        <f t="shared" si="5"/>
        <v>557954598</v>
      </c>
      <c r="CH35" s="52"/>
      <c r="CI35" s="52"/>
      <c r="CJ35" s="52"/>
      <c r="CK35" s="52"/>
      <c r="CL35" s="52"/>
      <c r="CM35" s="52"/>
      <c r="CN35" s="52"/>
      <c r="CO35" s="52"/>
      <c r="CP35" s="52"/>
      <c r="CQ35" s="52">
        <v>32548418</v>
      </c>
      <c r="CR35" s="52"/>
      <c r="CS35" s="52">
        <f t="shared" si="1"/>
        <v>590503016</v>
      </c>
      <c r="CT35" s="53">
        <v>260387344</v>
      </c>
      <c r="CU35" s="53">
        <f t="shared" si="2"/>
        <v>330115672</v>
      </c>
      <c r="CV35" s="54">
        <f t="shared" si="6"/>
        <v>590503016</v>
      </c>
      <c r="CW35" s="55">
        <f t="shared" si="7"/>
        <v>0</v>
      </c>
      <c r="CX35" s="16"/>
      <c r="CY35" s="16"/>
      <c r="CZ35" s="16"/>
    </row>
    <row r="36" spans="1:108" ht="15" customHeight="1" x14ac:dyDescent="0.2">
      <c r="A36" s="1">
        <v>8909815180</v>
      </c>
      <c r="B36" s="1">
        <v>890981518</v>
      </c>
      <c r="C36" s="9">
        <v>213105031</v>
      </c>
      <c r="D36" s="10" t="s">
        <v>47</v>
      </c>
      <c r="E36" s="46" t="s">
        <v>1080</v>
      </c>
      <c r="F36" s="21"/>
      <c r="G36" s="50"/>
      <c r="H36" s="21"/>
      <c r="I36" s="50"/>
      <c r="J36" s="21"/>
      <c r="K36" s="21"/>
      <c r="L36" s="50"/>
      <c r="M36" s="51"/>
      <c r="N36" s="21"/>
      <c r="O36" s="50"/>
      <c r="P36" s="21"/>
      <c r="Q36" s="50"/>
      <c r="R36" s="21"/>
      <c r="S36" s="21"/>
      <c r="T36" s="50"/>
      <c r="U36" s="51">
        <f t="shared" si="0"/>
        <v>0</v>
      </c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356580511</v>
      </c>
      <c r="AN36" s="51">
        <f t="shared" si="3"/>
        <v>356580511</v>
      </c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>
        <v>170819310</v>
      </c>
      <c r="AZ36" s="51"/>
      <c r="BA36" s="51"/>
      <c r="BB36" s="51"/>
      <c r="BC36" s="52">
        <f t="shared" si="4"/>
        <v>527399821</v>
      </c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>
        <v>34163862</v>
      </c>
      <c r="BO36" s="51"/>
      <c r="BP36" s="52">
        <v>561563683</v>
      </c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>
        <v>34163862</v>
      </c>
      <c r="CD36" s="52"/>
      <c r="CE36" s="52"/>
      <c r="CF36" s="52"/>
      <c r="CG36" s="52">
        <f t="shared" si="5"/>
        <v>595727545</v>
      </c>
      <c r="CH36" s="52"/>
      <c r="CI36" s="52"/>
      <c r="CJ36" s="52"/>
      <c r="CK36" s="52"/>
      <c r="CL36" s="52"/>
      <c r="CM36" s="52"/>
      <c r="CN36" s="52"/>
      <c r="CO36" s="52"/>
      <c r="CP36" s="52"/>
      <c r="CQ36" s="52">
        <v>34163862</v>
      </c>
      <c r="CR36" s="52"/>
      <c r="CS36" s="52">
        <f t="shared" si="1"/>
        <v>629891407</v>
      </c>
      <c r="CT36" s="53">
        <v>273310896</v>
      </c>
      <c r="CU36" s="53">
        <f t="shared" si="2"/>
        <v>356580511</v>
      </c>
      <c r="CV36" s="54">
        <f t="shared" si="6"/>
        <v>629891407</v>
      </c>
      <c r="CW36" s="55">
        <f t="shared" si="7"/>
        <v>0</v>
      </c>
      <c r="CX36" s="16"/>
      <c r="CY36" s="16"/>
      <c r="CZ36" s="16"/>
    </row>
    <row r="37" spans="1:108" ht="15" customHeight="1" x14ac:dyDescent="0.2">
      <c r="A37" s="1">
        <v>8001000484</v>
      </c>
      <c r="B37" s="1">
        <v>800100048</v>
      </c>
      <c r="C37" s="9">
        <v>213073030</v>
      </c>
      <c r="D37" s="10" t="s">
        <v>2205</v>
      </c>
      <c r="E37" s="46" t="s">
        <v>1930</v>
      </c>
      <c r="F37" s="21"/>
      <c r="G37" s="50"/>
      <c r="H37" s="21"/>
      <c r="I37" s="50"/>
      <c r="J37" s="21"/>
      <c r="K37" s="21"/>
      <c r="L37" s="50"/>
      <c r="M37" s="51"/>
      <c r="N37" s="21"/>
      <c r="O37" s="50"/>
      <c r="P37" s="21"/>
      <c r="Q37" s="50"/>
      <c r="R37" s="21"/>
      <c r="S37" s="21"/>
      <c r="T37" s="50"/>
      <c r="U37" s="51">
        <f t="shared" si="0"/>
        <v>0</v>
      </c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82716744</v>
      </c>
      <c r="AN37" s="51">
        <f t="shared" si="3"/>
        <v>82716744</v>
      </c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>
        <v>55835400</v>
      </c>
      <c r="AZ37" s="51"/>
      <c r="BA37" s="51"/>
      <c r="BB37" s="51"/>
      <c r="BC37" s="52">
        <f t="shared" si="4"/>
        <v>138552144</v>
      </c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>
        <v>11167080</v>
      </c>
      <c r="BO37" s="51"/>
      <c r="BP37" s="52">
        <v>149719224</v>
      </c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>
        <v>11167080</v>
      </c>
      <c r="CD37" s="52"/>
      <c r="CE37" s="52"/>
      <c r="CF37" s="52"/>
      <c r="CG37" s="52">
        <f t="shared" si="5"/>
        <v>160886304</v>
      </c>
      <c r="CH37" s="52"/>
      <c r="CI37" s="52"/>
      <c r="CJ37" s="52"/>
      <c r="CK37" s="52"/>
      <c r="CL37" s="52"/>
      <c r="CM37" s="52"/>
      <c r="CN37" s="52"/>
      <c r="CO37" s="52"/>
      <c r="CP37" s="52"/>
      <c r="CQ37" s="52">
        <v>11167080</v>
      </c>
      <c r="CR37" s="52"/>
      <c r="CS37" s="52">
        <f t="shared" si="1"/>
        <v>172053384</v>
      </c>
      <c r="CT37" s="53">
        <v>89336640</v>
      </c>
      <c r="CU37" s="53">
        <f t="shared" si="2"/>
        <v>82716744</v>
      </c>
      <c r="CV37" s="54">
        <f t="shared" si="6"/>
        <v>172053384</v>
      </c>
      <c r="CW37" s="55">
        <f t="shared" si="7"/>
        <v>0</v>
      </c>
      <c r="CX37" s="16"/>
      <c r="CY37" s="16"/>
      <c r="CZ37" s="16"/>
    </row>
    <row r="38" spans="1:108" ht="15" customHeight="1" x14ac:dyDescent="0.2">
      <c r="A38" s="1">
        <v>8906800971</v>
      </c>
      <c r="B38" s="1">
        <v>890680097</v>
      </c>
      <c r="C38" s="9">
        <v>213525035</v>
      </c>
      <c r="D38" s="10" t="s">
        <v>462</v>
      </c>
      <c r="E38" s="46" t="s">
        <v>1489</v>
      </c>
      <c r="F38" s="21"/>
      <c r="G38" s="50"/>
      <c r="H38" s="21"/>
      <c r="I38" s="50"/>
      <c r="J38" s="21"/>
      <c r="K38" s="21"/>
      <c r="L38" s="50"/>
      <c r="M38" s="51"/>
      <c r="N38" s="21"/>
      <c r="O38" s="50"/>
      <c r="P38" s="21"/>
      <c r="Q38" s="50"/>
      <c r="R38" s="21"/>
      <c r="S38" s="21"/>
      <c r="T38" s="50"/>
      <c r="U38" s="51">
        <f t="shared" si="0"/>
        <v>0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178685183</v>
      </c>
      <c r="AN38" s="51">
        <f t="shared" si="3"/>
        <v>178685183</v>
      </c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>
        <v>63869830</v>
      </c>
      <c r="AZ38" s="51"/>
      <c r="BA38" s="51"/>
      <c r="BB38" s="51"/>
      <c r="BC38" s="52">
        <f t="shared" si="4"/>
        <v>242555013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>
        <v>12773966</v>
      </c>
      <c r="BO38" s="51"/>
      <c r="BP38" s="52">
        <v>255328979</v>
      </c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>
        <v>12773966</v>
      </c>
      <c r="CD38" s="52"/>
      <c r="CE38" s="52"/>
      <c r="CF38" s="52"/>
      <c r="CG38" s="52">
        <f t="shared" si="5"/>
        <v>268102945</v>
      </c>
      <c r="CH38" s="52"/>
      <c r="CI38" s="52"/>
      <c r="CJ38" s="52"/>
      <c r="CK38" s="52"/>
      <c r="CL38" s="52"/>
      <c r="CM38" s="52"/>
      <c r="CN38" s="52"/>
      <c r="CO38" s="52"/>
      <c r="CP38" s="52"/>
      <c r="CQ38" s="52">
        <v>12773966</v>
      </c>
      <c r="CR38" s="52"/>
      <c r="CS38" s="52">
        <f t="shared" si="1"/>
        <v>280876911</v>
      </c>
      <c r="CT38" s="53">
        <v>102191728</v>
      </c>
      <c r="CU38" s="53">
        <f t="shared" si="2"/>
        <v>178685183</v>
      </c>
      <c r="CV38" s="54">
        <f t="shared" si="6"/>
        <v>280876911</v>
      </c>
      <c r="CW38" s="55">
        <f t="shared" si="7"/>
        <v>0</v>
      </c>
      <c r="CX38" s="16"/>
      <c r="CY38" s="16"/>
      <c r="CZ38" s="16"/>
    </row>
    <row r="39" spans="1:108" ht="15" customHeight="1" x14ac:dyDescent="0.2">
      <c r="A39" s="1">
        <v>8000990552</v>
      </c>
      <c r="B39" s="1">
        <v>800099055</v>
      </c>
      <c r="C39" s="9">
        <v>213652036</v>
      </c>
      <c r="D39" s="10" t="s">
        <v>694</v>
      </c>
      <c r="E39" s="46" t="s">
        <v>1716</v>
      </c>
      <c r="F39" s="21"/>
      <c r="G39" s="50"/>
      <c r="H39" s="21"/>
      <c r="I39" s="50"/>
      <c r="J39" s="21"/>
      <c r="K39" s="21"/>
      <c r="L39" s="50"/>
      <c r="M39" s="51"/>
      <c r="N39" s="21"/>
      <c r="O39" s="50"/>
      <c r="P39" s="21"/>
      <c r="Q39" s="50"/>
      <c r="R39" s="21"/>
      <c r="S39" s="21"/>
      <c r="T39" s="50"/>
      <c r="U39" s="51">
        <f t="shared" si="0"/>
        <v>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98947474</v>
      </c>
      <c r="AN39" s="51">
        <f t="shared" si="3"/>
        <v>98947474</v>
      </c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2">
        <f t="shared" si="4"/>
        <v>98947474</v>
      </c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>
        <v>0</v>
      </c>
      <c r="BO39" s="51"/>
      <c r="BP39" s="52">
        <v>98947474</v>
      </c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>
        <v>0</v>
      </c>
      <c r="CD39" s="52"/>
      <c r="CE39" s="52"/>
      <c r="CF39" s="52"/>
      <c r="CG39" s="52">
        <f t="shared" si="5"/>
        <v>98947474</v>
      </c>
      <c r="CH39" s="52"/>
      <c r="CI39" s="52"/>
      <c r="CJ39" s="52"/>
      <c r="CK39" s="52"/>
      <c r="CL39" s="52"/>
      <c r="CM39" s="52"/>
      <c r="CN39" s="52"/>
      <c r="CO39" s="52"/>
      <c r="CP39" s="52"/>
      <c r="CQ39" s="52">
        <v>101242968</v>
      </c>
      <c r="CR39" s="52"/>
      <c r="CS39" s="52">
        <f t="shared" si="1"/>
        <v>200190442</v>
      </c>
      <c r="CT39" s="53">
        <v>101242968</v>
      </c>
      <c r="CU39" s="53">
        <f t="shared" si="2"/>
        <v>98947474</v>
      </c>
      <c r="CV39" s="54">
        <f t="shared" si="6"/>
        <v>200190442</v>
      </c>
      <c r="CW39" s="55">
        <f t="shared" si="7"/>
        <v>0</v>
      </c>
      <c r="CX39" s="16"/>
      <c r="CY39" s="16"/>
      <c r="CZ39" s="16"/>
    </row>
    <row r="40" spans="1:108" ht="15" customHeight="1" x14ac:dyDescent="0.2">
      <c r="A40" s="1">
        <v>8919004434</v>
      </c>
      <c r="B40" s="1">
        <v>891900443</v>
      </c>
      <c r="C40" s="9">
        <v>213676036</v>
      </c>
      <c r="D40" s="10" t="s">
        <v>913</v>
      </c>
      <c r="E40" s="46" t="s">
        <v>1974</v>
      </c>
      <c r="F40" s="21"/>
      <c r="G40" s="50"/>
      <c r="H40" s="21"/>
      <c r="I40" s="50"/>
      <c r="J40" s="21"/>
      <c r="K40" s="21"/>
      <c r="L40" s="50"/>
      <c r="M40" s="51"/>
      <c r="N40" s="21"/>
      <c r="O40" s="50"/>
      <c r="P40" s="21"/>
      <c r="Q40" s="50"/>
      <c r="R40" s="21"/>
      <c r="S40" s="21"/>
      <c r="T40" s="50"/>
      <c r="U40" s="51">
        <f t="shared" si="0"/>
        <v>0</v>
      </c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205337729</v>
      </c>
      <c r="AN40" s="51">
        <f t="shared" si="3"/>
        <v>205337729</v>
      </c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>
        <v>124455715</v>
      </c>
      <c r="AZ40" s="51"/>
      <c r="BA40" s="51"/>
      <c r="BB40" s="51"/>
      <c r="BC40" s="52">
        <f t="shared" si="4"/>
        <v>329793444</v>
      </c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>
        <v>24891143</v>
      </c>
      <c r="BO40" s="51"/>
      <c r="BP40" s="52">
        <v>354684587</v>
      </c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>
        <v>24891143</v>
      </c>
      <c r="CD40" s="52"/>
      <c r="CE40" s="52"/>
      <c r="CF40" s="52"/>
      <c r="CG40" s="52">
        <f t="shared" si="5"/>
        <v>379575730</v>
      </c>
      <c r="CH40" s="52"/>
      <c r="CI40" s="52"/>
      <c r="CJ40" s="52"/>
      <c r="CK40" s="52"/>
      <c r="CL40" s="52"/>
      <c r="CM40" s="52"/>
      <c r="CN40" s="52"/>
      <c r="CO40" s="52"/>
      <c r="CP40" s="52"/>
      <c r="CQ40" s="52">
        <v>24891143</v>
      </c>
      <c r="CR40" s="52"/>
      <c r="CS40" s="52">
        <f t="shared" si="1"/>
        <v>404466873</v>
      </c>
      <c r="CT40" s="53">
        <v>199129144</v>
      </c>
      <c r="CU40" s="53">
        <f t="shared" si="2"/>
        <v>205337729</v>
      </c>
      <c r="CV40" s="54">
        <f t="shared" si="6"/>
        <v>404466873</v>
      </c>
      <c r="CW40" s="55">
        <f t="shared" si="7"/>
        <v>0</v>
      </c>
      <c r="CX40" s="16"/>
      <c r="CY40" s="16"/>
      <c r="CZ40" s="16"/>
    </row>
    <row r="41" spans="1:108" ht="15" customHeight="1" x14ac:dyDescent="0.2">
      <c r="A41" s="1">
        <v>8909803427</v>
      </c>
      <c r="B41" s="1">
        <v>890980342</v>
      </c>
      <c r="C41" s="9">
        <v>213405034</v>
      </c>
      <c r="D41" s="10" t="s">
        <v>48</v>
      </c>
      <c r="E41" s="46" t="s">
        <v>1081</v>
      </c>
      <c r="F41" s="21"/>
      <c r="G41" s="50"/>
      <c r="H41" s="21"/>
      <c r="I41" s="50"/>
      <c r="J41" s="21"/>
      <c r="K41" s="21"/>
      <c r="L41" s="50"/>
      <c r="M41" s="51"/>
      <c r="N41" s="21"/>
      <c r="O41" s="50"/>
      <c r="P41" s="21"/>
      <c r="Q41" s="50"/>
      <c r="R41" s="21"/>
      <c r="S41" s="21"/>
      <c r="T41" s="50"/>
      <c r="U41" s="51">
        <f t="shared" si="0"/>
        <v>0</v>
      </c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602188530</v>
      </c>
      <c r="AN41" s="51">
        <f t="shared" si="3"/>
        <v>602188530</v>
      </c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>
        <v>242615820</v>
      </c>
      <c r="AZ41" s="51"/>
      <c r="BA41" s="51"/>
      <c r="BB41" s="51"/>
      <c r="BC41" s="52">
        <f t="shared" si="4"/>
        <v>844804350</v>
      </c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>
        <v>48523164</v>
      </c>
      <c r="BO41" s="51"/>
      <c r="BP41" s="52">
        <v>893327514</v>
      </c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>
        <v>48523164</v>
      </c>
      <c r="CD41" s="52"/>
      <c r="CE41" s="52"/>
      <c r="CF41" s="52"/>
      <c r="CG41" s="52">
        <f t="shared" si="5"/>
        <v>941850678</v>
      </c>
      <c r="CH41" s="52"/>
      <c r="CI41" s="52"/>
      <c r="CJ41" s="52"/>
      <c r="CK41" s="52"/>
      <c r="CL41" s="52"/>
      <c r="CM41" s="52"/>
      <c r="CN41" s="52"/>
      <c r="CO41" s="52"/>
      <c r="CP41" s="52"/>
      <c r="CQ41" s="52">
        <v>48523164</v>
      </c>
      <c r="CR41" s="52"/>
      <c r="CS41" s="52">
        <f t="shared" si="1"/>
        <v>990373842</v>
      </c>
      <c r="CT41" s="53">
        <v>388185312</v>
      </c>
      <c r="CU41" s="53">
        <f t="shared" si="2"/>
        <v>602188530</v>
      </c>
      <c r="CV41" s="54">
        <f t="shared" si="6"/>
        <v>990373842</v>
      </c>
      <c r="CW41" s="55">
        <f t="shared" si="7"/>
        <v>0</v>
      </c>
      <c r="CX41" s="16"/>
      <c r="CY41" s="16"/>
      <c r="CZ41" s="16"/>
    </row>
    <row r="42" spans="1:108" ht="15" customHeight="1" x14ac:dyDescent="0.2">
      <c r="A42" s="1">
        <v>8909814935</v>
      </c>
      <c r="B42" s="1">
        <v>890981493</v>
      </c>
      <c r="C42" s="9">
        <v>213605036</v>
      </c>
      <c r="D42" s="10" t="s">
        <v>49</v>
      </c>
      <c r="E42" s="46" t="s">
        <v>1082</v>
      </c>
      <c r="F42" s="21"/>
      <c r="G42" s="50"/>
      <c r="H42" s="21"/>
      <c r="I42" s="50"/>
      <c r="J42" s="21"/>
      <c r="K42" s="21"/>
      <c r="L42" s="50"/>
      <c r="M42" s="51"/>
      <c r="N42" s="21"/>
      <c r="O42" s="50"/>
      <c r="P42" s="21"/>
      <c r="Q42" s="50"/>
      <c r="R42" s="21"/>
      <c r="S42" s="21"/>
      <c r="T42" s="50"/>
      <c r="U42" s="51">
        <f t="shared" si="0"/>
        <v>0</v>
      </c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>
        <f t="shared" si="3"/>
        <v>0</v>
      </c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>
        <v>35087360</v>
      </c>
      <c r="AZ42" s="51"/>
      <c r="BA42" s="51">
        <f>VLOOKUP(B42,[1]Hoja3!J$3:K$674,2,0)</f>
        <v>79880628</v>
      </c>
      <c r="BB42" s="51"/>
      <c r="BC42" s="52">
        <f t="shared" si="4"/>
        <v>114967988</v>
      </c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>
        <v>7017472</v>
      </c>
      <c r="BO42" s="51"/>
      <c r="BP42" s="52">
        <v>121985460</v>
      </c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>
        <v>7017472</v>
      </c>
      <c r="CD42" s="52"/>
      <c r="CE42" s="52"/>
      <c r="CF42" s="52"/>
      <c r="CG42" s="52">
        <f t="shared" si="5"/>
        <v>129002932</v>
      </c>
      <c r="CH42" s="52"/>
      <c r="CI42" s="52"/>
      <c r="CJ42" s="52"/>
      <c r="CK42" s="52"/>
      <c r="CL42" s="52"/>
      <c r="CM42" s="52"/>
      <c r="CN42" s="52"/>
      <c r="CO42" s="52"/>
      <c r="CP42" s="52"/>
      <c r="CQ42" s="52">
        <v>7017472</v>
      </c>
      <c r="CR42" s="52"/>
      <c r="CS42" s="52">
        <f t="shared" si="1"/>
        <v>136020404</v>
      </c>
      <c r="CT42" s="53">
        <v>56139776</v>
      </c>
      <c r="CU42" s="53">
        <f t="shared" si="2"/>
        <v>79880628</v>
      </c>
      <c r="CV42" s="54">
        <f t="shared" si="6"/>
        <v>136020404</v>
      </c>
      <c r="CW42" s="55">
        <f t="shared" si="7"/>
        <v>0</v>
      </c>
      <c r="CX42" s="16"/>
      <c r="CY42" s="16"/>
      <c r="CZ42" s="16"/>
    </row>
    <row r="43" spans="1:108" ht="15" customHeight="1" x14ac:dyDescent="0.2">
      <c r="A43" s="1">
        <v>8909821412</v>
      </c>
      <c r="B43" s="1">
        <v>890982141</v>
      </c>
      <c r="C43" s="9">
        <v>213805038</v>
      </c>
      <c r="D43" s="10" t="s">
        <v>50</v>
      </c>
      <c r="E43" s="46" t="s">
        <v>1083</v>
      </c>
      <c r="F43" s="21"/>
      <c r="G43" s="50"/>
      <c r="H43" s="21"/>
      <c r="I43" s="50"/>
      <c r="J43" s="21"/>
      <c r="K43" s="21"/>
      <c r="L43" s="50"/>
      <c r="M43" s="51"/>
      <c r="N43" s="21"/>
      <c r="O43" s="50"/>
      <c r="P43" s="21"/>
      <c r="Q43" s="50"/>
      <c r="R43" s="21"/>
      <c r="S43" s="21"/>
      <c r="T43" s="50"/>
      <c r="U43" s="51">
        <f t="shared" si="0"/>
        <v>0</v>
      </c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>
        <f t="shared" si="3"/>
        <v>0</v>
      </c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>
        <v>109162925</v>
      </c>
      <c r="AZ43" s="51"/>
      <c r="BA43" s="51">
        <f>VLOOKUP(B43,[1]Hoja3!J$3:K$674,2,0)</f>
        <v>155025868</v>
      </c>
      <c r="BB43" s="51"/>
      <c r="BC43" s="52">
        <f t="shared" si="4"/>
        <v>264188793</v>
      </c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>
        <v>21832585</v>
      </c>
      <c r="BO43" s="51"/>
      <c r="BP43" s="52">
        <v>286021378</v>
      </c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>
        <v>21832585</v>
      </c>
      <c r="CD43" s="52"/>
      <c r="CE43" s="52"/>
      <c r="CF43" s="52"/>
      <c r="CG43" s="52">
        <f t="shared" si="5"/>
        <v>307853963</v>
      </c>
      <c r="CH43" s="52"/>
      <c r="CI43" s="52"/>
      <c r="CJ43" s="52"/>
      <c r="CK43" s="52"/>
      <c r="CL43" s="52"/>
      <c r="CM43" s="52"/>
      <c r="CN43" s="52"/>
      <c r="CO43" s="52"/>
      <c r="CP43" s="52"/>
      <c r="CQ43" s="52">
        <v>21832585</v>
      </c>
      <c r="CR43" s="52"/>
      <c r="CS43" s="52">
        <f t="shared" si="1"/>
        <v>329686548</v>
      </c>
      <c r="CT43" s="53">
        <v>174660680</v>
      </c>
      <c r="CU43" s="53">
        <f t="shared" si="2"/>
        <v>155025868</v>
      </c>
      <c r="CV43" s="54">
        <f t="shared" si="6"/>
        <v>329686548</v>
      </c>
      <c r="CW43" s="55">
        <f t="shared" si="7"/>
        <v>0</v>
      </c>
      <c r="CX43" s="16"/>
      <c r="CY43" s="16"/>
      <c r="CZ43" s="16"/>
    </row>
    <row r="44" spans="1:108" ht="15" customHeight="1" x14ac:dyDescent="0.2">
      <c r="A44" s="1">
        <v>8999994263</v>
      </c>
      <c r="B44" s="1">
        <v>899999426</v>
      </c>
      <c r="C44" s="9">
        <v>214025040</v>
      </c>
      <c r="D44" s="10" t="s">
        <v>463</v>
      </c>
      <c r="E44" s="46" t="s">
        <v>1490</v>
      </c>
      <c r="F44" s="21"/>
      <c r="G44" s="50"/>
      <c r="H44" s="21"/>
      <c r="I44" s="50"/>
      <c r="J44" s="21"/>
      <c r="K44" s="21"/>
      <c r="L44" s="50"/>
      <c r="M44" s="51"/>
      <c r="N44" s="21"/>
      <c r="O44" s="50"/>
      <c r="P44" s="21"/>
      <c r="Q44" s="50"/>
      <c r="R44" s="21"/>
      <c r="S44" s="21"/>
      <c r="T44" s="50"/>
      <c r="U44" s="51">
        <f t="shared" si="0"/>
        <v>0</v>
      </c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211696241</v>
      </c>
      <c r="AN44" s="51">
        <f t="shared" si="3"/>
        <v>211696241</v>
      </c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>
        <v>103888120</v>
      </c>
      <c r="AZ44" s="51"/>
      <c r="BA44" s="51"/>
      <c r="BB44" s="51"/>
      <c r="BC44" s="52">
        <f t="shared" si="4"/>
        <v>315584361</v>
      </c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>
        <v>20777624</v>
      </c>
      <c r="BO44" s="51"/>
      <c r="BP44" s="52">
        <v>336361985</v>
      </c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>
        <v>20777624</v>
      </c>
      <c r="CD44" s="52"/>
      <c r="CE44" s="52"/>
      <c r="CF44" s="52"/>
      <c r="CG44" s="52">
        <f t="shared" si="5"/>
        <v>357139609</v>
      </c>
      <c r="CH44" s="52"/>
      <c r="CI44" s="52"/>
      <c r="CJ44" s="52"/>
      <c r="CK44" s="52"/>
      <c r="CL44" s="52"/>
      <c r="CM44" s="52"/>
      <c r="CN44" s="52"/>
      <c r="CO44" s="52"/>
      <c r="CP44" s="52"/>
      <c r="CQ44" s="52">
        <v>20777624</v>
      </c>
      <c r="CR44" s="52"/>
      <c r="CS44" s="52">
        <f t="shared" si="1"/>
        <v>377917233</v>
      </c>
      <c r="CT44" s="53">
        <v>166220992</v>
      </c>
      <c r="CU44" s="53">
        <f t="shared" si="2"/>
        <v>211696241</v>
      </c>
      <c r="CV44" s="54">
        <f t="shared" si="6"/>
        <v>377917233</v>
      </c>
      <c r="CW44" s="55">
        <f t="shared" si="7"/>
        <v>0</v>
      </c>
      <c r="CX44" s="16"/>
      <c r="CY44" s="16"/>
      <c r="CZ44" s="16"/>
    </row>
    <row r="45" spans="1:108" ht="15" customHeight="1" x14ac:dyDescent="0.2">
      <c r="A45" s="1">
        <v>8909824891</v>
      </c>
      <c r="B45" s="1">
        <v>890982489</v>
      </c>
      <c r="C45" s="9">
        <v>214005040</v>
      </c>
      <c r="D45" s="10" t="s">
        <v>51</v>
      </c>
      <c r="E45" s="46" t="s">
        <v>1084</v>
      </c>
      <c r="F45" s="21"/>
      <c r="G45" s="50"/>
      <c r="H45" s="21"/>
      <c r="I45" s="50"/>
      <c r="J45" s="21"/>
      <c r="K45" s="21"/>
      <c r="L45" s="50"/>
      <c r="M45" s="51"/>
      <c r="N45" s="21"/>
      <c r="O45" s="50"/>
      <c r="P45" s="21"/>
      <c r="Q45" s="50"/>
      <c r="R45" s="21"/>
      <c r="S45" s="21"/>
      <c r="T45" s="50"/>
      <c r="U45" s="51">
        <f t="shared" si="0"/>
        <v>0</v>
      </c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>
        <f t="shared" si="3"/>
        <v>0</v>
      </c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>
        <v>135444400</v>
      </c>
      <c r="AZ45" s="51"/>
      <c r="BA45" s="51">
        <f>VLOOKUP(B45,[1]Hoja3!J$3:K$674,2,0)</f>
        <v>238370014</v>
      </c>
      <c r="BB45" s="51"/>
      <c r="BC45" s="52">
        <f t="shared" si="4"/>
        <v>373814414</v>
      </c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>
        <v>27088880</v>
      </c>
      <c r="BO45" s="51"/>
      <c r="BP45" s="52">
        <v>400903294</v>
      </c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>
        <v>27088880</v>
      </c>
      <c r="CD45" s="52"/>
      <c r="CE45" s="52"/>
      <c r="CF45" s="52"/>
      <c r="CG45" s="52">
        <f t="shared" si="5"/>
        <v>427992174</v>
      </c>
      <c r="CH45" s="52"/>
      <c r="CI45" s="52"/>
      <c r="CJ45" s="52"/>
      <c r="CK45" s="52"/>
      <c r="CL45" s="52"/>
      <c r="CM45" s="52"/>
      <c r="CN45" s="52"/>
      <c r="CO45" s="52"/>
      <c r="CP45" s="52"/>
      <c r="CQ45" s="52">
        <v>27088880</v>
      </c>
      <c r="CR45" s="52"/>
      <c r="CS45" s="52">
        <f t="shared" si="1"/>
        <v>455081054</v>
      </c>
      <c r="CT45" s="53">
        <v>216711040</v>
      </c>
      <c r="CU45" s="53">
        <f t="shared" si="2"/>
        <v>238370014</v>
      </c>
      <c r="CV45" s="54">
        <f t="shared" si="6"/>
        <v>455081054</v>
      </c>
      <c r="CW45" s="55">
        <f t="shared" si="7"/>
        <v>0</v>
      </c>
      <c r="CX45" s="16"/>
      <c r="CY45" s="16"/>
      <c r="CZ45" s="16"/>
    </row>
    <row r="46" spans="1:108" ht="15" customHeight="1" x14ac:dyDescent="0.2">
      <c r="A46" s="1">
        <v>8908011391</v>
      </c>
      <c r="B46" s="1">
        <v>890801139</v>
      </c>
      <c r="C46" s="9">
        <v>214217042</v>
      </c>
      <c r="D46" s="10" t="s">
        <v>337</v>
      </c>
      <c r="E46" s="46" t="s">
        <v>1368</v>
      </c>
      <c r="F46" s="21"/>
      <c r="G46" s="50"/>
      <c r="H46" s="21"/>
      <c r="I46" s="50"/>
      <c r="J46" s="21"/>
      <c r="K46" s="21"/>
      <c r="L46" s="50"/>
      <c r="M46" s="51"/>
      <c r="N46" s="21"/>
      <c r="O46" s="50"/>
      <c r="P46" s="21"/>
      <c r="Q46" s="50"/>
      <c r="R46" s="21"/>
      <c r="S46" s="21"/>
      <c r="T46" s="50"/>
      <c r="U46" s="51">
        <f t="shared" si="0"/>
        <v>0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415879555</v>
      </c>
      <c r="AN46" s="51">
        <f t="shared" si="3"/>
        <v>415879555</v>
      </c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>
        <v>234171635</v>
      </c>
      <c r="AZ46" s="51"/>
      <c r="BA46" s="51"/>
      <c r="BB46" s="51"/>
      <c r="BC46" s="52">
        <f t="shared" si="4"/>
        <v>650051190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>
        <v>46834327</v>
      </c>
      <c r="BO46" s="51"/>
      <c r="BP46" s="52">
        <v>696885517</v>
      </c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>
        <v>46834327</v>
      </c>
      <c r="CD46" s="52"/>
      <c r="CE46" s="52"/>
      <c r="CF46" s="52"/>
      <c r="CG46" s="52">
        <f t="shared" si="5"/>
        <v>743719844</v>
      </c>
      <c r="CH46" s="52"/>
      <c r="CI46" s="52"/>
      <c r="CJ46" s="52"/>
      <c r="CK46" s="52"/>
      <c r="CL46" s="52"/>
      <c r="CM46" s="52"/>
      <c r="CN46" s="52"/>
      <c r="CO46" s="52"/>
      <c r="CP46" s="52"/>
      <c r="CQ46" s="52">
        <v>46834327</v>
      </c>
      <c r="CR46" s="52"/>
      <c r="CS46" s="52">
        <f t="shared" si="1"/>
        <v>790554171</v>
      </c>
      <c r="CT46" s="53">
        <v>374674616</v>
      </c>
      <c r="CU46" s="53">
        <f t="shared" si="2"/>
        <v>415879555</v>
      </c>
      <c r="CV46" s="54">
        <f t="shared" si="6"/>
        <v>790554171</v>
      </c>
      <c r="CW46" s="55">
        <f t="shared" si="7"/>
        <v>0</v>
      </c>
      <c r="CX46" s="16"/>
      <c r="CY46" s="16"/>
      <c r="CZ46" s="16"/>
    </row>
    <row r="47" spans="1:108" ht="15" customHeight="1" x14ac:dyDescent="0.2">
      <c r="A47" s="1">
        <v>8001005328</v>
      </c>
      <c r="B47" s="1">
        <v>800100532</v>
      </c>
      <c r="C47" s="9">
        <v>214176041</v>
      </c>
      <c r="D47" s="10" t="s">
        <v>914</v>
      </c>
      <c r="E47" s="46" t="s">
        <v>1975</v>
      </c>
      <c r="F47" s="21"/>
      <c r="G47" s="50"/>
      <c r="H47" s="21"/>
      <c r="I47" s="50"/>
      <c r="J47" s="21"/>
      <c r="K47" s="21"/>
      <c r="L47" s="50"/>
      <c r="M47" s="51"/>
      <c r="N47" s="21"/>
      <c r="O47" s="50"/>
      <c r="P47" s="21"/>
      <c r="Q47" s="50"/>
      <c r="R47" s="21"/>
      <c r="S47" s="21"/>
      <c r="T47" s="50"/>
      <c r="U47" s="51">
        <f t="shared" si="0"/>
        <v>0</v>
      </c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159015700</v>
      </c>
      <c r="AN47" s="51">
        <f t="shared" si="3"/>
        <v>159015700</v>
      </c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>
        <v>114597565</v>
      </c>
      <c r="AZ47" s="51"/>
      <c r="BA47" s="51">
        <f>VLOOKUP(B47,[1]Hoja3!J$3:K$674,2,0)</f>
        <v>41595426</v>
      </c>
      <c r="BB47" s="51"/>
      <c r="BC47" s="52">
        <f t="shared" si="4"/>
        <v>315208691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>
        <v>22919513</v>
      </c>
      <c r="BO47" s="51"/>
      <c r="BP47" s="52">
        <v>338128204</v>
      </c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>
        <v>22919513</v>
      </c>
      <c r="CD47" s="52"/>
      <c r="CE47" s="52"/>
      <c r="CF47" s="52"/>
      <c r="CG47" s="52">
        <f t="shared" si="5"/>
        <v>361047717</v>
      </c>
      <c r="CH47" s="52"/>
      <c r="CI47" s="52"/>
      <c r="CJ47" s="52"/>
      <c r="CK47" s="52"/>
      <c r="CL47" s="52"/>
      <c r="CM47" s="52"/>
      <c r="CN47" s="52"/>
      <c r="CO47" s="52"/>
      <c r="CP47" s="52"/>
      <c r="CQ47" s="52">
        <v>22919513</v>
      </c>
      <c r="CR47" s="52"/>
      <c r="CS47" s="52">
        <f t="shared" si="1"/>
        <v>383967230</v>
      </c>
      <c r="CT47" s="53">
        <v>183356104</v>
      </c>
      <c r="CU47" s="53">
        <f t="shared" si="2"/>
        <v>200611126</v>
      </c>
      <c r="CV47" s="54">
        <f t="shared" si="6"/>
        <v>383967230</v>
      </c>
      <c r="CW47" s="55">
        <f t="shared" si="7"/>
        <v>0</v>
      </c>
      <c r="CX47" s="16"/>
      <c r="CY47" s="16"/>
      <c r="CZ47" s="16"/>
    </row>
    <row r="48" spans="1:108" ht="15" customHeight="1" x14ac:dyDescent="0.2">
      <c r="A48" s="1">
        <v>8909075691</v>
      </c>
      <c r="B48" s="1">
        <v>890907569</v>
      </c>
      <c r="C48" s="9">
        <v>214205042</v>
      </c>
      <c r="D48" s="10" t="s">
        <v>52</v>
      </c>
      <c r="E48" s="46" t="s">
        <v>2083</v>
      </c>
      <c r="F48" s="21"/>
      <c r="G48" s="50"/>
      <c r="H48" s="21"/>
      <c r="I48" s="50"/>
      <c r="J48" s="21"/>
      <c r="K48" s="21"/>
      <c r="L48" s="50"/>
      <c r="M48" s="51"/>
      <c r="N48" s="21"/>
      <c r="O48" s="50"/>
      <c r="P48" s="21"/>
      <c r="Q48" s="50"/>
      <c r="R48" s="21"/>
      <c r="S48" s="21"/>
      <c r="T48" s="50"/>
      <c r="U48" s="51">
        <f t="shared" si="0"/>
        <v>0</v>
      </c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>
        <f t="shared" si="3"/>
        <v>0</v>
      </c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>
        <v>214530950</v>
      </c>
      <c r="AZ48" s="51"/>
      <c r="BA48" s="51">
        <f>VLOOKUP(B48,[1]Hoja3!J$3:K$674,2,0)</f>
        <v>352296021</v>
      </c>
      <c r="BB48" s="51"/>
      <c r="BC48" s="52">
        <f t="shared" si="4"/>
        <v>566826971</v>
      </c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>
        <v>42906190</v>
      </c>
      <c r="BO48" s="51"/>
      <c r="BP48" s="52">
        <v>609733161</v>
      </c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>
        <v>42906190</v>
      </c>
      <c r="CD48" s="52"/>
      <c r="CE48" s="52"/>
      <c r="CF48" s="52"/>
      <c r="CG48" s="52">
        <f t="shared" si="5"/>
        <v>652639351</v>
      </c>
      <c r="CH48" s="52"/>
      <c r="CI48" s="52"/>
      <c r="CJ48" s="52"/>
      <c r="CK48" s="52"/>
      <c r="CL48" s="52"/>
      <c r="CM48" s="52"/>
      <c r="CN48" s="52"/>
      <c r="CO48" s="52"/>
      <c r="CP48" s="52"/>
      <c r="CQ48" s="52">
        <v>42906190</v>
      </c>
      <c r="CR48" s="52"/>
      <c r="CS48" s="52">
        <f t="shared" si="1"/>
        <v>695545541</v>
      </c>
      <c r="CT48" s="53">
        <v>343249520</v>
      </c>
      <c r="CU48" s="53">
        <f t="shared" si="2"/>
        <v>352296021</v>
      </c>
      <c r="CV48" s="54">
        <f t="shared" si="6"/>
        <v>695545541</v>
      </c>
      <c r="CW48" s="55">
        <f t="shared" si="7"/>
        <v>0</v>
      </c>
      <c r="CX48" s="16"/>
      <c r="CY48" s="16"/>
      <c r="CZ48" s="16"/>
    </row>
    <row r="49" spans="1:108" ht="15" customHeight="1" x14ac:dyDescent="0.2">
      <c r="A49" s="1">
        <v>8909838249</v>
      </c>
      <c r="B49" s="1">
        <v>890983824</v>
      </c>
      <c r="C49" s="9">
        <v>214405044</v>
      </c>
      <c r="D49" s="10" t="s">
        <v>53</v>
      </c>
      <c r="E49" s="46" t="s">
        <v>1085</v>
      </c>
      <c r="F49" s="21"/>
      <c r="G49" s="50"/>
      <c r="H49" s="21"/>
      <c r="I49" s="50"/>
      <c r="J49" s="21"/>
      <c r="K49" s="21"/>
      <c r="L49" s="50"/>
      <c r="M49" s="51"/>
      <c r="N49" s="21"/>
      <c r="O49" s="50"/>
      <c r="P49" s="21"/>
      <c r="Q49" s="50"/>
      <c r="R49" s="21"/>
      <c r="S49" s="21"/>
      <c r="T49" s="50"/>
      <c r="U49" s="51">
        <f t="shared" si="0"/>
        <v>0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>
        <f t="shared" si="3"/>
        <v>0</v>
      </c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>
        <v>46261170</v>
      </c>
      <c r="AZ49" s="51"/>
      <c r="BA49" s="51">
        <f>VLOOKUP(B49,[1]Hoja3!J$3:K$674,2,0)</f>
        <v>97874861</v>
      </c>
      <c r="BB49" s="51"/>
      <c r="BC49" s="52">
        <f t="shared" si="4"/>
        <v>144136031</v>
      </c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>
        <v>9252234</v>
      </c>
      <c r="BO49" s="51"/>
      <c r="BP49" s="52">
        <v>153388265</v>
      </c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>
        <v>9252234</v>
      </c>
      <c r="CD49" s="52"/>
      <c r="CE49" s="52"/>
      <c r="CF49" s="52"/>
      <c r="CG49" s="52">
        <f t="shared" si="5"/>
        <v>162640499</v>
      </c>
      <c r="CH49" s="52"/>
      <c r="CI49" s="52"/>
      <c r="CJ49" s="52"/>
      <c r="CK49" s="52"/>
      <c r="CL49" s="52"/>
      <c r="CM49" s="52"/>
      <c r="CN49" s="52"/>
      <c r="CO49" s="52"/>
      <c r="CP49" s="52"/>
      <c r="CQ49" s="52">
        <v>9252234</v>
      </c>
      <c r="CR49" s="52"/>
      <c r="CS49" s="52">
        <f t="shared" si="1"/>
        <v>171892733</v>
      </c>
      <c r="CT49" s="53">
        <v>74017872</v>
      </c>
      <c r="CU49" s="53">
        <f t="shared" si="2"/>
        <v>97874861</v>
      </c>
      <c r="CV49" s="54">
        <f t="shared" si="6"/>
        <v>171892733</v>
      </c>
      <c r="CW49" s="55">
        <f t="shared" si="7"/>
        <v>0</v>
      </c>
      <c r="CX49" s="16"/>
      <c r="CY49" s="16"/>
      <c r="CZ49" s="16"/>
    </row>
    <row r="50" spans="1:108" ht="15" customHeight="1" x14ac:dyDescent="0.2">
      <c r="A50" s="1">
        <v>8907020184</v>
      </c>
      <c r="B50" s="1">
        <v>890702018</v>
      </c>
      <c r="C50" s="9">
        <v>214373043</v>
      </c>
      <c r="D50" s="10" t="s">
        <v>2206</v>
      </c>
      <c r="E50" s="46" t="s">
        <v>1931</v>
      </c>
      <c r="F50" s="21"/>
      <c r="G50" s="50"/>
      <c r="H50" s="21"/>
      <c r="I50" s="50"/>
      <c r="J50" s="21"/>
      <c r="K50" s="21"/>
      <c r="L50" s="50"/>
      <c r="M50" s="51"/>
      <c r="N50" s="21"/>
      <c r="O50" s="50"/>
      <c r="P50" s="21"/>
      <c r="Q50" s="50"/>
      <c r="R50" s="21"/>
      <c r="S50" s="21"/>
      <c r="T50" s="50"/>
      <c r="U50" s="51">
        <f t="shared" si="0"/>
        <v>0</v>
      </c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>
        <f t="shared" si="3"/>
        <v>0</v>
      </c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>
        <v>134969305</v>
      </c>
      <c r="AZ50" s="51"/>
      <c r="BA50" s="51">
        <f>VLOOKUP(B50,[1]Hoja3!J$3:K$674,2,0)</f>
        <v>171448041</v>
      </c>
      <c r="BB50" s="51"/>
      <c r="BC50" s="52">
        <f t="shared" si="4"/>
        <v>306417346</v>
      </c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>
        <v>26993861</v>
      </c>
      <c r="BO50" s="51"/>
      <c r="BP50" s="52">
        <v>333411207</v>
      </c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>
        <v>26993861</v>
      </c>
      <c r="CD50" s="52"/>
      <c r="CE50" s="52"/>
      <c r="CF50" s="52"/>
      <c r="CG50" s="52">
        <f t="shared" si="5"/>
        <v>360405068</v>
      </c>
      <c r="CH50" s="52"/>
      <c r="CI50" s="52"/>
      <c r="CJ50" s="52"/>
      <c r="CK50" s="52"/>
      <c r="CL50" s="52"/>
      <c r="CM50" s="52"/>
      <c r="CN50" s="52"/>
      <c r="CO50" s="52"/>
      <c r="CP50" s="52"/>
      <c r="CQ50" s="52">
        <v>26993861</v>
      </c>
      <c r="CR50" s="52"/>
      <c r="CS50" s="52">
        <f t="shared" si="1"/>
        <v>387398929</v>
      </c>
      <c r="CT50" s="53">
        <v>215950888</v>
      </c>
      <c r="CU50" s="53">
        <f t="shared" si="2"/>
        <v>171448041</v>
      </c>
      <c r="CV50" s="54">
        <f t="shared" si="6"/>
        <v>387398929</v>
      </c>
      <c r="CW50" s="55">
        <f t="shared" si="7"/>
        <v>0</v>
      </c>
      <c r="CX50" s="16"/>
      <c r="CY50" s="16"/>
      <c r="CZ50" s="16"/>
    </row>
    <row r="51" spans="1:108" ht="15" customHeight="1" x14ac:dyDescent="0.2">
      <c r="A51" s="1">
        <v>8909800952</v>
      </c>
      <c r="B51" s="1">
        <v>890980095</v>
      </c>
      <c r="C51" s="9">
        <v>214505045</v>
      </c>
      <c r="D51" s="10" t="s">
        <v>54</v>
      </c>
      <c r="E51" s="70" t="s">
        <v>2108</v>
      </c>
      <c r="F51" s="21"/>
      <c r="G51" s="50"/>
      <c r="H51" s="21"/>
      <c r="I51" s="50">
        <v>2878738504</v>
      </c>
      <c r="J51" s="21">
        <v>213803383</v>
      </c>
      <c r="K51" s="21">
        <v>425368073</v>
      </c>
      <c r="L51" s="50"/>
      <c r="M51" s="52">
        <f>SUM(F51:L51)</f>
        <v>3517909960</v>
      </c>
      <c r="N51" s="21"/>
      <c r="O51" s="50"/>
      <c r="P51" s="21"/>
      <c r="Q51" s="50">
        <f>2684827991+46599699</f>
        <v>2731427690</v>
      </c>
      <c r="R51" s="21">
        <v>213803383</v>
      </c>
      <c r="S51" s="21">
        <f>211564690+213803383</f>
        <v>425368073</v>
      </c>
      <c r="T51" s="50"/>
      <c r="U51" s="51">
        <f t="shared" si="0"/>
        <v>6888509106</v>
      </c>
      <c r="V51" s="51"/>
      <c r="W51" s="51"/>
      <c r="X51" s="51"/>
      <c r="Y51" s="51">
        <v>4538941420</v>
      </c>
      <c r="Z51" s="51">
        <v>208292356</v>
      </c>
      <c r="AA51" s="51">
        <v>482592112</v>
      </c>
      <c r="AB51" s="51"/>
      <c r="AC51" s="51">
        <f t="shared" ref="AC51" si="8">SUM(U51:AB51)</f>
        <v>12118334994</v>
      </c>
      <c r="AD51" s="51"/>
      <c r="AE51" s="51"/>
      <c r="AF51" s="51"/>
      <c r="AG51" s="51"/>
      <c r="AH51" s="51">
        <v>3161180008</v>
      </c>
      <c r="AI51" s="51">
        <v>2759301451</v>
      </c>
      <c r="AJ51" s="51">
        <v>216710035</v>
      </c>
      <c r="AK51" s="51">
        <v>547436727</v>
      </c>
      <c r="AL51" s="51"/>
      <c r="AM51" s="51">
        <v>1962648182</v>
      </c>
      <c r="AN51" s="51">
        <f t="shared" si="3"/>
        <v>20765611397</v>
      </c>
      <c r="AO51" s="51"/>
      <c r="AP51" s="51"/>
      <c r="AQ51" s="51">
        <v>715098920</v>
      </c>
      <c r="AR51" s="51"/>
      <c r="AS51" s="51"/>
      <c r="AT51" s="51">
        <v>3161180008</v>
      </c>
      <c r="AU51" s="51"/>
      <c r="AV51" s="51">
        <v>216710035</v>
      </c>
      <c r="AW51" s="51">
        <v>371060499</v>
      </c>
      <c r="AX51" s="51"/>
      <c r="AY51" s="51"/>
      <c r="AZ51" s="51">
        <v>126131774</v>
      </c>
      <c r="BA51" s="51"/>
      <c r="BB51" s="51"/>
      <c r="BC51" s="52">
        <f t="shared" si="4"/>
        <v>25355792633</v>
      </c>
      <c r="BD51" s="51"/>
      <c r="BE51" s="51"/>
      <c r="BF51" s="51">
        <v>143019784</v>
      </c>
      <c r="BG51" s="51"/>
      <c r="BH51" s="51"/>
      <c r="BI51" s="51">
        <v>3122445530</v>
      </c>
      <c r="BJ51" s="51">
        <v>316356840</v>
      </c>
      <c r="BK51" s="51">
        <v>215796887</v>
      </c>
      <c r="BL51" s="51">
        <v>536454980</v>
      </c>
      <c r="BM51" s="51"/>
      <c r="BN51" s="51"/>
      <c r="BO51" s="51"/>
      <c r="BP51" s="52">
        <v>29689866654</v>
      </c>
      <c r="BQ51" s="52"/>
      <c r="BR51" s="52"/>
      <c r="BS51" s="52">
        <v>143019784</v>
      </c>
      <c r="BT51" s="52"/>
      <c r="BU51" s="52"/>
      <c r="BV51" s="52"/>
      <c r="BW51" s="52">
        <v>2915900726</v>
      </c>
      <c r="BX51" s="52"/>
      <c r="BY51" s="52">
        <v>1369644925</v>
      </c>
      <c r="BZ51" s="52">
        <v>214155447</v>
      </c>
      <c r="CA51" s="52">
        <v>569013426</v>
      </c>
      <c r="CB51" s="52"/>
      <c r="CC51" s="52"/>
      <c r="CD51" s="52"/>
      <c r="CE51" s="52">
        <v>59758381</v>
      </c>
      <c r="CF51" s="52"/>
      <c r="CG51" s="52">
        <f t="shared" si="5"/>
        <v>34961359343</v>
      </c>
      <c r="CH51" s="52"/>
      <c r="CI51" s="52"/>
      <c r="CJ51" s="52">
        <v>143019784</v>
      </c>
      <c r="CK51" s="52"/>
      <c r="CL51" s="52">
        <v>2884911736</v>
      </c>
      <c r="CM51" s="52">
        <v>746938515</v>
      </c>
      <c r="CN51" s="52">
        <v>217571140</v>
      </c>
      <c r="CO51" s="52">
        <v>393822053</v>
      </c>
      <c r="CP51" s="52"/>
      <c r="CQ51" s="52"/>
      <c r="CR51" s="52"/>
      <c r="CS51" s="52">
        <f t="shared" si="1"/>
        <v>39347622571</v>
      </c>
      <c r="CT51" s="53">
        <v>37325216008</v>
      </c>
      <c r="CU51" s="53">
        <f t="shared" si="2"/>
        <v>2022406563</v>
      </c>
      <c r="CV51" s="54">
        <f t="shared" si="6"/>
        <v>39347622571</v>
      </c>
      <c r="CW51" s="55">
        <f t="shared" si="7"/>
        <v>0</v>
      </c>
      <c r="CX51" s="16"/>
      <c r="CY51" s="16"/>
      <c r="CZ51" s="16"/>
    </row>
    <row r="52" spans="1:108" ht="15" customHeight="1" x14ac:dyDescent="0.2">
      <c r="A52" s="1">
        <v>8914800223</v>
      </c>
      <c r="B52" s="1">
        <v>891480022</v>
      </c>
      <c r="C52" s="9">
        <v>214566045</v>
      </c>
      <c r="D52" s="10" t="s">
        <v>800</v>
      </c>
      <c r="E52" s="46" t="s">
        <v>1817</v>
      </c>
      <c r="F52" s="21"/>
      <c r="G52" s="50"/>
      <c r="H52" s="21"/>
      <c r="I52" s="50"/>
      <c r="J52" s="21"/>
      <c r="K52" s="21"/>
      <c r="L52" s="50"/>
      <c r="M52" s="51"/>
      <c r="N52" s="21"/>
      <c r="O52" s="50"/>
      <c r="P52" s="21"/>
      <c r="Q52" s="50"/>
      <c r="R52" s="21"/>
      <c r="S52" s="21"/>
      <c r="T52" s="50"/>
      <c r="U52" s="51">
        <f t="shared" si="0"/>
        <v>0</v>
      </c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152426352</v>
      </c>
      <c r="AN52" s="51">
        <f t="shared" si="3"/>
        <v>152426352</v>
      </c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>
        <v>77708230</v>
      </c>
      <c r="AZ52" s="51"/>
      <c r="BA52" s="51">
        <f>VLOOKUP(B52,[1]Hoja3!J$3:K$674,2,0)</f>
        <v>195347256</v>
      </c>
      <c r="BB52" s="51"/>
      <c r="BC52" s="52">
        <f t="shared" si="4"/>
        <v>425481838</v>
      </c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>
        <v>15541646</v>
      </c>
      <c r="BO52" s="51"/>
      <c r="BP52" s="52">
        <v>441023484</v>
      </c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>
        <v>15541646</v>
      </c>
      <c r="CD52" s="52"/>
      <c r="CE52" s="52"/>
      <c r="CF52" s="52"/>
      <c r="CG52" s="52">
        <f t="shared" si="5"/>
        <v>456565130</v>
      </c>
      <c r="CH52" s="52"/>
      <c r="CI52" s="52"/>
      <c r="CJ52" s="52"/>
      <c r="CK52" s="52"/>
      <c r="CL52" s="52"/>
      <c r="CM52" s="52"/>
      <c r="CN52" s="52"/>
      <c r="CO52" s="52"/>
      <c r="CP52" s="52"/>
      <c r="CQ52" s="52">
        <v>15541646</v>
      </c>
      <c r="CR52" s="52"/>
      <c r="CS52" s="52">
        <f t="shared" si="1"/>
        <v>472106776</v>
      </c>
      <c r="CT52" s="53">
        <v>124333168</v>
      </c>
      <c r="CU52" s="53">
        <f t="shared" si="2"/>
        <v>347773608</v>
      </c>
      <c r="CV52" s="54">
        <f t="shared" si="6"/>
        <v>472106776</v>
      </c>
      <c r="CW52" s="55">
        <f t="shared" si="7"/>
        <v>0</v>
      </c>
      <c r="CX52" s="16"/>
      <c r="CY52" s="16"/>
      <c r="CZ52" s="16"/>
    </row>
    <row r="53" spans="1:108" ht="15" customHeight="1" x14ac:dyDescent="0.2">
      <c r="A53" s="1">
        <v>8906802367</v>
      </c>
      <c r="B53" s="1">
        <v>890680236</v>
      </c>
      <c r="C53" s="9">
        <v>219925599</v>
      </c>
      <c r="D53" s="10" t="s">
        <v>529</v>
      </c>
      <c r="E53" s="46" t="s">
        <v>1554</v>
      </c>
      <c r="F53" s="21"/>
      <c r="G53" s="50"/>
      <c r="H53" s="21"/>
      <c r="I53" s="50"/>
      <c r="J53" s="21"/>
      <c r="K53" s="21"/>
      <c r="L53" s="50"/>
      <c r="M53" s="51"/>
      <c r="N53" s="21"/>
      <c r="O53" s="50"/>
      <c r="P53" s="21"/>
      <c r="Q53" s="50"/>
      <c r="R53" s="21"/>
      <c r="S53" s="21"/>
      <c r="T53" s="50"/>
      <c r="U53" s="51">
        <f t="shared" si="0"/>
        <v>0</v>
      </c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85049187</v>
      </c>
      <c r="AN53" s="51">
        <f t="shared" si="3"/>
        <v>85049187</v>
      </c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>
        <f>VLOOKUP(B53,'[2]anuladas en mayo gratuidad}'!K$2:L$55,2,0)</f>
        <v>85049187</v>
      </c>
      <c r="BC53" s="52">
        <f t="shared" si="4"/>
        <v>0</v>
      </c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>
        <v>0</v>
      </c>
      <c r="BO53" s="51"/>
      <c r="BP53" s="51">
        <v>0</v>
      </c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>
        <v>67136125</v>
      </c>
      <c r="CD53" s="52"/>
      <c r="CE53" s="52"/>
      <c r="CF53" s="52"/>
      <c r="CG53" s="52">
        <f t="shared" si="5"/>
        <v>67136125</v>
      </c>
      <c r="CH53" s="52"/>
      <c r="CI53" s="52"/>
      <c r="CJ53" s="52"/>
      <c r="CK53" s="52"/>
      <c r="CL53" s="52"/>
      <c r="CM53" s="52"/>
      <c r="CN53" s="52"/>
      <c r="CO53" s="52"/>
      <c r="CP53" s="52"/>
      <c r="CQ53" s="52">
        <v>9590875</v>
      </c>
      <c r="CR53" s="52">
        <v>85049187</v>
      </c>
      <c r="CS53" s="52">
        <f t="shared" si="1"/>
        <v>161776187</v>
      </c>
      <c r="CT53" s="53">
        <v>76727000</v>
      </c>
      <c r="CU53" s="53">
        <f t="shared" si="2"/>
        <v>85049187</v>
      </c>
      <c r="CV53" s="54">
        <f t="shared" si="6"/>
        <v>161776187</v>
      </c>
      <c r="CW53" s="55">
        <f t="shared" si="7"/>
        <v>0</v>
      </c>
      <c r="CX53" s="16"/>
      <c r="CY53" s="16"/>
      <c r="CZ53" s="16"/>
    </row>
    <row r="54" spans="1:108" ht="15" customHeight="1" x14ac:dyDescent="0.2">
      <c r="A54" s="1">
        <v>8000775455</v>
      </c>
      <c r="B54" s="1">
        <v>800077545</v>
      </c>
      <c r="C54" s="9">
        <v>214715047</v>
      </c>
      <c r="D54" s="10" t="s">
        <v>219</v>
      </c>
      <c r="E54" s="46" t="s">
        <v>1254</v>
      </c>
      <c r="F54" s="21"/>
      <c r="G54" s="50"/>
      <c r="H54" s="21"/>
      <c r="I54" s="50"/>
      <c r="J54" s="21"/>
      <c r="K54" s="21"/>
      <c r="L54" s="50"/>
      <c r="M54" s="51"/>
      <c r="N54" s="21"/>
      <c r="O54" s="50"/>
      <c r="P54" s="21"/>
      <c r="Q54" s="50"/>
      <c r="R54" s="21"/>
      <c r="S54" s="21"/>
      <c r="T54" s="50"/>
      <c r="U54" s="51">
        <f t="shared" si="0"/>
        <v>0</v>
      </c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34802688</v>
      </c>
      <c r="AN54" s="51">
        <f t="shared" si="3"/>
        <v>34802688</v>
      </c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>
        <v>114472460</v>
      </c>
      <c r="AZ54" s="51"/>
      <c r="BA54" s="51">
        <f>VLOOKUP(B54,[1]Hoja3!J$3:K$674,2,0)</f>
        <v>220829202</v>
      </c>
      <c r="BB54" s="51"/>
      <c r="BC54" s="52">
        <f t="shared" si="4"/>
        <v>370104350</v>
      </c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>
        <v>22894492</v>
      </c>
      <c r="BO54" s="51"/>
      <c r="BP54" s="52">
        <v>392998842</v>
      </c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>
        <v>22894492</v>
      </c>
      <c r="CD54" s="52"/>
      <c r="CE54" s="52"/>
      <c r="CF54" s="52"/>
      <c r="CG54" s="52">
        <f t="shared" si="5"/>
        <v>415893334</v>
      </c>
      <c r="CH54" s="52"/>
      <c r="CI54" s="52"/>
      <c r="CJ54" s="52"/>
      <c r="CK54" s="52"/>
      <c r="CL54" s="52"/>
      <c r="CM54" s="52"/>
      <c r="CN54" s="52"/>
      <c r="CO54" s="52"/>
      <c r="CP54" s="52"/>
      <c r="CQ54" s="52">
        <v>22894492</v>
      </c>
      <c r="CR54" s="52"/>
      <c r="CS54" s="52">
        <f t="shared" si="1"/>
        <v>438787826</v>
      </c>
      <c r="CT54" s="53">
        <v>183155936</v>
      </c>
      <c r="CU54" s="53">
        <f t="shared" si="2"/>
        <v>255631890</v>
      </c>
      <c r="CV54" s="54">
        <f t="shared" si="6"/>
        <v>438787826</v>
      </c>
      <c r="CW54" s="55">
        <f t="shared" si="7"/>
        <v>0</v>
      </c>
      <c r="CX54" s="16"/>
      <c r="CY54" s="16"/>
      <c r="CZ54" s="8"/>
      <c r="DA54" s="8"/>
      <c r="DB54" s="8"/>
      <c r="DC54" s="8"/>
      <c r="DD54" s="8"/>
    </row>
    <row r="55" spans="1:108" ht="15" customHeight="1" x14ac:dyDescent="0.2">
      <c r="A55" s="1">
        <v>8917800410</v>
      </c>
      <c r="B55" s="1">
        <v>891780041</v>
      </c>
      <c r="C55" s="9">
        <v>215347053</v>
      </c>
      <c r="D55" s="10" t="s">
        <v>641</v>
      </c>
      <c r="E55" s="46" t="s">
        <v>1660</v>
      </c>
      <c r="F55" s="21"/>
      <c r="G55" s="50"/>
      <c r="H55" s="21"/>
      <c r="I55" s="50"/>
      <c r="J55" s="21"/>
      <c r="K55" s="21"/>
      <c r="L55" s="50"/>
      <c r="M55" s="51"/>
      <c r="N55" s="21"/>
      <c r="O55" s="50"/>
      <c r="P55" s="21"/>
      <c r="Q55" s="50"/>
      <c r="R55" s="21"/>
      <c r="S55" s="21"/>
      <c r="T55" s="50"/>
      <c r="U55" s="51">
        <f t="shared" si="0"/>
        <v>0</v>
      </c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207970076</v>
      </c>
      <c r="AN55" s="51">
        <f t="shared" si="3"/>
        <v>207970076</v>
      </c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>
        <v>396910180</v>
      </c>
      <c r="AZ55" s="51"/>
      <c r="BA55" s="51">
        <f>VLOOKUP(B55,[1]Hoja3!J$3:K$674,2,0)</f>
        <v>494213191</v>
      </c>
      <c r="BB55" s="51"/>
      <c r="BC55" s="52">
        <f t="shared" si="4"/>
        <v>1099093447</v>
      </c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>
        <v>79382036</v>
      </c>
      <c r="BO55" s="51"/>
      <c r="BP55" s="52">
        <v>1178475483</v>
      </c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>
        <v>79382036</v>
      </c>
      <c r="CD55" s="52"/>
      <c r="CE55" s="52"/>
      <c r="CF55" s="52"/>
      <c r="CG55" s="52">
        <f t="shared" si="5"/>
        <v>1257857519</v>
      </c>
      <c r="CH55" s="52"/>
      <c r="CI55" s="52"/>
      <c r="CJ55" s="52"/>
      <c r="CK55" s="52"/>
      <c r="CL55" s="52"/>
      <c r="CM55" s="52"/>
      <c r="CN55" s="52"/>
      <c r="CO55" s="52"/>
      <c r="CP55" s="52"/>
      <c r="CQ55" s="52">
        <v>79382036</v>
      </c>
      <c r="CR55" s="52"/>
      <c r="CS55" s="52">
        <f t="shared" si="1"/>
        <v>1337239555</v>
      </c>
      <c r="CT55" s="53">
        <v>635056288</v>
      </c>
      <c r="CU55" s="53">
        <f t="shared" si="2"/>
        <v>702183267</v>
      </c>
      <c r="CV55" s="54">
        <f t="shared" si="6"/>
        <v>1337239555</v>
      </c>
      <c r="CW55" s="55">
        <f t="shared" si="7"/>
        <v>0</v>
      </c>
      <c r="CX55" s="16"/>
      <c r="CY55" s="16"/>
      <c r="CZ55" s="16"/>
    </row>
    <row r="56" spans="1:108" ht="15" customHeight="1" x14ac:dyDescent="0.2">
      <c r="A56" s="1">
        <v>8908011424</v>
      </c>
      <c r="B56" s="1">
        <v>890801142</v>
      </c>
      <c r="C56" s="9">
        <v>215017050</v>
      </c>
      <c r="D56" s="10" t="s">
        <v>338</v>
      </c>
      <c r="E56" s="46" t="s">
        <v>1369</v>
      </c>
      <c r="F56" s="21"/>
      <c r="G56" s="50"/>
      <c r="H56" s="21"/>
      <c r="I56" s="50"/>
      <c r="J56" s="21"/>
      <c r="K56" s="21"/>
      <c r="L56" s="50"/>
      <c r="M56" s="51"/>
      <c r="N56" s="21"/>
      <c r="O56" s="50"/>
      <c r="P56" s="21"/>
      <c r="Q56" s="50"/>
      <c r="R56" s="21"/>
      <c r="S56" s="21"/>
      <c r="T56" s="50"/>
      <c r="U56" s="51">
        <f t="shared" si="0"/>
        <v>0</v>
      </c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167204788</v>
      </c>
      <c r="AN56" s="51">
        <f t="shared" si="3"/>
        <v>167204788</v>
      </c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>
        <v>87087040</v>
      </c>
      <c r="AZ56" s="51"/>
      <c r="BA56" s="51"/>
      <c r="BB56" s="51"/>
      <c r="BC56" s="52">
        <f t="shared" si="4"/>
        <v>254291828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>
        <v>17417408</v>
      </c>
      <c r="BO56" s="51"/>
      <c r="BP56" s="52">
        <v>271709236</v>
      </c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>
        <v>17417408</v>
      </c>
      <c r="CD56" s="52"/>
      <c r="CE56" s="52"/>
      <c r="CF56" s="52"/>
      <c r="CG56" s="52">
        <f t="shared" si="5"/>
        <v>289126644</v>
      </c>
      <c r="CH56" s="52"/>
      <c r="CI56" s="52"/>
      <c r="CJ56" s="52"/>
      <c r="CK56" s="52"/>
      <c r="CL56" s="52"/>
      <c r="CM56" s="52"/>
      <c r="CN56" s="52"/>
      <c r="CO56" s="52"/>
      <c r="CP56" s="52"/>
      <c r="CQ56" s="52">
        <v>17417408</v>
      </c>
      <c r="CR56" s="52"/>
      <c r="CS56" s="52">
        <f t="shared" si="1"/>
        <v>306544052</v>
      </c>
      <c r="CT56" s="53">
        <v>139339264</v>
      </c>
      <c r="CU56" s="53">
        <f t="shared" si="2"/>
        <v>167204788</v>
      </c>
      <c r="CV56" s="54">
        <f t="shared" si="6"/>
        <v>306544052</v>
      </c>
      <c r="CW56" s="55">
        <f t="shared" si="7"/>
        <v>0</v>
      </c>
      <c r="CX56" s="16"/>
      <c r="CY56" s="16"/>
      <c r="CZ56" s="16"/>
    </row>
    <row r="57" spans="1:108" ht="15" customHeight="1" x14ac:dyDescent="0.2">
      <c r="A57" s="1">
        <v>8902053345</v>
      </c>
      <c r="B57" s="1">
        <v>890205334</v>
      </c>
      <c r="C57" s="9">
        <v>215168051</v>
      </c>
      <c r="D57" s="10" t="s">
        <v>814</v>
      </c>
      <c r="E57" s="46" t="s">
        <v>1831</v>
      </c>
      <c r="F57" s="21"/>
      <c r="G57" s="50"/>
      <c r="H57" s="21"/>
      <c r="I57" s="50"/>
      <c r="J57" s="21"/>
      <c r="K57" s="21"/>
      <c r="L57" s="50"/>
      <c r="M57" s="51"/>
      <c r="N57" s="21"/>
      <c r="O57" s="50"/>
      <c r="P57" s="21"/>
      <c r="Q57" s="50"/>
      <c r="R57" s="21"/>
      <c r="S57" s="21"/>
      <c r="T57" s="50"/>
      <c r="U57" s="51">
        <f t="shared" si="0"/>
        <v>0</v>
      </c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>
        <v>66162425</v>
      </c>
      <c r="AZ57" s="51"/>
      <c r="BA57" s="51">
        <f>VLOOKUP(B57,[1]Hoja3!J$3:K$674,2,0)</f>
        <v>136634093</v>
      </c>
      <c r="BB57" s="51"/>
      <c r="BC57" s="52">
        <f t="shared" si="4"/>
        <v>202796518</v>
      </c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>
        <v>13232485</v>
      </c>
      <c r="BO57" s="51"/>
      <c r="BP57" s="52">
        <v>216029003</v>
      </c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>
        <v>13232485</v>
      </c>
      <c r="CD57" s="52"/>
      <c r="CE57" s="52"/>
      <c r="CF57" s="52"/>
      <c r="CG57" s="52">
        <f t="shared" si="5"/>
        <v>229261488</v>
      </c>
      <c r="CH57" s="52"/>
      <c r="CI57" s="52"/>
      <c r="CJ57" s="52"/>
      <c r="CK57" s="52"/>
      <c r="CL57" s="52"/>
      <c r="CM57" s="52"/>
      <c r="CN57" s="52"/>
      <c r="CO57" s="52"/>
      <c r="CP57" s="52"/>
      <c r="CQ57" s="52">
        <v>13232485</v>
      </c>
      <c r="CR57" s="52"/>
      <c r="CS57" s="52">
        <f t="shared" si="1"/>
        <v>242493973</v>
      </c>
      <c r="CT57" s="53">
        <v>105859880</v>
      </c>
      <c r="CU57" s="53">
        <f t="shared" si="2"/>
        <v>136634093</v>
      </c>
      <c r="CV57" s="54">
        <f t="shared" si="6"/>
        <v>242493973</v>
      </c>
      <c r="CW57" s="55">
        <f t="shared" si="7"/>
        <v>0</v>
      </c>
      <c r="CX57" s="16"/>
      <c r="CY57" s="16"/>
      <c r="CZ57" s="16"/>
    </row>
    <row r="58" spans="1:108" ht="15" customHeight="1" x14ac:dyDescent="0.2">
      <c r="A58" s="1">
        <v>8001025040</v>
      </c>
      <c r="B58" s="1">
        <v>800102504</v>
      </c>
      <c r="C58" s="9">
        <v>210181001</v>
      </c>
      <c r="D58" s="10" t="s">
        <v>948</v>
      </c>
      <c r="E58" s="46" t="s">
        <v>2008</v>
      </c>
      <c r="F58" s="21"/>
      <c r="G58" s="50"/>
      <c r="H58" s="21"/>
      <c r="I58" s="50"/>
      <c r="J58" s="21"/>
      <c r="K58" s="21"/>
      <c r="L58" s="50"/>
      <c r="M58" s="51"/>
      <c r="N58" s="21"/>
      <c r="O58" s="50"/>
      <c r="P58" s="21"/>
      <c r="Q58" s="50"/>
      <c r="R58" s="21"/>
      <c r="S58" s="21"/>
      <c r="T58" s="50"/>
      <c r="U58" s="51">
        <f t="shared" si="0"/>
        <v>0</v>
      </c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1214802672</v>
      </c>
      <c r="AN58" s="51">
        <f>SUBTOTAL(9,AC58:AM58)</f>
        <v>1214802672</v>
      </c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>
        <v>511510620</v>
      </c>
      <c r="AZ58" s="51"/>
      <c r="BA58" s="51"/>
      <c r="BB58" s="51">
        <f>VLOOKUP(B58,'[2]anuladas en mayo gratuidad}'!K$2:L$55,2,0)</f>
        <v>85011406</v>
      </c>
      <c r="BC58" s="52">
        <f t="shared" si="4"/>
        <v>1641301886</v>
      </c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>
        <v>102302124</v>
      </c>
      <c r="BO58" s="51"/>
      <c r="BP58" s="52">
        <v>1743604010</v>
      </c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>
        <v>102302124</v>
      </c>
      <c r="CD58" s="52"/>
      <c r="CE58" s="52">
        <v>85011406</v>
      </c>
      <c r="CF58" s="52"/>
      <c r="CG58" s="52">
        <f t="shared" si="5"/>
        <v>1930917540</v>
      </c>
      <c r="CH58" s="52"/>
      <c r="CI58" s="52"/>
      <c r="CJ58" s="52"/>
      <c r="CK58" s="52"/>
      <c r="CL58" s="52"/>
      <c r="CM58" s="52"/>
      <c r="CN58" s="52"/>
      <c r="CO58" s="52"/>
      <c r="CP58" s="52"/>
      <c r="CQ58" s="52">
        <v>102302124</v>
      </c>
      <c r="CR58" s="52"/>
      <c r="CS58" s="52">
        <f t="shared" si="1"/>
        <v>2033219664</v>
      </c>
      <c r="CT58" s="53">
        <v>818416992</v>
      </c>
      <c r="CU58" s="53">
        <f t="shared" si="2"/>
        <v>1214802672</v>
      </c>
      <c r="CV58" s="54">
        <f t="shared" si="6"/>
        <v>2033219664</v>
      </c>
      <c r="CW58" s="55">
        <f t="shared" si="7"/>
        <v>0</v>
      </c>
      <c r="CX58" s="16"/>
      <c r="CY58" s="16"/>
      <c r="CZ58" s="16"/>
    </row>
    <row r="59" spans="1:108" ht="15" customHeight="1" x14ac:dyDescent="0.2">
      <c r="A59" s="1">
        <v>8920994947</v>
      </c>
      <c r="B59" s="1">
        <v>892099494</v>
      </c>
      <c r="C59" s="9">
        <v>216581065</v>
      </c>
      <c r="D59" s="10" t="s">
        <v>949</v>
      </c>
      <c r="E59" s="46" t="s">
        <v>2009</v>
      </c>
      <c r="F59" s="21"/>
      <c r="G59" s="50"/>
      <c r="H59" s="21"/>
      <c r="I59" s="50"/>
      <c r="J59" s="21"/>
      <c r="K59" s="21"/>
      <c r="L59" s="50"/>
      <c r="M59" s="51"/>
      <c r="N59" s="21"/>
      <c r="O59" s="50"/>
      <c r="P59" s="21"/>
      <c r="Q59" s="50"/>
      <c r="R59" s="21"/>
      <c r="S59" s="21"/>
      <c r="T59" s="50"/>
      <c r="U59" s="51">
        <f t="shared" si="0"/>
        <v>0</v>
      </c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40990993</v>
      </c>
      <c r="AN59" s="51">
        <f>SUBTOTAL(9,AC59:AM59)</f>
        <v>40990993</v>
      </c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>
        <v>317134245</v>
      </c>
      <c r="AZ59" s="51"/>
      <c r="BA59" s="51">
        <f>VLOOKUP(B59,[1]Hoja3!J$3:K$674,2,0)</f>
        <v>679374653</v>
      </c>
      <c r="BB59" s="51"/>
      <c r="BC59" s="52">
        <f t="shared" si="4"/>
        <v>1037499891</v>
      </c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>
        <v>63426849</v>
      </c>
      <c r="BO59" s="51"/>
      <c r="BP59" s="52">
        <v>1100926740</v>
      </c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>
        <v>63426849</v>
      </c>
      <c r="CD59" s="52"/>
      <c r="CE59" s="52">
        <v>22056743</v>
      </c>
      <c r="CF59" s="52"/>
      <c r="CG59" s="52">
        <f t="shared" si="5"/>
        <v>1186410332</v>
      </c>
      <c r="CH59" s="52"/>
      <c r="CI59" s="52"/>
      <c r="CJ59" s="52"/>
      <c r="CK59" s="52"/>
      <c r="CL59" s="52"/>
      <c r="CM59" s="52"/>
      <c r="CN59" s="52"/>
      <c r="CO59" s="52"/>
      <c r="CP59" s="52"/>
      <c r="CQ59" s="52">
        <v>63426849</v>
      </c>
      <c r="CR59" s="52"/>
      <c r="CS59" s="52">
        <f t="shared" si="1"/>
        <v>1249837181</v>
      </c>
      <c r="CT59" s="53">
        <v>507414792</v>
      </c>
      <c r="CU59" s="53">
        <f t="shared" si="2"/>
        <v>742422389</v>
      </c>
      <c r="CV59" s="54">
        <f t="shared" si="6"/>
        <v>1249837181</v>
      </c>
      <c r="CW59" s="55">
        <f t="shared" si="7"/>
        <v>0</v>
      </c>
      <c r="CX59" s="16"/>
      <c r="CY59" s="16"/>
      <c r="CZ59" s="16"/>
    </row>
    <row r="60" spans="1:108" ht="15" customHeight="1" x14ac:dyDescent="0.2">
      <c r="A60" s="1">
        <v>8000933868</v>
      </c>
      <c r="B60" s="1">
        <v>800093386</v>
      </c>
      <c r="C60" s="9">
        <v>215325053</v>
      </c>
      <c r="D60" s="10" t="s">
        <v>464</v>
      </c>
      <c r="E60" s="46" t="s">
        <v>1491</v>
      </c>
      <c r="F60" s="21"/>
      <c r="G60" s="50"/>
      <c r="H60" s="21"/>
      <c r="I60" s="50"/>
      <c r="J60" s="21"/>
      <c r="K60" s="21"/>
      <c r="L60" s="50"/>
      <c r="M60" s="51"/>
      <c r="N60" s="21"/>
      <c r="O60" s="50"/>
      <c r="P60" s="21"/>
      <c r="Q60" s="50"/>
      <c r="R60" s="21"/>
      <c r="S60" s="21"/>
      <c r="T60" s="50"/>
      <c r="U60" s="51">
        <f t="shared" si="0"/>
        <v>0</v>
      </c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167120306</v>
      </c>
      <c r="AN60" s="51">
        <f>SUBTOTAL(9,AC60:AM60)</f>
        <v>167120306</v>
      </c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>
        <v>80984535</v>
      </c>
      <c r="AZ60" s="51"/>
      <c r="BA60" s="51"/>
      <c r="BB60" s="51"/>
      <c r="BC60" s="52">
        <f t="shared" si="4"/>
        <v>248104841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>
        <v>16196907</v>
      </c>
      <c r="BO60" s="51"/>
      <c r="BP60" s="52">
        <v>264301748</v>
      </c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>
        <v>16196907</v>
      </c>
      <c r="CD60" s="52"/>
      <c r="CE60" s="52"/>
      <c r="CF60" s="52"/>
      <c r="CG60" s="52">
        <f t="shared" si="5"/>
        <v>280498655</v>
      </c>
      <c r="CH60" s="52"/>
      <c r="CI60" s="52"/>
      <c r="CJ60" s="52"/>
      <c r="CK60" s="52"/>
      <c r="CL60" s="52"/>
      <c r="CM60" s="52"/>
      <c r="CN60" s="52"/>
      <c r="CO60" s="52"/>
      <c r="CP60" s="52"/>
      <c r="CQ60" s="52">
        <v>16196907</v>
      </c>
      <c r="CR60" s="52"/>
      <c r="CS60" s="52">
        <f t="shared" si="1"/>
        <v>296695562</v>
      </c>
      <c r="CT60" s="53">
        <v>129575256</v>
      </c>
      <c r="CU60" s="53">
        <f t="shared" si="2"/>
        <v>167120306</v>
      </c>
      <c r="CV60" s="54">
        <f t="shared" si="6"/>
        <v>296695562</v>
      </c>
      <c r="CW60" s="55">
        <f t="shared" si="7"/>
        <v>0</v>
      </c>
      <c r="CX60" s="16"/>
      <c r="CY60" s="16"/>
      <c r="CZ60" s="16"/>
    </row>
    <row r="61" spans="1:108" ht="15" customHeight="1" x14ac:dyDescent="0.2">
      <c r="A61" s="1">
        <v>8000990584</v>
      </c>
      <c r="B61" s="1">
        <v>800099058</v>
      </c>
      <c r="C61" s="9">
        <v>215152051</v>
      </c>
      <c r="D61" s="10" t="s">
        <v>695</v>
      </c>
      <c r="E61" s="46" t="s">
        <v>1717</v>
      </c>
      <c r="F61" s="21"/>
      <c r="G61" s="50"/>
      <c r="H61" s="21"/>
      <c r="I61" s="50"/>
      <c r="J61" s="21"/>
      <c r="K61" s="21"/>
      <c r="L61" s="50"/>
      <c r="M61" s="51"/>
      <c r="N61" s="21"/>
      <c r="O61" s="50"/>
      <c r="P61" s="21"/>
      <c r="Q61" s="50"/>
      <c r="R61" s="21"/>
      <c r="S61" s="21"/>
      <c r="T61" s="50"/>
      <c r="U61" s="51">
        <f t="shared" si="0"/>
        <v>0</v>
      </c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17943751</v>
      </c>
      <c r="AN61" s="51">
        <f>SUBTOTAL(9,AC61:AM61)</f>
        <v>17943751</v>
      </c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>
        <f>VLOOKUP(B61,[1]Hoja3!J$3:K$674,2,0)</f>
        <v>102518105</v>
      </c>
      <c r="BB61" s="51"/>
      <c r="BC61" s="52">
        <f t="shared" si="4"/>
        <v>120461856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>
        <v>0</v>
      </c>
      <c r="BO61" s="51"/>
      <c r="BP61" s="52">
        <v>120461856</v>
      </c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>
        <v>119163492</v>
      </c>
      <c r="CD61" s="52"/>
      <c r="CE61" s="52"/>
      <c r="CF61" s="52"/>
      <c r="CG61" s="52">
        <f t="shared" si="5"/>
        <v>239625348</v>
      </c>
      <c r="CH61" s="52"/>
      <c r="CI61" s="52"/>
      <c r="CJ61" s="52"/>
      <c r="CK61" s="52"/>
      <c r="CL61" s="52"/>
      <c r="CM61" s="52"/>
      <c r="CN61" s="52"/>
      <c r="CO61" s="52"/>
      <c r="CP61" s="52"/>
      <c r="CQ61" s="52">
        <v>17023356</v>
      </c>
      <c r="CR61" s="52"/>
      <c r="CS61" s="52">
        <f t="shared" si="1"/>
        <v>256648704</v>
      </c>
      <c r="CT61" s="53">
        <v>136186848</v>
      </c>
      <c r="CU61" s="53">
        <f t="shared" si="2"/>
        <v>120461856</v>
      </c>
      <c r="CV61" s="54">
        <f t="shared" si="6"/>
        <v>256648704</v>
      </c>
      <c r="CW61" s="55">
        <f t="shared" si="7"/>
        <v>0</v>
      </c>
      <c r="CX61" s="16"/>
      <c r="CY61" s="16"/>
      <c r="CZ61" s="16"/>
    </row>
    <row r="62" spans="1:108" ht="15" customHeight="1" x14ac:dyDescent="0.2">
      <c r="A62" s="1">
        <v>8905014367</v>
      </c>
      <c r="B62" s="1">
        <v>890501436</v>
      </c>
      <c r="C62" s="9">
        <v>215154051</v>
      </c>
      <c r="D62" s="10" t="s">
        <v>752</v>
      </c>
      <c r="E62" s="46" t="s">
        <v>1772</v>
      </c>
      <c r="F62" s="21"/>
      <c r="G62" s="50"/>
      <c r="H62" s="21"/>
      <c r="I62" s="50"/>
      <c r="J62" s="21"/>
      <c r="K62" s="21"/>
      <c r="L62" s="50"/>
      <c r="M62" s="51"/>
      <c r="N62" s="21"/>
      <c r="O62" s="50"/>
      <c r="P62" s="21"/>
      <c r="Q62" s="50"/>
      <c r="R62" s="21"/>
      <c r="S62" s="21"/>
      <c r="T62" s="50"/>
      <c r="U62" s="51">
        <f t="shared" si="0"/>
        <v>0</v>
      </c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>
        <f>VLOOKUP(B62,[1]Hoja3!J$3:K$674,2,0)</f>
        <v>140225220</v>
      </c>
      <c r="BB62" s="51"/>
      <c r="BC62" s="52">
        <f t="shared" si="4"/>
        <v>140225220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>
        <v>14044344</v>
      </c>
      <c r="BO62" s="51"/>
      <c r="BP62" s="52">
        <v>154269564</v>
      </c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>
        <v>14044344</v>
      </c>
      <c r="CD62" s="52">
        <v>70221720</v>
      </c>
      <c r="CE62" s="52"/>
      <c r="CF62" s="52"/>
      <c r="CG62" s="52">
        <f t="shared" si="5"/>
        <v>238535628</v>
      </c>
      <c r="CH62" s="52"/>
      <c r="CI62" s="52"/>
      <c r="CJ62" s="52"/>
      <c r="CK62" s="52"/>
      <c r="CL62" s="52"/>
      <c r="CM62" s="52"/>
      <c r="CN62" s="52"/>
      <c r="CO62" s="52"/>
      <c r="CP62" s="52"/>
      <c r="CQ62" s="52">
        <v>14044344</v>
      </c>
      <c r="CR62" s="52"/>
      <c r="CS62" s="52">
        <f t="shared" si="1"/>
        <v>252579972</v>
      </c>
      <c r="CT62" s="53">
        <v>112354752</v>
      </c>
      <c r="CU62" s="53">
        <f t="shared" si="2"/>
        <v>140225220</v>
      </c>
      <c r="CV62" s="54">
        <f t="shared" si="6"/>
        <v>252579972</v>
      </c>
      <c r="CW62" s="55">
        <f t="shared" si="7"/>
        <v>0</v>
      </c>
      <c r="CX62" s="16"/>
      <c r="CY62" s="16"/>
      <c r="CZ62" s="16"/>
    </row>
    <row r="63" spans="1:108" ht="15" customHeight="1" x14ac:dyDescent="0.2">
      <c r="A63" s="1">
        <v>8909856234</v>
      </c>
      <c r="B63" s="1">
        <v>890985623</v>
      </c>
      <c r="C63" s="9">
        <v>215105051</v>
      </c>
      <c r="D63" s="10" t="s">
        <v>55</v>
      </c>
      <c r="E63" s="46" t="s">
        <v>1086</v>
      </c>
      <c r="F63" s="21"/>
      <c r="G63" s="50"/>
      <c r="H63" s="21"/>
      <c r="I63" s="50"/>
      <c r="J63" s="21"/>
      <c r="K63" s="21"/>
      <c r="L63" s="50"/>
      <c r="M63" s="51"/>
      <c r="N63" s="21"/>
      <c r="O63" s="50"/>
      <c r="P63" s="21"/>
      <c r="Q63" s="50"/>
      <c r="R63" s="21"/>
      <c r="S63" s="21"/>
      <c r="T63" s="50"/>
      <c r="U63" s="51">
        <f t="shared" si="0"/>
        <v>0</v>
      </c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>
        <v>482624965</v>
      </c>
      <c r="AZ63" s="51"/>
      <c r="BA63" s="51">
        <f>VLOOKUP(B63,[1]Hoja3!J$3:K$674,2,0)</f>
        <v>645262433</v>
      </c>
      <c r="BB63" s="51"/>
      <c r="BC63" s="52">
        <f t="shared" si="4"/>
        <v>1127887398</v>
      </c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>
        <v>96524993</v>
      </c>
      <c r="BO63" s="51"/>
      <c r="BP63" s="52">
        <v>1224412391</v>
      </c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>
        <v>96524993</v>
      </c>
      <c r="CD63" s="52"/>
      <c r="CE63" s="52"/>
      <c r="CF63" s="52"/>
      <c r="CG63" s="52">
        <f t="shared" si="5"/>
        <v>1320937384</v>
      </c>
      <c r="CH63" s="52"/>
      <c r="CI63" s="52"/>
      <c r="CJ63" s="52"/>
      <c r="CK63" s="52"/>
      <c r="CL63" s="52"/>
      <c r="CM63" s="52"/>
      <c r="CN63" s="52"/>
      <c r="CO63" s="52"/>
      <c r="CP63" s="52"/>
      <c r="CQ63" s="52">
        <v>96524993</v>
      </c>
      <c r="CR63" s="52"/>
      <c r="CS63" s="52">
        <f t="shared" si="1"/>
        <v>1417462377</v>
      </c>
      <c r="CT63" s="53">
        <v>772199944</v>
      </c>
      <c r="CU63" s="53">
        <f t="shared" si="2"/>
        <v>645262433</v>
      </c>
      <c r="CV63" s="54">
        <f t="shared" si="6"/>
        <v>1417462377</v>
      </c>
      <c r="CW63" s="55">
        <f t="shared" si="7"/>
        <v>0</v>
      </c>
      <c r="CX63" s="16"/>
      <c r="CY63" s="16"/>
      <c r="CZ63" s="16"/>
    </row>
    <row r="64" spans="1:108" ht="15" customHeight="1" x14ac:dyDescent="0.2">
      <c r="A64" s="1">
        <v>8000637911</v>
      </c>
      <c r="B64" s="1">
        <v>800063791</v>
      </c>
      <c r="C64" s="9">
        <v>215115051</v>
      </c>
      <c r="D64" s="10" t="s">
        <v>220</v>
      </c>
      <c r="E64" s="46" t="s">
        <v>1255</v>
      </c>
      <c r="F64" s="21"/>
      <c r="G64" s="50"/>
      <c r="H64" s="21"/>
      <c r="I64" s="50"/>
      <c r="J64" s="21"/>
      <c r="K64" s="21"/>
      <c r="L64" s="50"/>
      <c r="M64" s="51"/>
      <c r="N64" s="21"/>
      <c r="O64" s="50"/>
      <c r="P64" s="21"/>
      <c r="Q64" s="50"/>
      <c r="R64" s="21"/>
      <c r="S64" s="21"/>
      <c r="T64" s="50"/>
      <c r="U64" s="51">
        <f t="shared" si="0"/>
        <v>0</v>
      </c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>
        <v>35414810</v>
      </c>
      <c r="AZ64" s="51"/>
      <c r="BA64" s="51">
        <f>VLOOKUP(B64,[1]Hoja3!J$3:K$674,2,0)</f>
        <v>89404472</v>
      </c>
      <c r="BB64" s="51"/>
      <c r="BC64" s="52">
        <f t="shared" si="4"/>
        <v>124819282</v>
      </c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>
        <v>7082962</v>
      </c>
      <c r="BO64" s="51"/>
      <c r="BP64" s="52">
        <v>131902244</v>
      </c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>
        <v>7082962</v>
      </c>
      <c r="CD64" s="52"/>
      <c r="CE64" s="52"/>
      <c r="CF64" s="52"/>
      <c r="CG64" s="52">
        <f t="shared" si="5"/>
        <v>138985206</v>
      </c>
      <c r="CH64" s="52"/>
      <c r="CI64" s="52"/>
      <c r="CJ64" s="52"/>
      <c r="CK64" s="52"/>
      <c r="CL64" s="52"/>
      <c r="CM64" s="52"/>
      <c r="CN64" s="52"/>
      <c r="CO64" s="52"/>
      <c r="CP64" s="52"/>
      <c r="CQ64" s="52">
        <v>7082962</v>
      </c>
      <c r="CR64" s="52"/>
      <c r="CS64" s="52">
        <f t="shared" si="1"/>
        <v>146068168</v>
      </c>
      <c r="CT64" s="53">
        <v>56663696</v>
      </c>
      <c r="CU64" s="53">
        <f t="shared" si="2"/>
        <v>89404472</v>
      </c>
      <c r="CV64" s="54">
        <f t="shared" si="6"/>
        <v>146068168</v>
      </c>
      <c r="CW64" s="55">
        <f t="shared" si="7"/>
        <v>0</v>
      </c>
      <c r="CX64" s="16"/>
      <c r="CY64" s="16"/>
      <c r="CZ64" s="8"/>
      <c r="DA64" s="8"/>
      <c r="DB64" s="8"/>
      <c r="DC64" s="8"/>
      <c r="DD64" s="8"/>
    </row>
    <row r="65" spans="1:108" ht="15" customHeight="1" x14ac:dyDescent="0.2">
      <c r="A65" s="1">
        <v>8060019374</v>
      </c>
      <c r="B65" s="1">
        <v>806001937</v>
      </c>
      <c r="C65" s="9">
        <v>214213042</v>
      </c>
      <c r="D65" s="10" t="s">
        <v>183</v>
      </c>
      <c r="E65" s="46" t="s">
        <v>1212</v>
      </c>
      <c r="F65" s="21"/>
      <c r="G65" s="50"/>
      <c r="H65" s="21"/>
      <c r="I65" s="50"/>
      <c r="J65" s="21"/>
      <c r="K65" s="21"/>
      <c r="L65" s="50"/>
      <c r="M65" s="51"/>
      <c r="N65" s="21"/>
      <c r="O65" s="50"/>
      <c r="P65" s="21"/>
      <c r="Q65" s="50"/>
      <c r="R65" s="21"/>
      <c r="S65" s="21"/>
      <c r="T65" s="50"/>
      <c r="U65" s="51">
        <f t="shared" si="0"/>
        <v>0</v>
      </c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99820736</v>
      </c>
      <c r="AN65" s="51">
        <f>SUBTOTAL(9,AC65:AM65)</f>
        <v>99820736</v>
      </c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>
        <v>86213525</v>
      </c>
      <c r="AZ65" s="51"/>
      <c r="BA65" s="51">
        <f>VLOOKUP(B65,[1]Hoja3!J$3:K$674,2,0)</f>
        <v>40495032</v>
      </c>
      <c r="BB65" s="51">
        <f>VLOOKUP(B65,'[2]anuladas en mayo gratuidad}'!K$2:L$55,2,0)</f>
        <v>99820736</v>
      </c>
      <c r="BC65" s="52">
        <f t="shared" si="4"/>
        <v>126708557</v>
      </c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>
        <v>17242705</v>
      </c>
      <c r="BO65" s="51"/>
      <c r="BP65" s="52">
        <v>143951262</v>
      </c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>
        <v>17242705</v>
      </c>
      <c r="CD65" s="52"/>
      <c r="CE65" s="52">
        <v>99820736</v>
      </c>
      <c r="CF65" s="52"/>
      <c r="CG65" s="52">
        <f t="shared" si="5"/>
        <v>261014703</v>
      </c>
      <c r="CH65" s="52"/>
      <c r="CI65" s="52"/>
      <c r="CJ65" s="52"/>
      <c r="CK65" s="52"/>
      <c r="CL65" s="52"/>
      <c r="CM65" s="52"/>
      <c r="CN65" s="52"/>
      <c r="CO65" s="52"/>
      <c r="CP65" s="52"/>
      <c r="CQ65" s="52">
        <v>17242705</v>
      </c>
      <c r="CR65" s="52"/>
      <c r="CS65" s="52">
        <f t="shared" si="1"/>
        <v>278257408</v>
      </c>
      <c r="CT65" s="53">
        <v>137941640</v>
      </c>
      <c r="CU65" s="53">
        <f t="shared" si="2"/>
        <v>140315768</v>
      </c>
      <c r="CV65" s="54">
        <f t="shared" si="6"/>
        <v>278257408</v>
      </c>
      <c r="CW65" s="55">
        <f t="shared" si="7"/>
        <v>0</v>
      </c>
      <c r="CX65" s="16"/>
      <c r="CY65" s="16"/>
      <c r="CZ65" s="8"/>
      <c r="DA65" s="8"/>
      <c r="DB65" s="8"/>
      <c r="DC65" s="8"/>
      <c r="DD65" s="8"/>
    </row>
    <row r="66" spans="1:108" ht="15" customHeight="1" x14ac:dyDescent="0.2">
      <c r="A66" s="1">
        <v>8909817868</v>
      </c>
      <c r="B66" s="1">
        <v>890981786</v>
      </c>
      <c r="C66" s="9">
        <v>215505055</v>
      </c>
      <c r="D66" s="10" t="s">
        <v>56</v>
      </c>
      <c r="E66" s="46" t="s">
        <v>1087</v>
      </c>
      <c r="F66" s="21"/>
      <c r="G66" s="50"/>
      <c r="H66" s="21"/>
      <c r="I66" s="50"/>
      <c r="J66" s="21"/>
      <c r="K66" s="21"/>
      <c r="L66" s="50"/>
      <c r="M66" s="51"/>
      <c r="N66" s="21"/>
      <c r="O66" s="50"/>
      <c r="P66" s="21"/>
      <c r="Q66" s="50"/>
      <c r="R66" s="21"/>
      <c r="S66" s="21"/>
      <c r="T66" s="50"/>
      <c r="U66" s="51">
        <f t="shared" si="0"/>
        <v>0</v>
      </c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>
        <v>69825675</v>
      </c>
      <c r="AZ66" s="51"/>
      <c r="BA66" s="51">
        <f>VLOOKUP(B66,[1]Hoja3!J$3:K$674,2,0)</f>
        <v>114474878</v>
      </c>
      <c r="BB66" s="51"/>
      <c r="BC66" s="52">
        <f t="shared" si="4"/>
        <v>184300553</v>
      </c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>
        <v>13965135</v>
      </c>
      <c r="BO66" s="51"/>
      <c r="BP66" s="52">
        <v>198265688</v>
      </c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>
        <v>13965135</v>
      </c>
      <c r="CD66" s="52"/>
      <c r="CE66" s="52"/>
      <c r="CF66" s="52"/>
      <c r="CG66" s="52">
        <f t="shared" si="5"/>
        <v>212230823</v>
      </c>
      <c r="CH66" s="52"/>
      <c r="CI66" s="52"/>
      <c r="CJ66" s="52"/>
      <c r="CK66" s="52"/>
      <c r="CL66" s="52"/>
      <c r="CM66" s="52"/>
      <c r="CN66" s="52"/>
      <c r="CO66" s="52"/>
      <c r="CP66" s="52"/>
      <c r="CQ66" s="52">
        <v>13965135</v>
      </c>
      <c r="CR66" s="52"/>
      <c r="CS66" s="52">
        <f t="shared" si="1"/>
        <v>226195958</v>
      </c>
      <c r="CT66" s="53">
        <v>111721080</v>
      </c>
      <c r="CU66" s="53">
        <f t="shared" si="2"/>
        <v>114474878</v>
      </c>
      <c r="CV66" s="54">
        <f t="shared" si="6"/>
        <v>226195958</v>
      </c>
      <c r="CW66" s="55">
        <f t="shared" si="7"/>
        <v>0</v>
      </c>
      <c r="CX66" s="16"/>
      <c r="CY66" s="16"/>
      <c r="CZ66" s="16"/>
    </row>
    <row r="67" spans="1:108" ht="15" customHeight="1" x14ac:dyDescent="0.2">
      <c r="A67" s="1">
        <v>8915007251</v>
      </c>
      <c r="B67" s="1">
        <v>891500725</v>
      </c>
      <c r="C67" s="9">
        <v>215019050</v>
      </c>
      <c r="D67" s="10" t="s">
        <v>374</v>
      </c>
      <c r="E67" s="46" t="s">
        <v>1406</v>
      </c>
      <c r="F67" s="21"/>
      <c r="G67" s="50"/>
      <c r="H67" s="21"/>
      <c r="I67" s="50"/>
      <c r="J67" s="21"/>
      <c r="K67" s="21"/>
      <c r="L67" s="50"/>
      <c r="M67" s="51"/>
      <c r="N67" s="21"/>
      <c r="O67" s="50"/>
      <c r="P67" s="21"/>
      <c r="Q67" s="50"/>
      <c r="R67" s="21"/>
      <c r="S67" s="21"/>
      <c r="T67" s="50"/>
      <c r="U67" s="51">
        <f t="shared" ref="U67:U130" si="9">SUM(M67:T67)</f>
        <v>0</v>
      </c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>
        <f>VLOOKUP(B67,[1]Hoja3!J$3:K$674,2,0)</f>
        <v>354038940</v>
      </c>
      <c r="BB67" s="51"/>
      <c r="BC67" s="52">
        <f t="shared" si="4"/>
        <v>354038940</v>
      </c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>
        <v>0</v>
      </c>
      <c r="BO67" s="51"/>
      <c r="BP67" s="52">
        <v>354038940</v>
      </c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>
        <v>0</v>
      </c>
      <c r="CD67" s="52"/>
      <c r="CE67" s="52"/>
      <c r="CF67" s="52"/>
      <c r="CG67" s="52">
        <f t="shared" si="5"/>
        <v>354038940</v>
      </c>
      <c r="CH67" s="52"/>
      <c r="CI67" s="52"/>
      <c r="CJ67" s="52"/>
      <c r="CK67" s="52"/>
      <c r="CL67" s="52"/>
      <c r="CM67" s="52"/>
      <c r="CN67" s="52"/>
      <c r="CO67" s="52"/>
      <c r="CP67" s="52"/>
      <c r="CQ67" s="52">
        <v>0</v>
      </c>
      <c r="CR67" s="52">
        <v>6353392</v>
      </c>
      <c r="CS67" s="52">
        <f t="shared" ref="CS67:CS130" si="10">SUM(CG67:CR67)</f>
        <v>360392332</v>
      </c>
      <c r="CT67" s="53"/>
      <c r="CU67" s="53">
        <f t="shared" ref="CU67:CU130" si="11">+AM67+BA67-BB67+BO67+CE67+CF67+CR67</f>
        <v>360392332</v>
      </c>
      <c r="CV67" s="54">
        <f t="shared" si="6"/>
        <v>360392332</v>
      </c>
      <c r="CW67" s="55">
        <f t="shared" si="7"/>
        <v>0</v>
      </c>
      <c r="CX67" s="16"/>
      <c r="CY67" s="16"/>
      <c r="CZ67" s="16"/>
    </row>
    <row r="68" spans="1:108" ht="15" customHeight="1" x14ac:dyDescent="0.2">
      <c r="A68" s="1">
        <v>8919010199</v>
      </c>
      <c r="B68" s="1">
        <v>891901019</v>
      </c>
      <c r="C68" s="9">
        <v>215476054</v>
      </c>
      <c r="D68" s="10" t="s">
        <v>915</v>
      </c>
      <c r="E68" s="46" t="s">
        <v>1976</v>
      </c>
      <c r="F68" s="21"/>
      <c r="G68" s="50"/>
      <c r="H68" s="21"/>
      <c r="I68" s="50"/>
      <c r="J68" s="21"/>
      <c r="K68" s="21"/>
      <c r="L68" s="50"/>
      <c r="M68" s="51"/>
      <c r="N68" s="21"/>
      <c r="O68" s="50"/>
      <c r="P68" s="21"/>
      <c r="Q68" s="50"/>
      <c r="R68" s="21"/>
      <c r="S68" s="21"/>
      <c r="T68" s="50"/>
      <c r="U68" s="51">
        <f t="shared" si="9"/>
        <v>0</v>
      </c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72506561</v>
      </c>
      <c r="AN68" s="51">
        <f>SUBTOTAL(9,AC68:AM68)</f>
        <v>72506561</v>
      </c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>
        <v>40594440</v>
      </c>
      <c r="AZ68" s="51"/>
      <c r="BA68" s="51"/>
      <c r="BB68" s="51"/>
      <c r="BC68" s="52">
        <f t="shared" ref="BC68:BC131" si="12">SUM(AN68:BA68)-BB68</f>
        <v>113101001</v>
      </c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>
        <v>8118888</v>
      </c>
      <c r="BO68" s="51"/>
      <c r="BP68" s="52">
        <v>121219889</v>
      </c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>
        <v>8118888</v>
      </c>
      <c r="CD68" s="52"/>
      <c r="CE68" s="52"/>
      <c r="CF68" s="52"/>
      <c r="CG68" s="52">
        <f t="shared" ref="CG68:CG131" si="13">SUM(BP68:CF68)</f>
        <v>129338777</v>
      </c>
      <c r="CH68" s="52"/>
      <c r="CI68" s="52"/>
      <c r="CJ68" s="52"/>
      <c r="CK68" s="52"/>
      <c r="CL68" s="52"/>
      <c r="CM68" s="52"/>
      <c r="CN68" s="52"/>
      <c r="CO68" s="52"/>
      <c r="CP68" s="52"/>
      <c r="CQ68" s="52">
        <v>8118888</v>
      </c>
      <c r="CR68" s="52"/>
      <c r="CS68" s="52">
        <f t="shared" si="10"/>
        <v>137457665</v>
      </c>
      <c r="CT68" s="53">
        <v>64951104</v>
      </c>
      <c r="CU68" s="53">
        <f t="shared" si="11"/>
        <v>72506561</v>
      </c>
      <c r="CV68" s="54">
        <f t="shared" ref="CV68:CV131" si="14">+CT68+CU68</f>
        <v>137457665</v>
      </c>
      <c r="CW68" s="55">
        <f t="shared" ref="CW68:CW131" si="15">+CS68-CV68</f>
        <v>0</v>
      </c>
      <c r="CX68" s="16"/>
      <c r="CY68" s="16"/>
      <c r="CZ68" s="8"/>
      <c r="DA68" s="8"/>
      <c r="DB68" s="8"/>
      <c r="DC68" s="8"/>
      <c r="DD68" s="8"/>
    </row>
    <row r="69" spans="1:108" ht="15" customHeight="1" x14ac:dyDescent="0.2">
      <c r="A69" s="1">
        <v>8917021867</v>
      </c>
      <c r="B69" s="1">
        <v>891702186</v>
      </c>
      <c r="C69" s="9">
        <v>215847058</v>
      </c>
      <c r="D69" s="10" t="s">
        <v>642</v>
      </c>
      <c r="E69" s="46" t="s">
        <v>1661</v>
      </c>
      <c r="F69" s="21"/>
      <c r="G69" s="50"/>
      <c r="H69" s="21"/>
      <c r="I69" s="50"/>
      <c r="J69" s="21"/>
      <c r="K69" s="21"/>
      <c r="L69" s="50"/>
      <c r="M69" s="51"/>
      <c r="N69" s="21"/>
      <c r="O69" s="50"/>
      <c r="P69" s="21"/>
      <c r="Q69" s="50"/>
      <c r="R69" s="21"/>
      <c r="S69" s="21"/>
      <c r="T69" s="50"/>
      <c r="U69" s="51">
        <f t="shared" si="9"/>
        <v>0</v>
      </c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403298056</v>
      </c>
      <c r="AN69" s="51">
        <f>SUBTOTAL(9,AC69:AM69)</f>
        <v>403298056</v>
      </c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>
        <v>304719985</v>
      </c>
      <c r="AZ69" s="51"/>
      <c r="BA69" s="51">
        <f>VLOOKUP(B69,[1]Hoja3!J$3:K$674,2,0)</f>
        <v>260683594</v>
      </c>
      <c r="BB69" s="51"/>
      <c r="BC69" s="52">
        <f t="shared" si="12"/>
        <v>968701635</v>
      </c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>
        <v>60943997</v>
      </c>
      <c r="BO69" s="51"/>
      <c r="BP69" s="52">
        <v>1029645632</v>
      </c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>
        <v>60943997</v>
      </c>
      <c r="CD69" s="52"/>
      <c r="CE69" s="52"/>
      <c r="CF69" s="52"/>
      <c r="CG69" s="52">
        <f t="shared" si="13"/>
        <v>1090589629</v>
      </c>
      <c r="CH69" s="52"/>
      <c r="CI69" s="52"/>
      <c r="CJ69" s="52"/>
      <c r="CK69" s="52"/>
      <c r="CL69" s="52"/>
      <c r="CM69" s="52"/>
      <c r="CN69" s="52"/>
      <c r="CO69" s="52"/>
      <c r="CP69" s="52"/>
      <c r="CQ69" s="52">
        <v>60943997</v>
      </c>
      <c r="CR69" s="52"/>
      <c r="CS69" s="52">
        <f t="shared" si="10"/>
        <v>1151533626</v>
      </c>
      <c r="CT69" s="53">
        <v>487551976</v>
      </c>
      <c r="CU69" s="53">
        <f t="shared" si="11"/>
        <v>663981650</v>
      </c>
      <c r="CV69" s="54">
        <f t="shared" si="14"/>
        <v>1151533626</v>
      </c>
      <c r="CW69" s="55">
        <f t="shared" si="15"/>
        <v>0</v>
      </c>
      <c r="CX69" s="16"/>
      <c r="CY69" s="16"/>
      <c r="CZ69" s="16"/>
    </row>
    <row r="70" spans="1:108" ht="15" customHeight="1" x14ac:dyDescent="0.2">
      <c r="A70" s="1">
        <v>8904802541</v>
      </c>
      <c r="B70" s="1">
        <v>890480254</v>
      </c>
      <c r="C70" s="9">
        <v>215213052</v>
      </c>
      <c r="D70" s="10" t="s">
        <v>184</v>
      </c>
      <c r="E70" s="46" t="s">
        <v>1213</v>
      </c>
      <c r="F70" s="21"/>
      <c r="G70" s="50"/>
      <c r="H70" s="21"/>
      <c r="I70" s="50"/>
      <c r="J70" s="21"/>
      <c r="K70" s="21"/>
      <c r="L70" s="50"/>
      <c r="M70" s="51"/>
      <c r="N70" s="21"/>
      <c r="O70" s="50"/>
      <c r="P70" s="21"/>
      <c r="Q70" s="50"/>
      <c r="R70" s="21"/>
      <c r="S70" s="21"/>
      <c r="T70" s="50"/>
      <c r="U70" s="51">
        <f t="shared" si="9"/>
        <v>0</v>
      </c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>
        <v>667971857</v>
      </c>
      <c r="AN70" s="51">
        <f>SUBTOTAL(9,AC70:AM70)</f>
        <v>667971857</v>
      </c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>
        <v>607862880</v>
      </c>
      <c r="AZ70" s="51"/>
      <c r="BA70" s="51">
        <f>VLOOKUP(B70,[1]Hoja3!J$3:K$674,2,0)</f>
        <v>347613614</v>
      </c>
      <c r="BB70" s="51"/>
      <c r="BC70" s="52">
        <f t="shared" si="12"/>
        <v>1623448351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>
        <v>121572576</v>
      </c>
      <c r="BO70" s="51"/>
      <c r="BP70" s="52">
        <v>1745020927</v>
      </c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>
        <v>121572576</v>
      </c>
      <c r="CD70" s="52"/>
      <c r="CE70" s="52"/>
      <c r="CF70" s="52"/>
      <c r="CG70" s="52">
        <f t="shared" si="13"/>
        <v>1866593503</v>
      </c>
      <c r="CH70" s="52"/>
      <c r="CI70" s="52"/>
      <c r="CJ70" s="52"/>
      <c r="CK70" s="52"/>
      <c r="CL70" s="52"/>
      <c r="CM70" s="52"/>
      <c r="CN70" s="52"/>
      <c r="CO70" s="52"/>
      <c r="CP70" s="52"/>
      <c r="CQ70" s="52">
        <v>121572576</v>
      </c>
      <c r="CR70" s="52"/>
      <c r="CS70" s="52">
        <f t="shared" si="10"/>
        <v>1988166079</v>
      </c>
      <c r="CT70" s="53">
        <v>972580608</v>
      </c>
      <c r="CU70" s="53">
        <f t="shared" si="11"/>
        <v>1015585471</v>
      </c>
      <c r="CV70" s="54">
        <f t="shared" si="14"/>
        <v>1988166079</v>
      </c>
      <c r="CW70" s="55">
        <f t="shared" si="15"/>
        <v>0</v>
      </c>
      <c r="CX70" s="16"/>
      <c r="CY70" s="16"/>
      <c r="CZ70" s="8"/>
      <c r="DA70" s="8"/>
      <c r="DB70" s="8"/>
      <c r="DC70" s="8"/>
      <c r="DD70" s="8"/>
    </row>
    <row r="71" spans="1:108" ht="15" customHeight="1" x14ac:dyDescent="0.2">
      <c r="A71" s="1">
        <v>8900004643</v>
      </c>
      <c r="B71" s="1">
        <v>890000464</v>
      </c>
      <c r="C71" s="9">
        <v>210163001</v>
      </c>
      <c r="D71" s="10" t="s">
        <v>2141</v>
      </c>
      <c r="E71" s="47" t="s">
        <v>1032</v>
      </c>
      <c r="F71" s="21"/>
      <c r="G71" s="50"/>
      <c r="H71" s="21"/>
      <c r="I71" s="50">
        <f>6819819052+285275822</f>
        <v>7105094874</v>
      </c>
      <c r="J71" s="21">
        <v>426801048</v>
      </c>
      <c r="K71" s="21">
        <v>845680165</v>
      </c>
      <c r="L71" s="50"/>
      <c r="M71" s="52">
        <f>SUM(F71:L71)</f>
        <v>8377576087</v>
      </c>
      <c r="N71" s="21"/>
      <c r="O71" s="50"/>
      <c r="P71" s="21"/>
      <c r="Q71" s="50">
        <f>6612092610+129670828</f>
        <v>6741763438</v>
      </c>
      <c r="R71" s="21">
        <v>426801048</v>
      </c>
      <c r="S71" s="21">
        <f>418879117+426801048</f>
        <v>845680165</v>
      </c>
      <c r="T71" s="50"/>
      <c r="U71" s="51">
        <f t="shared" si="9"/>
        <v>16391820738</v>
      </c>
      <c r="V71" s="51"/>
      <c r="W71" s="51"/>
      <c r="X71" s="51"/>
      <c r="Y71" s="51">
        <v>9211561090</v>
      </c>
      <c r="Z71" s="51">
        <v>445591059</v>
      </c>
      <c r="AA71" s="51">
        <v>1007800211</v>
      </c>
      <c r="AB71" s="51"/>
      <c r="AC71" s="51">
        <f t="shared" ref="AC71:AC130" si="16">SUM(U71:AB71)</f>
        <v>27056773098</v>
      </c>
      <c r="AD71" s="51"/>
      <c r="AE71" s="51"/>
      <c r="AF71" s="51"/>
      <c r="AG71" s="51"/>
      <c r="AH71" s="51">
        <v>6588301110</v>
      </c>
      <c r="AI71" s="51">
        <v>1132954411</v>
      </c>
      <c r="AJ71" s="51">
        <v>442386365</v>
      </c>
      <c r="AK71" s="51">
        <v>1114368851</v>
      </c>
      <c r="AL71" s="51"/>
      <c r="AM71" s="51">
        <v>2714636284</v>
      </c>
      <c r="AN71" s="51">
        <f>SUBTOTAL(9,AC71:AM71)</f>
        <v>39049420119</v>
      </c>
      <c r="AO71" s="51"/>
      <c r="AP71" s="51"/>
      <c r="AQ71" s="51">
        <v>1128241540</v>
      </c>
      <c r="AR71" s="51"/>
      <c r="AS71" s="51"/>
      <c r="AT71" s="51">
        <v>6588301110</v>
      </c>
      <c r="AU71" s="51"/>
      <c r="AV71" s="51">
        <v>442386365</v>
      </c>
      <c r="AW71" s="51">
        <v>754852993</v>
      </c>
      <c r="AX71" s="51"/>
      <c r="AY71" s="51"/>
      <c r="AZ71" s="51">
        <v>80000000</v>
      </c>
      <c r="BA71" s="51">
        <f>VLOOKUP(B71,[1]Hoja3!J$3:K$674,2,0)</f>
        <v>77077940</v>
      </c>
      <c r="BB71" s="51">
        <f>VLOOKUP(B71,'[2]anuladas en mayo gratuidad}'!K$2:L$55,2,0)</f>
        <v>135192782</v>
      </c>
      <c r="BC71" s="52">
        <f t="shared" si="12"/>
        <v>47985087285</v>
      </c>
      <c r="BD71" s="51"/>
      <c r="BE71" s="51"/>
      <c r="BF71" s="51">
        <v>225648308</v>
      </c>
      <c r="BG71" s="51"/>
      <c r="BH71" s="51"/>
      <c r="BI71" s="51">
        <v>6737393219</v>
      </c>
      <c r="BJ71" s="51">
        <v>52632096</v>
      </c>
      <c r="BK71" s="51">
        <v>439370179</v>
      </c>
      <c r="BL71" s="51">
        <v>1115739054</v>
      </c>
      <c r="BM71" s="51"/>
      <c r="BN71" s="51"/>
      <c r="BO71" s="51"/>
      <c r="BP71" s="52">
        <v>56555870141</v>
      </c>
      <c r="BQ71" s="52"/>
      <c r="BR71" s="52"/>
      <c r="BS71" s="52">
        <v>225648308</v>
      </c>
      <c r="BT71" s="52"/>
      <c r="BU71" s="52"/>
      <c r="BV71" s="52"/>
      <c r="BW71" s="52">
        <v>6789251269</v>
      </c>
      <c r="BX71" s="52"/>
      <c r="BY71" s="52">
        <v>3150713319</v>
      </c>
      <c r="BZ71" s="52">
        <v>440695421</v>
      </c>
      <c r="CA71" s="52">
        <v>1154741692</v>
      </c>
      <c r="CB71" s="52"/>
      <c r="CC71" s="52"/>
      <c r="CD71" s="52"/>
      <c r="CE71" s="52">
        <v>135192782</v>
      </c>
      <c r="CF71" s="52"/>
      <c r="CG71" s="52">
        <f t="shared" si="13"/>
        <v>68452112932</v>
      </c>
      <c r="CH71" s="52"/>
      <c r="CI71" s="52"/>
      <c r="CJ71" s="52">
        <v>225648308</v>
      </c>
      <c r="CK71" s="52"/>
      <c r="CL71" s="52">
        <v>6687753419</v>
      </c>
      <c r="CM71" s="52">
        <v>96734585</v>
      </c>
      <c r="CN71" s="52">
        <v>444065735</v>
      </c>
      <c r="CO71" s="52">
        <v>800832373</v>
      </c>
      <c r="CP71" s="52"/>
      <c r="CQ71" s="52"/>
      <c r="CR71" s="52"/>
      <c r="CS71" s="52">
        <f t="shared" si="10"/>
        <v>76707147352</v>
      </c>
      <c r="CT71" s="53">
        <v>73915433128</v>
      </c>
      <c r="CU71" s="53">
        <f t="shared" si="11"/>
        <v>2791714224</v>
      </c>
      <c r="CV71" s="54">
        <f t="shared" si="14"/>
        <v>76707147352</v>
      </c>
      <c r="CW71" s="55">
        <f t="shared" si="15"/>
        <v>0</v>
      </c>
      <c r="CX71" s="16"/>
      <c r="CY71" s="16"/>
      <c r="CZ71" s="16"/>
    </row>
    <row r="72" spans="1:108" ht="15" customHeight="1" x14ac:dyDescent="0.2">
      <c r="A72" s="1">
        <v>8909837638</v>
      </c>
      <c r="B72" s="1">
        <v>890983763</v>
      </c>
      <c r="C72" s="9">
        <v>215905059</v>
      </c>
      <c r="D72" s="10" t="s">
        <v>57</v>
      </c>
      <c r="E72" s="46" t="s">
        <v>1088</v>
      </c>
      <c r="F72" s="21"/>
      <c r="G72" s="50"/>
      <c r="H72" s="21"/>
      <c r="I72" s="50"/>
      <c r="J72" s="21"/>
      <c r="K72" s="21"/>
      <c r="L72" s="50"/>
      <c r="M72" s="51"/>
      <c r="N72" s="21"/>
      <c r="O72" s="50"/>
      <c r="P72" s="21"/>
      <c r="Q72" s="50"/>
      <c r="R72" s="21"/>
      <c r="S72" s="21"/>
      <c r="T72" s="50"/>
      <c r="U72" s="51">
        <f t="shared" si="9"/>
        <v>0</v>
      </c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>
        <f>VLOOKUP(B72,[1]Hoja3!J$3:K$674,2,0)</f>
        <v>45174517</v>
      </c>
      <c r="BB72" s="51"/>
      <c r="BC72" s="52">
        <f t="shared" si="12"/>
        <v>45174517</v>
      </c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>
        <v>6942678</v>
      </c>
      <c r="BO72" s="51"/>
      <c r="BP72" s="52">
        <v>52117195</v>
      </c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>
        <v>6942678</v>
      </c>
      <c r="CD72" s="52">
        <v>34713390</v>
      </c>
      <c r="CE72" s="52"/>
      <c r="CF72" s="52"/>
      <c r="CG72" s="52">
        <f t="shared" si="13"/>
        <v>93773263</v>
      </c>
      <c r="CH72" s="52"/>
      <c r="CI72" s="52"/>
      <c r="CJ72" s="52"/>
      <c r="CK72" s="52"/>
      <c r="CL72" s="52"/>
      <c r="CM72" s="52"/>
      <c r="CN72" s="52"/>
      <c r="CO72" s="52"/>
      <c r="CP72" s="52"/>
      <c r="CQ72" s="52">
        <v>6942678</v>
      </c>
      <c r="CR72" s="52"/>
      <c r="CS72" s="52">
        <f t="shared" si="10"/>
        <v>100715941</v>
      </c>
      <c r="CT72" s="53">
        <v>55541424</v>
      </c>
      <c r="CU72" s="53">
        <f t="shared" si="11"/>
        <v>45174517</v>
      </c>
      <c r="CV72" s="54">
        <f t="shared" si="14"/>
        <v>100715941</v>
      </c>
      <c r="CW72" s="55">
        <f t="shared" si="15"/>
        <v>0</v>
      </c>
      <c r="CX72" s="16"/>
      <c r="CY72" s="16"/>
      <c r="CZ72" s="16"/>
    </row>
    <row r="73" spans="1:108" ht="15" customHeight="1" x14ac:dyDescent="0.2">
      <c r="A73" s="1">
        <v>8060049006</v>
      </c>
      <c r="B73" s="1">
        <v>806004900</v>
      </c>
      <c r="C73" s="9">
        <v>216213062</v>
      </c>
      <c r="D73" s="10" t="s">
        <v>2162</v>
      </c>
      <c r="E73" s="46" t="s">
        <v>1214</v>
      </c>
      <c r="F73" s="21"/>
      <c r="G73" s="50"/>
      <c r="H73" s="21"/>
      <c r="I73" s="50"/>
      <c r="J73" s="21"/>
      <c r="K73" s="21"/>
      <c r="L73" s="50"/>
      <c r="M73" s="51"/>
      <c r="N73" s="21"/>
      <c r="O73" s="50"/>
      <c r="P73" s="21"/>
      <c r="Q73" s="50"/>
      <c r="R73" s="21"/>
      <c r="S73" s="21"/>
      <c r="T73" s="50"/>
      <c r="U73" s="51">
        <f t="shared" si="9"/>
        <v>0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>
        <v>83279435</v>
      </c>
      <c r="AZ73" s="51"/>
      <c r="BA73" s="51">
        <f>VLOOKUP(B73,[1]Hoja3!J$3:K$674,2,0)</f>
        <v>134887792</v>
      </c>
      <c r="BB73" s="51"/>
      <c r="BC73" s="52">
        <f t="shared" si="12"/>
        <v>218167227</v>
      </c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>
        <v>16655887</v>
      </c>
      <c r="BO73" s="51"/>
      <c r="BP73" s="52">
        <v>234823114</v>
      </c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>
        <v>16655887</v>
      </c>
      <c r="CD73" s="52"/>
      <c r="CE73" s="52"/>
      <c r="CF73" s="52"/>
      <c r="CG73" s="52">
        <f t="shared" si="13"/>
        <v>251479001</v>
      </c>
      <c r="CH73" s="52"/>
      <c r="CI73" s="52"/>
      <c r="CJ73" s="52"/>
      <c r="CK73" s="52"/>
      <c r="CL73" s="52"/>
      <c r="CM73" s="52"/>
      <c r="CN73" s="52"/>
      <c r="CO73" s="52"/>
      <c r="CP73" s="52"/>
      <c r="CQ73" s="52">
        <v>16655887</v>
      </c>
      <c r="CR73" s="52"/>
      <c r="CS73" s="52">
        <f t="shared" si="10"/>
        <v>268134888</v>
      </c>
      <c r="CT73" s="53">
        <v>133247096</v>
      </c>
      <c r="CU73" s="53">
        <f t="shared" si="11"/>
        <v>134887792</v>
      </c>
      <c r="CV73" s="54">
        <f t="shared" si="14"/>
        <v>268134888</v>
      </c>
      <c r="CW73" s="55">
        <f t="shared" si="15"/>
        <v>0</v>
      </c>
      <c r="CX73" s="16"/>
      <c r="CY73" s="16"/>
      <c r="CZ73" s="8"/>
      <c r="DA73" s="8"/>
      <c r="DB73" s="8"/>
      <c r="DC73" s="8"/>
      <c r="DD73" s="8"/>
    </row>
    <row r="74" spans="1:108" ht="15" customHeight="1" x14ac:dyDescent="0.2">
      <c r="A74" s="1">
        <v>8923015411</v>
      </c>
      <c r="B74" s="1">
        <v>892301541</v>
      </c>
      <c r="C74" s="9">
        <v>213220032</v>
      </c>
      <c r="D74" s="10" t="s">
        <v>415</v>
      </c>
      <c r="E74" s="46" t="s">
        <v>1443</v>
      </c>
      <c r="F74" s="21"/>
      <c r="G74" s="50"/>
      <c r="H74" s="21"/>
      <c r="I74" s="50"/>
      <c r="J74" s="21"/>
      <c r="K74" s="21"/>
      <c r="L74" s="50"/>
      <c r="M74" s="51"/>
      <c r="N74" s="21"/>
      <c r="O74" s="50"/>
      <c r="P74" s="21"/>
      <c r="Q74" s="50"/>
      <c r="R74" s="21"/>
      <c r="S74" s="21"/>
      <c r="T74" s="50"/>
      <c r="U74" s="51">
        <f t="shared" si="9"/>
        <v>0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>
        <v>250365985</v>
      </c>
      <c r="AZ74" s="51"/>
      <c r="BA74" s="51">
        <f>VLOOKUP(B74,[1]Hoja3!J$3:K$674,2,0)</f>
        <v>376753745</v>
      </c>
      <c r="BB74" s="51"/>
      <c r="BC74" s="52">
        <f t="shared" si="12"/>
        <v>627119730</v>
      </c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>
        <v>50073197</v>
      </c>
      <c r="BO74" s="51"/>
      <c r="BP74" s="52">
        <v>677192927</v>
      </c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>
        <v>50073197</v>
      </c>
      <c r="CD74" s="52"/>
      <c r="CE74" s="52"/>
      <c r="CF74" s="52"/>
      <c r="CG74" s="52">
        <f t="shared" si="13"/>
        <v>727266124</v>
      </c>
      <c r="CH74" s="52"/>
      <c r="CI74" s="52"/>
      <c r="CJ74" s="52"/>
      <c r="CK74" s="52"/>
      <c r="CL74" s="52"/>
      <c r="CM74" s="52"/>
      <c r="CN74" s="52"/>
      <c r="CO74" s="52"/>
      <c r="CP74" s="52"/>
      <c r="CQ74" s="52">
        <v>50073197</v>
      </c>
      <c r="CR74" s="52"/>
      <c r="CS74" s="52">
        <f t="shared" si="10"/>
        <v>777339321</v>
      </c>
      <c r="CT74" s="53">
        <v>400585576</v>
      </c>
      <c r="CU74" s="53">
        <f t="shared" si="11"/>
        <v>376753745</v>
      </c>
      <c r="CV74" s="54">
        <f t="shared" si="14"/>
        <v>777339321</v>
      </c>
      <c r="CW74" s="55">
        <f t="shared" si="15"/>
        <v>0</v>
      </c>
      <c r="CX74" s="16"/>
      <c r="CY74" s="16"/>
      <c r="CZ74" s="16"/>
    </row>
    <row r="75" spans="1:108" ht="15" customHeight="1" x14ac:dyDescent="0.2">
      <c r="A75" s="1">
        <v>8001000491</v>
      </c>
      <c r="B75" s="1">
        <v>800100049</v>
      </c>
      <c r="C75" s="9">
        <v>216773067</v>
      </c>
      <c r="D75" s="10" t="s">
        <v>2207</v>
      </c>
      <c r="E75" s="46" t="s">
        <v>1933</v>
      </c>
      <c r="F75" s="21"/>
      <c r="G75" s="50"/>
      <c r="H75" s="21"/>
      <c r="I75" s="50"/>
      <c r="J75" s="21"/>
      <c r="K75" s="21"/>
      <c r="L75" s="50"/>
      <c r="M75" s="51"/>
      <c r="N75" s="21"/>
      <c r="O75" s="50"/>
      <c r="P75" s="21"/>
      <c r="Q75" s="50"/>
      <c r="R75" s="21"/>
      <c r="S75" s="21"/>
      <c r="T75" s="50"/>
      <c r="U75" s="51">
        <f t="shared" si="9"/>
        <v>0</v>
      </c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>
        <v>240306955</v>
      </c>
      <c r="AZ75" s="51"/>
      <c r="BA75" s="51">
        <f>VLOOKUP(B75,[1]Hoja3!J$3:K$674,2,0)</f>
        <v>416740904</v>
      </c>
      <c r="BB75" s="51"/>
      <c r="BC75" s="52">
        <f t="shared" si="12"/>
        <v>657047859</v>
      </c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>
        <v>48061391</v>
      </c>
      <c r="BO75" s="51"/>
      <c r="BP75" s="52">
        <v>705109250</v>
      </c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>
        <v>48061391</v>
      </c>
      <c r="CD75" s="52"/>
      <c r="CE75" s="52"/>
      <c r="CF75" s="52"/>
      <c r="CG75" s="52">
        <f t="shared" si="13"/>
        <v>753170641</v>
      </c>
      <c r="CH75" s="52"/>
      <c r="CI75" s="52"/>
      <c r="CJ75" s="52"/>
      <c r="CK75" s="52"/>
      <c r="CL75" s="52"/>
      <c r="CM75" s="52"/>
      <c r="CN75" s="52"/>
      <c r="CO75" s="52"/>
      <c r="CP75" s="52"/>
      <c r="CQ75" s="52">
        <v>48061391</v>
      </c>
      <c r="CR75" s="52"/>
      <c r="CS75" s="52">
        <f t="shared" si="10"/>
        <v>801232032</v>
      </c>
      <c r="CT75" s="53">
        <v>384491128</v>
      </c>
      <c r="CU75" s="53">
        <f t="shared" si="11"/>
        <v>416740904</v>
      </c>
      <c r="CV75" s="54">
        <f t="shared" si="14"/>
        <v>801232032</v>
      </c>
      <c r="CW75" s="55">
        <f t="shared" si="15"/>
        <v>0</v>
      </c>
      <c r="CX75" s="16"/>
      <c r="CY75" s="16"/>
      <c r="CZ75" s="16"/>
    </row>
    <row r="76" spans="1:108" ht="15" customHeight="1" x14ac:dyDescent="0.2">
      <c r="A76" s="1">
        <v>8180003951</v>
      </c>
      <c r="B76" s="1">
        <v>818000395</v>
      </c>
      <c r="C76" s="9">
        <v>215027050</v>
      </c>
      <c r="D76" s="10" t="s">
        <v>570</v>
      </c>
      <c r="E76" s="46" t="s">
        <v>1589</v>
      </c>
      <c r="F76" s="21"/>
      <c r="G76" s="50"/>
      <c r="H76" s="21"/>
      <c r="I76" s="50"/>
      <c r="J76" s="21"/>
      <c r="K76" s="21"/>
      <c r="L76" s="50"/>
      <c r="M76" s="51"/>
      <c r="N76" s="21"/>
      <c r="O76" s="50"/>
      <c r="P76" s="21"/>
      <c r="Q76" s="50"/>
      <c r="R76" s="21"/>
      <c r="S76" s="21"/>
      <c r="T76" s="50"/>
      <c r="U76" s="51">
        <f t="shared" si="9"/>
        <v>0</v>
      </c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>
        <v>254982325</v>
      </c>
      <c r="AN76" s="51">
        <f>SUBTOTAL(9,AC76:AM76)</f>
        <v>254982325</v>
      </c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2">
        <f t="shared" si="12"/>
        <v>254982325</v>
      </c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>
        <v>18499335</v>
      </c>
      <c r="BO76" s="51"/>
      <c r="BP76" s="52">
        <v>273481660</v>
      </c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>
        <v>18499335</v>
      </c>
      <c r="CD76" s="52">
        <v>92496675</v>
      </c>
      <c r="CE76" s="52"/>
      <c r="CF76" s="52"/>
      <c r="CG76" s="52">
        <f t="shared" si="13"/>
        <v>384477670</v>
      </c>
      <c r="CH76" s="52"/>
      <c r="CI76" s="52"/>
      <c r="CJ76" s="52"/>
      <c r="CK76" s="52"/>
      <c r="CL76" s="52"/>
      <c r="CM76" s="52"/>
      <c r="CN76" s="52"/>
      <c r="CO76" s="52"/>
      <c r="CP76" s="52"/>
      <c r="CQ76" s="52">
        <v>18499335</v>
      </c>
      <c r="CR76" s="52"/>
      <c r="CS76" s="52">
        <f t="shared" si="10"/>
        <v>402977005</v>
      </c>
      <c r="CT76" s="53">
        <v>147994680</v>
      </c>
      <c r="CU76" s="53">
        <f t="shared" si="11"/>
        <v>254982325</v>
      </c>
      <c r="CV76" s="54">
        <f t="shared" si="14"/>
        <v>402977005</v>
      </c>
      <c r="CW76" s="55">
        <f t="shared" si="15"/>
        <v>0</v>
      </c>
      <c r="CX76" s="16"/>
      <c r="CY76" s="16"/>
      <c r="CZ76" s="16"/>
    </row>
    <row r="77" spans="1:108" ht="15" customHeight="1" x14ac:dyDescent="0.2">
      <c r="A77" s="1">
        <v>8000967373</v>
      </c>
      <c r="B77" s="1">
        <v>800096737</v>
      </c>
      <c r="C77" s="9">
        <v>216823068</v>
      </c>
      <c r="D77" s="10" t="s">
        <v>437</v>
      </c>
      <c r="E77" s="46" t="s">
        <v>1464</v>
      </c>
      <c r="F77" s="21"/>
      <c r="G77" s="50"/>
      <c r="H77" s="21"/>
      <c r="I77" s="50"/>
      <c r="J77" s="21"/>
      <c r="K77" s="21"/>
      <c r="L77" s="50"/>
      <c r="M77" s="51"/>
      <c r="N77" s="21"/>
      <c r="O77" s="50"/>
      <c r="P77" s="21"/>
      <c r="Q77" s="50"/>
      <c r="R77" s="21"/>
      <c r="S77" s="21"/>
      <c r="T77" s="50"/>
      <c r="U77" s="51">
        <f t="shared" si="9"/>
        <v>0</v>
      </c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>
        <v>3771768915</v>
      </c>
      <c r="AN77" s="51">
        <f>SUBTOTAL(9,AC77:AM77)</f>
        <v>3771768915</v>
      </c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>
        <v>587340215</v>
      </c>
      <c r="AZ77" s="51"/>
      <c r="BA77" s="51"/>
      <c r="BB77" s="51"/>
      <c r="BC77" s="52">
        <f t="shared" si="12"/>
        <v>4359109130</v>
      </c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>
        <v>117468043</v>
      </c>
      <c r="BO77" s="51"/>
      <c r="BP77" s="52">
        <v>4476577173</v>
      </c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>
        <v>117468043</v>
      </c>
      <c r="CD77" s="52"/>
      <c r="CE77" s="52">
        <v>23129582</v>
      </c>
      <c r="CF77" s="52"/>
      <c r="CG77" s="52">
        <f t="shared" si="13"/>
        <v>4617174798</v>
      </c>
      <c r="CH77" s="52"/>
      <c r="CI77" s="52"/>
      <c r="CJ77" s="52"/>
      <c r="CK77" s="52"/>
      <c r="CL77" s="52"/>
      <c r="CM77" s="52"/>
      <c r="CN77" s="52"/>
      <c r="CO77" s="52"/>
      <c r="CP77" s="52"/>
      <c r="CQ77" s="52">
        <v>117468043</v>
      </c>
      <c r="CR77" s="52"/>
      <c r="CS77" s="52">
        <f t="shared" si="10"/>
        <v>4734642841</v>
      </c>
      <c r="CT77" s="53">
        <v>939744344</v>
      </c>
      <c r="CU77" s="53">
        <f t="shared" si="11"/>
        <v>3794898497</v>
      </c>
      <c r="CV77" s="54">
        <f t="shared" si="14"/>
        <v>4734642841</v>
      </c>
      <c r="CW77" s="55">
        <f t="shared" si="15"/>
        <v>0</v>
      </c>
      <c r="CX77" s="16"/>
      <c r="CY77" s="16"/>
      <c r="CZ77" s="16"/>
    </row>
    <row r="78" spans="1:108" s="13" customFormat="1" ht="15" customHeight="1" x14ac:dyDescent="0.2">
      <c r="A78" s="1">
        <v>8916800554</v>
      </c>
      <c r="B78" s="1">
        <v>891680055</v>
      </c>
      <c r="C78" s="9">
        <v>217327073</v>
      </c>
      <c r="D78" s="10" t="s">
        <v>571</v>
      </c>
      <c r="E78" s="46" t="s">
        <v>1590</v>
      </c>
      <c r="F78" s="21"/>
      <c r="G78" s="50"/>
      <c r="H78" s="21"/>
      <c r="I78" s="50"/>
      <c r="J78" s="21"/>
      <c r="K78" s="21"/>
      <c r="L78" s="50"/>
      <c r="M78" s="51"/>
      <c r="N78" s="21"/>
      <c r="O78" s="50"/>
      <c r="P78" s="21"/>
      <c r="Q78" s="50"/>
      <c r="R78" s="21"/>
      <c r="S78" s="21"/>
      <c r="T78" s="50"/>
      <c r="U78" s="51">
        <f t="shared" si="9"/>
        <v>0</v>
      </c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>
        <v>84494159</v>
      </c>
      <c r="AN78" s="51">
        <f>SUBTOTAL(9,AC78:AM78)</f>
        <v>84494159</v>
      </c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>
        <v>201306145</v>
      </c>
      <c r="AZ78" s="51"/>
      <c r="BA78" s="51"/>
      <c r="BB78" s="51"/>
      <c r="BC78" s="52">
        <f t="shared" si="12"/>
        <v>285800304</v>
      </c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>
        <v>40261229</v>
      </c>
      <c r="BO78" s="51"/>
      <c r="BP78" s="52">
        <v>326061533</v>
      </c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>
        <v>40261229</v>
      </c>
      <c r="CD78" s="52"/>
      <c r="CE78" s="52"/>
      <c r="CF78" s="52"/>
      <c r="CG78" s="52">
        <f t="shared" si="13"/>
        <v>366322762</v>
      </c>
      <c r="CH78" s="52"/>
      <c r="CI78" s="52"/>
      <c r="CJ78" s="52"/>
      <c r="CK78" s="52"/>
      <c r="CL78" s="52"/>
      <c r="CM78" s="52"/>
      <c r="CN78" s="52"/>
      <c r="CO78" s="52"/>
      <c r="CP78" s="52"/>
      <c r="CQ78" s="52">
        <v>40261229</v>
      </c>
      <c r="CR78" s="52"/>
      <c r="CS78" s="52">
        <f t="shared" si="10"/>
        <v>406583991</v>
      </c>
      <c r="CT78" s="53">
        <v>322089832</v>
      </c>
      <c r="CU78" s="53">
        <f t="shared" si="11"/>
        <v>84494159</v>
      </c>
      <c r="CV78" s="54">
        <f t="shared" si="14"/>
        <v>406583991</v>
      </c>
      <c r="CW78" s="55">
        <f t="shared" si="15"/>
        <v>0</v>
      </c>
      <c r="CX78" s="16"/>
      <c r="CY78" s="16"/>
      <c r="CZ78" s="16"/>
      <c r="DA78" s="6"/>
      <c r="DB78" s="6"/>
      <c r="DC78" s="6"/>
      <c r="DD78" s="6"/>
    </row>
    <row r="79" spans="1:108" ht="15" customHeight="1" x14ac:dyDescent="0.2">
      <c r="A79" s="1">
        <v>8916803953</v>
      </c>
      <c r="B79" s="1">
        <v>891680395</v>
      </c>
      <c r="C79" s="9">
        <v>217527075</v>
      </c>
      <c r="D79" s="10" t="s">
        <v>572</v>
      </c>
      <c r="E79" s="46" t="s">
        <v>1591</v>
      </c>
      <c r="F79" s="21"/>
      <c r="G79" s="50"/>
      <c r="H79" s="21"/>
      <c r="I79" s="50"/>
      <c r="J79" s="21"/>
      <c r="K79" s="21"/>
      <c r="L79" s="50"/>
      <c r="M79" s="51"/>
      <c r="N79" s="21"/>
      <c r="O79" s="50"/>
      <c r="P79" s="21"/>
      <c r="Q79" s="50"/>
      <c r="R79" s="21"/>
      <c r="S79" s="21"/>
      <c r="T79" s="50"/>
      <c r="U79" s="51">
        <f t="shared" si="9"/>
        <v>0</v>
      </c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>
        <v>214161652</v>
      </c>
      <c r="AN79" s="51">
        <f>SUBTOTAL(9,AC79:AM79)</f>
        <v>214161652</v>
      </c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2">
        <f t="shared" si="12"/>
        <v>214161652</v>
      </c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>
        <v>0</v>
      </c>
      <c r="BO79" s="51"/>
      <c r="BP79" s="52">
        <v>214161652</v>
      </c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>
        <v>18727009</v>
      </c>
      <c r="CD79" s="52">
        <v>112362054</v>
      </c>
      <c r="CE79" s="52"/>
      <c r="CF79" s="52"/>
      <c r="CG79" s="52">
        <f t="shared" si="13"/>
        <v>345250715</v>
      </c>
      <c r="CH79" s="52"/>
      <c r="CI79" s="52"/>
      <c r="CJ79" s="52"/>
      <c r="CK79" s="52"/>
      <c r="CL79" s="52"/>
      <c r="CM79" s="52"/>
      <c r="CN79" s="52"/>
      <c r="CO79" s="52"/>
      <c r="CP79" s="52"/>
      <c r="CQ79" s="52">
        <v>18727009</v>
      </c>
      <c r="CR79" s="52"/>
      <c r="CS79" s="52">
        <f t="shared" si="10"/>
        <v>363977724</v>
      </c>
      <c r="CT79" s="53">
        <v>149816072</v>
      </c>
      <c r="CU79" s="53">
        <f t="shared" si="11"/>
        <v>214161652</v>
      </c>
      <c r="CV79" s="54">
        <f t="shared" si="14"/>
        <v>363977724</v>
      </c>
      <c r="CW79" s="55">
        <f t="shared" si="15"/>
        <v>0</v>
      </c>
      <c r="CX79" s="16"/>
      <c r="CY79" s="16"/>
      <c r="CZ79" s="16"/>
    </row>
    <row r="80" spans="1:108" ht="15" customHeight="1" x14ac:dyDescent="0.2">
      <c r="A80" s="1">
        <v>8000955895</v>
      </c>
      <c r="B80" s="1">
        <v>800095589</v>
      </c>
      <c r="C80" s="9">
        <v>217727077</v>
      </c>
      <c r="D80" s="10" t="s">
        <v>2116</v>
      </c>
      <c r="E80" s="46" t="s">
        <v>1592</v>
      </c>
      <c r="F80" s="21"/>
      <c r="G80" s="50"/>
      <c r="H80" s="21"/>
      <c r="I80" s="50"/>
      <c r="J80" s="21"/>
      <c r="K80" s="21"/>
      <c r="L80" s="50"/>
      <c r="M80" s="51"/>
      <c r="N80" s="21"/>
      <c r="O80" s="50"/>
      <c r="P80" s="21"/>
      <c r="Q80" s="50"/>
      <c r="R80" s="21"/>
      <c r="S80" s="21"/>
      <c r="T80" s="50"/>
      <c r="U80" s="51">
        <f t="shared" si="9"/>
        <v>0</v>
      </c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>
        <v>239499731</v>
      </c>
      <c r="AN80" s="51">
        <f>SUBTOTAL(9,AC80:AM80)</f>
        <v>239499731</v>
      </c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>
        <v>259069615</v>
      </c>
      <c r="AZ80" s="51"/>
      <c r="BA80" s="51"/>
      <c r="BB80" s="51"/>
      <c r="BC80" s="52">
        <f t="shared" si="12"/>
        <v>498569346</v>
      </c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>
        <v>51813923</v>
      </c>
      <c r="BO80" s="51"/>
      <c r="BP80" s="52">
        <v>550383269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>
        <v>51813923</v>
      </c>
      <c r="CD80" s="52"/>
      <c r="CE80" s="52"/>
      <c r="CF80" s="52"/>
      <c r="CG80" s="52">
        <f t="shared" si="13"/>
        <v>602197192</v>
      </c>
      <c r="CH80" s="52"/>
      <c r="CI80" s="52"/>
      <c r="CJ80" s="52"/>
      <c r="CK80" s="52"/>
      <c r="CL80" s="52"/>
      <c r="CM80" s="52"/>
      <c r="CN80" s="52"/>
      <c r="CO80" s="52"/>
      <c r="CP80" s="52"/>
      <c r="CQ80" s="52">
        <v>51813923</v>
      </c>
      <c r="CR80" s="52"/>
      <c r="CS80" s="52">
        <f t="shared" si="10"/>
        <v>654011115</v>
      </c>
      <c r="CT80" s="53">
        <v>414511384</v>
      </c>
      <c r="CU80" s="53">
        <f t="shared" si="11"/>
        <v>239499731</v>
      </c>
      <c r="CV80" s="54">
        <f t="shared" si="14"/>
        <v>654011115</v>
      </c>
      <c r="CW80" s="55">
        <f t="shared" si="15"/>
        <v>0</v>
      </c>
      <c r="CX80" s="16"/>
      <c r="CY80" s="16"/>
      <c r="CZ80" s="16"/>
    </row>
    <row r="81" spans="1:108" ht="15" customHeight="1" x14ac:dyDescent="0.2">
      <c r="A81" s="1">
        <v>8915008691</v>
      </c>
      <c r="B81" s="1">
        <v>891500869</v>
      </c>
      <c r="C81" s="9">
        <v>217519075</v>
      </c>
      <c r="D81" s="10" t="s">
        <v>375</v>
      </c>
      <c r="E81" s="46" t="s">
        <v>1407</v>
      </c>
      <c r="F81" s="21"/>
      <c r="G81" s="50"/>
      <c r="H81" s="21"/>
      <c r="I81" s="50"/>
      <c r="J81" s="21"/>
      <c r="K81" s="21"/>
      <c r="L81" s="50"/>
      <c r="M81" s="51"/>
      <c r="N81" s="21"/>
      <c r="O81" s="50"/>
      <c r="P81" s="21"/>
      <c r="Q81" s="50"/>
      <c r="R81" s="21"/>
      <c r="S81" s="21"/>
      <c r="T81" s="50"/>
      <c r="U81" s="51">
        <f t="shared" si="9"/>
        <v>0</v>
      </c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>
        <v>191585190</v>
      </c>
      <c r="AZ81" s="51"/>
      <c r="BA81" s="51">
        <f>VLOOKUP(B81,[1]Hoja3!J$3:K$674,2,0)</f>
        <v>247802695</v>
      </c>
      <c r="BB81" s="51"/>
      <c r="BC81" s="52">
        <f t="shared" si="12"/>
        <v>439387885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>
        <v>38317038</v>
      </c>
      <c r="BO81" s="51"/>
      <c r="BP81" s="52">
        <v>477704923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>
        <v>38317038</v>
      </c>
      <c r="CD81" s="52"/>
      <c r="CE81" s="52"/>
      <c r="CF81" s="52"/>
      <c r="CG81" s="52">
        <f t="shared" si="13"/>
        <v>516021961</v>
      </c>
      <c r="CH81" s="52"/>
      <c r="CI81" s="52"/>
      <c r="CJ81" s="52"/>
      <c r="CK81" s="52"/>
      <c r="CL81" s="52"/>
      <c r="CM81" s="52"/>
      <c r="CN81" s="52"/>
      <c r="CO81" s="52"/>
      <c r="CP81" s="52"/>
      <c r="CQ81" s="52">
        <v>38317038</v>
      </c>
      <c r="CR81" s="52"/>
      <c r="CS81" s="52">
        <f t="shared" si="10"/>
        <v>554338999</v>
      </c>
      <c r="CT81" s="53">
        <v>306536304</v>
      </c>
      <c r="CU81" s="53">
        <f t="shared" si="11"/>
        <v>247802695</v>
      </c>
      <c r="CV81" s="54">
        <f t="shared" si="14"/>
        <v>554338999</v>
      </c>
      <c r="CW81" s="55">
        <f t="shared" si="15"/>
        <v>0</v>
      </c>
      <c r="CX81" s="16"/>
      <c r="CY81" s="16"/>
      <c r="CZ81" s="16"/>
    </row>
    <row r="82" spans="1:108" ht="15" customHeight="1" x14ac:dyDescent="0.2">
      <c r="A82" s="1">
        <v>8908011431</v>
      </c>
      <c r="B82" s="1">
        <v>890801143</v>
      </c>
      <c r="C82" s="9">
        <v>217566075</v>
      </c>
      <c r="D82" s="10" t="s">
        <v>801</v>
      </c>
      <c r="E82" s="46" t="s">
        <v>1818</v>
      </c>
      <c r="F82" s="21"/>
      <c r="G82" s="50"/>
      <c r="H82" s="21"/>
      <c r="I82" s="50"/>
      <c r="J82" s="21"/>
      <c r="K82" s="21"/>
      <c r="L82" s="50"/>
      <c r="M82" s="51"/>
      <c r="N82" s="21"/>
      <c r="O82" s="50"/>
      <c r="P82" s="21"/>
      <c r="Q82" s="50"/>
      <c r="R82" s="21"/>
      <c r="S82" s="21"/>
      <c r="T82" s="50"/>
      <c r="U82" s="51">
        <f t="shared" si="9"/>
        <v>0</v>
      </c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>
        <f>VLOOKUP(B82,[1]Hoja3!J$3:K$674,2,0)</f>
        <v>87455560</v>
      </c>
      <c r="BB82" s="51"/>
      <c r="BC82" s="52">
        <f t="shared" si="12"/>
        <v>87455560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>
        <v>0</v>
      </c>
      <c r="BO82" s="51"/>
      <c r="BP82" s="52">
        <v>87455560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>
        <v>0</v>
      </c>
      <c r="CD82" s="52"/>
      <c r="CE82" s="52"/>
      <c r="CF82" s="52"/>
      <c r="CG82" s="52">
        <f t="shared" si="13"/>
        <v>87455560</v>
      </c>
      <c r="CH82" s="52"/>
      <c r="CI82" s="52"/>
      <c r="CJ82" s="52"/>
      <c r="CK82" s="52"/>
      <c r="CL82" s="52"/>
      <c r="CM82" s="52"/>
      <c r="CN82" s="52"/>
      <c r="CO82" s="52"/>
      <c r="CP82" s="52"/>
      <c r="CQ82" s="52">
        <v>70922440</v>
      </c>
      <c r="CR82" s="52"/>
      <c r="CS82" s="52">
        <f t="shared" si="10"/>
        <v>158378000</v>
      </c>
      <c r="CT82" s="53">
        <v>70922440</v>
      </c>
      <c r="CU82" s="53">
        <f t="shared" si="11"/>
        <v>87455560</v>
      </c>
      <c r="CV82" s="54">
        <f t="shared" si="14"/>
        <v>158378000</v>
      </c>
      <c r="CW82" s="55">
        <f t="shared" si="15"/>
        <v>0</v>
      </c>
      <c r="CX82" s="16"/>
      <c r="CY82" s="16"/>
      <c r="CZ82" s="16"/>
    </row>
    <row r="83" spans="1:108" ht="15" customHeight="1" x14ac:dyDescent="0.2">
      <c r="A83" s="1">
        <v>8901123718</v>
      </c>
      <c r="B83" s="1">
        <v>890112371</v>
      </c>
      <c r="C83" s="9">
        <v>217808078</v>
      </c>
      <c r="D83" s="10" t="s">
        <v>161</v>
      </c>
      <c r="E83" s="46" t="s">
        <v>1189</v>
      </c>
      <c r="F83" s="21"/>
      <c r="G83" s="50"/>
      <c r="H83" s="21"/>
      <c r="I83" s="50"/>
      <c r="J83" s="21"/>
      <c r="K83" s="21"/>
      <c r="L83" s="50"/>
      <c r="M83" s="51"/>
      <c r="N83" s="21"/>
      <c r="O83" s="50"/>
      <c r="P83" s="21"/>
      <c r="Q83" s="50"/>
      <c r="R83" s="21"/>
      <c r="S83" s="21"/>
      <c r="T83" s="50"/>
      <c r="U83" s="51">
        <f t="shared" si="9"/>
        <v>0</v>
      </c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>
        <v>362963655</v>
      </c>
      <c r="AZ83" s="51"/>
      <c r="BA83" s="51">
        <f>VLOOKUP(B83,[1]Hoja3!J$3:K$674,2,0)</f>
        <v>847224261</v>
      </c>
      <c r="BB83" s="51"/>
      <c r="BC83" s="52">
        <f t="shared" si="12"/>
        <v>1210187916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>
        <v>72592731</v>
      </c>
      <c r="BO83" s="51"/>
      <c r="BP83" s="52">
        <v>1282780647</v>
      </c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>
        <v>72592731</v>
      </c>
      <c r="CD83" s="52"/>
      <c r="CE83" s="52"/>
      <c r="CF83" s="52"/>
      <c r="CG83" s="52">
        <f t="shared" si="13"/>
        <v>1355373378</v>
      </c>
      <c r="CH83" s="52"/>
      <c r="CI83" s="52"/>
      <c r="CJ83" s="52"/>
      <c r="CK83" s="52"/>
      <c r="CL83" s="52"/>
      <c r="CM83" s="52"/>
      <c r="CN83" s="52"/>
      <c r="CO83" s="52"/>
      <c r="CP83" s="52"/>
      <c r="CQ83" s="52">
        <v>72592731</v>
      </c>
      <c r="CR83" s="52"/>
      <c r="CS83" s="52">
        <f t="shared" si="10"/>
        <v>1427966109</v>
      </c>
      <c r="CT83" s="53">
        <v>580741848</v>
      </c>
      <c r="CU83" s="53">
        <f t="shared" si="11"/>
        <v>847224261</v>
      </c>
      <c r="CV83" s="54">
        <f t="shared" si="14"/>
        <v>1427966109</v>
      </c>
      <c r="CW83" s="55">
        <f t="shared" si="15"/>
        <v>0</v>
      </c>
      <c r="CX83" s="16"/>
      <c r="CY83" s="16"/>
      <c r="CZ83" s="16"/>
    </row>
    <row r="84" spans="1:108" ht="15" customHeight="1" x14ac:dyDescent="0.2">
      <c r="A84" s="1">
        <v>8911801833</v>
      </c>
      <c r="B84" s="1">
        <v>891180183</v>
      </c>
      <c r="C84" s="9">
        <v>217841078</v>
      </c>
      <c r="D84" s="10" t="s">
        <v>598</v>
      </c>
      <c r="E84" s="46" t="s">
        <v>2081</v>
      </c>
      <c r="F84" s="21"/>
      <c r="G84" s="50"/>
      <c r="H84" s="21"/>
      <c r="I84" s="50"/>
      <c r="J84" s="21"/>
      <c r="K84" s="21"/>
      <c r="L84" s="50"/>
      <c r="M84" s="51"/>
      <c r="N84" s="21"/>
      <c r="O84" s="50"/>
      <c r="P84" s="21"/>
      <c r="Q84" s="50"/>
      <c r="R84" s="21"/>
      <c r="S84" s="21"/>
      <c r="T84" s="50"/>
      <c r="U84" s="51">
        <f t="shared" si="9"/>
        <v>0</v>
      </c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18601999</v>
      </c>
      <c r="AN84" s="51">
        <f>SUBTOTAL(9,AC84:AM84)</f>
        <v>18601999</v>
      </c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f>VLOOKUP(B84,[1]Hoja3!J$3:K$674,2,0)</f>
        <v>82598451</v>
      </c>
      <c r="BB84" s="51"/>
      <c r="BC84" s="52">
        <f t="shared" si="12"/>
        <v>101200450</v>
      </c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>
        <v>0</v>
      </c>
      <c r="BO84" s="51"/>
      <c r="BP84" s="52">
        <v>101200450</v>
      </c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>
        <v>0</v>
      </c>
      <c r="CD84" s="52"/>
      <c r="CE84" s="52"/>
      <c r="CF84" s="52"/>
      <c r="CG84" s="52">
        <f t="shared" si="13"/>
        <v>101200450</v>
      </c>
      <c r="CH84" s="52"/>
      <c r="CI84" s="52"/>
      <c r="CJ84" s="52"/>
      <c r="CK84" s="52"/>
      <c r="CL84" s="52"/>
      <c r="CM84" s="52"/>
      <c r="CN84" s="52"/>
      <c r="CO84" s="52"/>
      <c r="CP84" s="52"/>
      <c r="CQ84" s="52">
        <v>128571128</v>
      </c>
      <c r="CR84" s="52"/>
      <c r="CS84" s="52">
        <f t="shared" si="10"/>
        <v>229771578</v>
      </c>
      <c r="CT84" s="53">
        <v>128571128</v>
      </c>
      <c r="CU84" s="53">
        <f t="shared" si="11"/>
        <v>101200450</v>
      </c>
      <c r="CV84" s="54">
        <f t="shared" si="14"/>
        <v>229771578</v>
      </c>
      <c r="CW84" s="55">
        <f t="shared" si="15"/>
        <v>0</v>
      </c>
      <c r="CX84" s="16"/>
      <c r="CY84" s="16"/>
      <c r="CZ84" s="16"/>
    </row>
    <row r="85" spans="1:108" ht="15" customHeight="1" x14ac:dyDescent="0.2">
      <c r="A85" s="1">
        <v>8000990617</v>
      </c>
      <c r="B85" s="1">
        <v>800099061</v>
      </c>
      <c r="C85" s="9">
        <v>217952079</v>
      </c>
      <c r="D85" s="10" t="s">
        <v>696</v>
      </c>
      <c r="E85" s="46" t="s">
        <v>1718</v>
      </c>
      <c r="F85" s="21"/>
      <c r="G85" s="50"/>
      <c r="H85" s="21"/>
      <c r="I85" s="50"/>
      <c r="J85" s="21"/>
      <c r="K85" s="21"/>
      <c r="L85" s="50"/>
      <c r="M85" s="51"/>
      <c r="N85" s="21"/>
      <c r="O85" s="50"/>
      <c r="P85" s="21"/>
      <c r="Q85" s="50"/>
      <c r="R85" s="21"/>
      <c r="S85" s="21"/>
      <c r="T85" s="50"/>
      <c r="U85" s="51">
        <f t="shared" si="9"/>
        <v>0</v>
      </c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>
        <v>66278543</v>
      </c>
      <c r="AN85" s="51">
        <f>SUBTOTAL(9,AC85:AM85)</f>
        <v>66278543</v>
      </c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>
        <v>638957465</v>
      </c>
      <c r="AZ85" s="51"/>
      <c r="BA85" s="51">
        <f>VLOOKUP(B85,[1]Hoja3!J$3:K$674,2,0)</f>
        <v>646037510</v>
      </c>
      <c r="BB85" s="51"/>
      <c r="BC85" s="52">
        <f t="shared" si="12"/>
        <v>1351273518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>
        <v>127791493</v>
      </c>
      <c r="BO85" s="51"/>
      <c r="BP85" s="52">
        <v>1479065011</v>
      </c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>
        <v>127791493</v>
      </c>
      <c r="CD85" s="52"/>
      <c r="CE85" s="52"/>
      <c r="CF85" s="52"/>
      <c r="CG85" s="52">
        <f t="shared" si="13"/>
        <v>1606856504</v>
      </c>
      <c r="CH85" s="52"/>
      <c r="CI85" s="52"/>
      <c r="CJ85" s="52"/>
      <c r="CK85" s="52"/>
      <c r="CL85" s="52"/>
      <c r="CM85" s="52"/>
      <c r="CN85" s="52"/>
      <c r="CO85" s="52"/>
      <c r="CP85" s="52"/>
      <c r="CQ85" s="52">
        <v>127791493</v>
      </c>
      <c r="CR85" s="52"/>
      <c r="CS85" s="52">
        <f t="shared" si="10"/>
        <v>1734647997</v>
      </c>
      <c r="CT85" s="53">
        <v>1022331944</v>
      </c>
      <c r="CU85" s="53">
        <f t="shared" si="11"/>
        <v>712316053</v>
      </c>
      <c r="CV85" s="54">
        <f t="shared" si="14"/>
        <v>1734647997</v>
      </c>
      <c r="CW85" s="55">
        <f t="shared" si="15"/>
        <v>0</v>
      </c>
      <c r="CX85" s="16"/>
      <c r="CY85" s="16"/>
      <c r="CZ85" s="16"/>
    </row>
    <row r="86" spans="1:108" ht="15" customHeight="1" x14ac:dyDescent="0.2">
      <c r="A86" s="1">
        <v>8909804457</v>
      </c>
      <c r="B86" s="1">
        <v>890980445</v>
      </c>
      <c r="C86" s="9">
        <v>217905079</v>
      </c>
      <c r="D86" s="10" t="s">
        <v>58</v>
      </c>
      <c r="E86" s="46" t="s">
        <v>1089</v>
      </c>
      <c r="F86" s="21"/>
      <c r="G86" s="50"/>
      <c r="H86" s="21"/>
      <c r="I86" s="50"/>
      <c r="J86" s="21"/>
      <c r="K86" s="21"/>
      <c r="L86" s="50"/>
      <c r="M86" s="51"/>
      <c r="N86" s="21"/>
      <c r="O86" s="50"/>
      <c r="P86" s="21"/>
      <c r="Q86" s="50"/>
      <c r="R86" s="21"/>
      <c r="S86" s="21"/>
      <c r="T86" s="50"/>
      <c r="U86" s="51">
        <f t="shared" si="9"/>
        <v>0</v>
      </c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>
        <v>539182792</v>
      </c>
      <c r="AN86" s="51">
        <f>SUBTOTAL(9,AC86:AM86)</f>
        <v>539182792</v>
      </c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>
        <v>238851220</v>
      </c>
      <c r="AZ86" s="51"/>
      <c r="BA86" s="51"/>
      <c r="BB86" s="51"/>
      <c r="BC86" s="52">
        <f t="shared" si="12"/>
        <v>778034012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>
        <v>47770244</v>
      </c>
      <c r="BO86" s="51"/>
      <c r="BP86" s="52">
        <v>825804256</v>
      </c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>
        <v>47770244</v>
      </c>
      <c r="CD86" s="52"/>
      <c r="CE86" s="52"/>
      <c r="CF86" s="52"/>
      <c r="CG86" s="52">
        <f t="shared" si="13"/>
        <v>873574500</v>
      </c>
      <c r="CH86" s="52"/>
      <c r="CI86" s="52"/>
      <c r="CJ86" s="52"/>
      <c r="CK86" s="52"/>
      <c r="CL86" s="52"/>
      <c r="CM86" s="52"/>
      <c r="CN86" s="52"/>
      <c r="CO86" s="52"/>
      <c r="CP86" s="52"/>
      <c r="CQ86" s="52">
        <v>47770244</v>
      </c>
      <c r="CR86" s="52"/>
      <c r="CS86" s="52">
        <f t="shared" si="10"/>
        <v>921344744</v>
      </c>
      <c r="CT86" s="53">
        <v>382161952</v>
      </c>
      <c r="CU86" s="53">
        <f t="shared" si="11"/>
        <v>539182792</v>
      </c>
      <c r="CV86" s="54">
        <f t="shared" si="14"/>
        <v>921344744</v>
      </c>
      <c r="CW86" s="55">
        <f t="shared" si="15"/>
        <v>0</v>
      </c>
      <c r="CX86" s="16"/>
      <c r="CY86" s="16"/>
      <c r="CZ86" s="16"/>
    </row>
    <row r="87" spans="1:108" ht="15" customHeight="1" x14ac:dyDescent="0.2">
      <c r="A87" s="1">
        <v>8902060338</v>
      </c>
      <c r="B87" s="1">
        <v>890206033</v>
      </c>
      <c r="C87" s="9">
        <v>217768077</v>
      </c>
      <c r="D87" s="10" t="s">
        <v>815</v>
      </c>
      <c r="E87" s="46" t="s">
        <v>1832</v>
      </c>
      <c r="F87" s="21"/>
      <c r="G87" s="50"/>
      <c r="H87" s="21"/>
      <c r="I87" s="50"/>
      <c r="J87" s="21"/>
      <c r="K87" s="21"/>
      <c r="L87" s="50"/>
      <c r="M87" s="51"/>
      <c r="N87" s="21"/>
      <c r="O87" s="50"/>
      <c r="P87" s="21"/>
      <c r="Q87" s="50"/>
      <c r="R87" s="21"/>
      <c r="S87" s="21"/>
      <c r="T87" s="50"/>
      <c r="U87" s="51">
        <f t="shared" si="9"/>
        <v>0</v>
      </c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>
        <v>313192763</v>
      </c>
      <c r="AN87" s="51">
        <f>SUBTOTAL(9,AC87:AM87)</f>
        <v>313192763</v>
      </c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>
        <v>137937655</v>
      </c>
      <c r="AZ87" s="51"/>
      <c r="BA87" s="51"/>
      <c r="BB87" s="51"/>
      <c r="BC87" s="52">
        <f t="shared" si="12"/>
        <v>451130418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>
        <v>27587531</v>
      </c>
      <c r="BO87" s="51"/>
      <c r="BP87" s="52">
        <v>478717949</v>
      </c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>
        <v>27587531</v>
      </c>
      <c r="CD87" s="52"/>
      <c r="CE87" s="52"/>
      <c r="CF87" s="52"/>
      <c r="CG87" s="52">
        <f t="shared" si="13"/>
        <v>506305480</v>
      </c>
      <c r="CH87" s="52"/>
      <c r="CI87" s="52"/>
      <c r="CJ87" s="52"/>
      <c r="CK87" s="52"/>
      <c r="CL87" s="52"/>
      <c r="CM87" s="52"/>
      <c r="CN87" s="52"/>
      <c r="CO87" s="52"/>
      <c r="CP87" s="52"/>
      <c r="CQ87" s="52">
        <v>27587531</v>
      </c>
      <c r="CR87" s="52"/>
      <c r="CS87" s="52">
        <f t="shared" si="10"/>
        <v>533893011</v>
      </c>
      <c r="CT87" s="53">
        <v>220700248</v>
      </c>
      <c r="CU87" s="53">
        <f t="shared" si="11"/>
        <v>313192763</v>
      </c>
      <c r="CV87" s="54">
        <f t="shared" si="14"/>
        <v>533893011</v>
      </c>
      <c r="CW87" s="55">
        <f t="shared" si="15"/>
        <v>0</v>
      </c>
      <c r="CX87" s="16"/>
      <c r="CY87" s="16"/>
      <c r="CZ87" s="8"/>
      <c r="DA87" s="8"/>
      <c r="DB87" s="8"/>
      <c r="DC87" s="8"/>
      <c r="DD87" s="8"/>
    </row>
    <row r="88" spans="1:108" ht="15" customHeight="1" x14ac:dyDescent="0.2">
      <c r="A88" s="1">
        <v>8902109321</v>
      </c>
      <c r="B88" s="1">
        <v>890210932</v>
      </c>
      <c r="C88" s="9">
        <v>217968079</v>
      </c>
      <c r="D88" s="10" t="s">
        <v>816</v>
      </c>
      <c r="E88" s="46" t="s">
        <v>1833</v>
      </c>
      <c r="F88" s="21"/>
      <c r="G88" s="50"/>
      <c r="H88" s="21"/>
      <c r="I88" s="50"/>
      <c r="J88" s="21"/>
      <c r="K88" s="21"/>
      <c r="L88" s="50"/>
      <c r="M88" s="51"/>
      <c r="N88" s="21"/>
      <c r="O88" s="50"/>
      <c r="P88" s="21"/>
      <c r="Q88" s="50"/>
      <c r="R88" s="21"/>
      <c r="S88" s="21"/>
      <c r="T88" s="50"/>
      <c r="U88" s="51">
        <f t="shared" si="9"/>
        <v>0</v>
      </c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42828160</v>
      </c>
      <c r="AZ88" s="51"/>
      <c r="BA88" s="51">
        <f>VLOOKUP(B88,[1]Hoja3!J$3:K$674,2,0)</f>
        <v>105376446</v>
      </c>
      <c r="BB88" s="51"/>
      <c r="BC88" s="52">
        <f t="shared" si="12"/>
        <v>148204606</v>
      </c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>
        <v>8565632</v>
      </c>
      <c r="BO88" s="51"/>
      <c r="BP88" s="52">
        <v>156770238</v>
      </c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>
        <v>8565632</v>
      </c>
      <c r="CD88" s="52"/>
      <c r="CE88" s="52"/>
      <c r="CF88" s="52"/>
      <c r="CG88" s="52">
        <f t="shared" si="13"/>
        <v>165335870</v>
      </c>
      <c r="CH88" s="52"/>
      <c r="CI88" s="52"/>
      <c r="CJ88" s="52"/>
      <c r="CK88" s="52"/>
      <c r="CL88" s="52"/>
      <c r="CM88" s="52"/>
      <c r="CN88" s="52"/>
      <c r="CO88" s="52"/>
      <c r="CP88" s="52"/>
      <c r="CQ88" s="52">
        <v>8565632</v>
      </c>
      <c r="CR88" s="52"/>
      <c r="CS88" s="52">
        <f t="shared" si="10"/>
        <v>173901502</v>
      </c>
      <c r="CT88" s="53">
        <v>68525056</v>
      </c>
      <c r="CU88" s="53">
        <f t="shared" si="11"/>
        <v>105376446</v>
      </c>
      <c r="CV88" s="54">
        <f t="shared" si="14"/>
        <v>173901502</v>
      </c>
      <c r="CW88" s="55">
        <f t="shared" si="15"/>
        <v>0</v>
      </c>
      <c r="CX88" s="16"/>
      <c r="CY88" s="16"/>
      <c r="CZ88" s="16"/>
    </row>
    <row r="89" spans="1:108" ht="15" customHeight="1" x14ac:dyDescent="0.2">
      <c r="A89" s="1">
        <v>8001525771</v>
      </c>
      <c r="B89" s="1">
        <v>800152577</v>
      </c>
      <c r="C89" s="9">
        <v>211050110</v>
      </c>
      <c r="D89" s="10" t="s">
        <v>667</v>
      </c>
      <c r="E89" s="46" t="s">
        <v>1687</v>
      </c>
      <c r="F89" s="21"/>
      <c r="G89" s="50"/>
      <c r="H89" s="21"/>
      <c r="I89" s="50"/>
      <c r="J89" s="21"/>
      <c r="K89" s="21"/>
      <c r="L89" s="50"/>
      <c r="M89" s="51"/>
      <c r="N89" s="21"/>
      <c r="O89" s="50"/>
      <c r="P89" s="21"/>
      <c r="Q89" s="50"/>
      <c r="R89" s="21"/>
      <c r="S89" s="21"/>
      <c r="T89" s="50"/>
      <c r="U89" s="51">
        <f t="shared" si="9"/>
        <v>0</v>
      </c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>
        <v>133112363</v>
      </c>
      <c r="AN89" s="51">
        <f>SUBTOTAL(9,AC89:AM89)</f>
        <v>133112363</v>
      </c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>
        <v>57174740</v>
      </c>
      <c r="AZ89" s="51"/>
      <c r="BA89" s="51"/>
      <c r="BB89" s="51"/>
      <c r="BC89" s="52">
        <f t="shared" si="12"/>
        <v>190287103</v>
      </c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>
        <v>11434948</v>
      </c>
      <c r="BO89" s="51"/>
      <c r="BP89" s="52">
        <v>201722051</v>
      </c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>
        <v>11434948</v>
      </c>
      <c r="CD89" s="52"/>
      <c r="CE89" s="52"/>
      <c r="CF89" s="52"/>
      <c r="CG89" s="52">
        <f t="shared" si="13"/>
        <v>213156999</v>
      </c>
      <c r="CH89" s="52"/>
      <c r="CI89" s="52"/>
      <c r="CJ89" s="52"/>
      <c r="CK89" s="52"/>
      <c r="CL89" s="52"/>
      <c r="CM89" s="52"/>
      <c r="CN89" s="52"/>
      <c r="CO89" s="52"/>
      <c r="CP89" s="52"/>
      <c r="CQ89" s="52">
        <v>11434948</v>
      </c>
      <c r="CR89" s="52"/>
      <c r="CS89" s="52">
        <f t="shared" si="10"/>
        <v>224591947</v>
      </c>
      <c r="CT89" s="53">
        <v>91479584</v>
      </c>
      <c r="CU89" s="53">
        <f t="shared" si="11"/>
        <v>133112363</v>
      </c>
      <c r="CV89" s="54">
        <f t="shared" si="14"/>
        <v>224591947</v>
      </c>
      <c r="CW89" s="55">
        <f t="shared" si="15"/>
        <v>0</v>
      </c>
      <c r="CX89" s="16"/>
      <c r="CY89" s="16"/>
      <c r="CZ89" s="16"/>
    </row>
    <row r="90" spans="1:108" ht="15" customHeight="1" x14ac:dyDescent="0.2">
      <c r="A90" s="1">
        <v>8902019006</v>
      </c>
      <c r="B90" s="1">
        <v>890201900</v>
      </c>
      <c r="C90" s="9">
        <v>218168081</v>
      </c>
      <c r="D90" s="10" t="s">
        <v>2142</v>
      </c>
      <c r="E90" s="70" t="s">
        <v>2251</v>
      </c>
      <c r="F90" s="21"/>
      <c r="G90" s="50"/>
      <c r="H90" s="21"/>
      <c r="I90" s="50">
        <f>5411598015+109779614</f>
        <v>5521377629</v>
      </c>
      <c r="J90" s="21">
        <v>358344767</v>
      </c>
      <c r="K90" s="21">
        <v>711926887</v>
      </c>
      <c r="L90" s="50"/>
      <c r="M90" s="52">
        <f>SUM(F90:L90)</f>
        <v>6591649283</v>
      </c>
      <c r="N90" s="21"/>
      <c r="O90" s="50"/>
      <c r="P90" s="21"/>
      <c r="Q90" s="50">
        <f>5143532295+49899825</f>
        <v>5193432120</v>
      </c>
      <c r="R90" s="21">
        <v>358698155</v>
      </c>
      <c r="S90" s="21">
        <f>353582120+358698155</f>
        <v>712280275</v>
      </c>
      <c r="T90" s="50"/>
      <c r="U90" s="51">
        <f t="shared" si="9"/>
        <v>12856059833</v>
      </c>
      <c r="V90" s="51"/>
      <c r="W90" s="51"/>
      <c r="X90" s="51"/>
      <c r="Y90" s="51">
        <v>7523609028</v>
      </c>
      <c r="Z90" s="51">
        <v>356394785</v>
      </c>
      <c r="AA90" s="51">
        <v>828070991</v>
      </c>
      <c r="AB90" s="51"/>
      <c r="AC90" s="51">
        <f t="shared" si="16"/>
        <v>21564134637</v>
      </c>
      <c r="AD90" s="51"/>
      <c r="AE90" s="51"/>
      <c r="AF90" s="51"/>
      <c r="AG90" s="51"/>
      <c r="AH90" s="51">
        <v>5188509549</v>
      </c>
      <c r="AI90" s="51">
        <v>595146905</v>
      </c>
      <c r="AJ90" s="51">
        <v>364787902</v>
      </c>
      <c r="AK90" s="51">
        <v>920562716</v>
      </c>
      <c r="AL90" s="51"/>
      <c r="AM90" s="51">
        <v>2711426618</v>
      </c>
      <c r="AN90" s="51">
        <f>SUBTOTAL(9,AC90:AM90)</f>
        <v>31344568327</v>
      </c>
      <c r="AO90" s="51"/>
      <c r="AP90" s="51"/>
      <c r="AQ90" s="51">
        <v>1049182535</v>
      </c>
      <c r="AR90" s="51"/>
      <c r="AS90" s="51"/>
      <c r="AT90" s="51">
        <v>5188509549</v>
      </c>
      <c r="AU90" s="51"/>
      <c r="AV90" s="51">
        <v>364787902</v>
      </c>
      <c r="AW90" s="51">
        <v>623651210</v>
      </c>
      <c r="AX90" s="51"/>
      <c r="AY90" s="51"/>
      <c r="AZ90" s="51">
        <v>1695630567</v>
      </c>
      <c r="BA90" s="51"/>
      <c r="BB90" s="51"/>
      <c r="BC90" s="52">
        <f t="shared" si="12"/>
        <v>40266330090</v>
      </c>
      <c r="BD90" s="51"/>
      <c r="BE90" s="51"/>
      <c r="BF90" s="51">
        <v>209836507</v>
      </c>
      <c r="BG90" s="51"/>
      <c r="BH90" s="51"/>
      <c r="BI90" s="51">
        <v>6160737358</v>
      </c>
      <c r="BJ90" s="51">
        <v>546789260</v>
      </c>
      <c r="BK90" s="51">
        <v>466782493</v>
      </c>
      <c r="BL90" s="51">
        <v>1093633800</v>
      </c>
      <c r="BM90" s="51"/>
      <c r="BN90" s="51"/>
      <c r="BO90" s="51"/>
      <c r="BP90" s="52">
        <v>48744109508</v>
      </c>
      <c r="BQ90" s="52"/>
      <c r="BR90" s="52"/>
      <c r="BS90" s="52">
        <v>209836507</v>
      </c>
      <c r="BT90" s="52"/>
      <c r="BU90" s="52"/>
      <c r="BV90" s="52"/>
      <c r="BW90" s="52">
        <v>5311122388</v>
      </c>
      <c r="BX90" s="52"/>
      <c r="BY90" s="52">
        <v>2282974208</v>
      </c>
      <c r="BZ90" s="52">
        <v>372731379</v>
      </c>
      <c r="CA90" s="52">
        <v>978724267</v>
      </c>
      <c r="CB90" s="52"/>
      <c r="CC90" s="52"/>
      <c r="CD90" s="52"/>
      <c r="CE90" s="52"/>
      <c r="CF90" s="52"/>
      <c r="CG90" s="52">
        <f t="shared" si="13"/>
        <v>57899498257</v>
      </c>
      <c r="CH90" s="52"/>
      <c r="CI90" s="52"/>
      <c r="CJ90" s="52">
        <v>209836507</v>
      </c>
      <c r="CK90" s="52"/>
      <c r="CL90" s="52">
        <v>5355365050</v>
      </c>
      <c r="CM90" s="52">
        <v>54428439</v>
      </c>
      <c r="CN90" s="52">
        <v>375204774</v>
      </c>
      <c r="CO90" s="52">
        <v>679685807</v>
      </c>
      <c r="CP90" s="52"/>
      <c r="CQ90" s="52"/>
      <c r="CR90" s="52"/>
      <c r="CS90" s="52">
        <f t="shared" si="10"/>
        <v>64574018834</v>
      </c>
      <c r="CT90" s="53">
        <v>61862592216</v>
      </c>
      <c r="CU90" s="53">
        <f t="shared" si="11"/>
        <v>2711426618</v>
      </c>
      <c r="CV90" s="54">
        <f t="shared" si="14"/>
        <v>64574018834</v>
      </c>
      <c r="CW90" s="55">
        <f t="shared" si="15"/>
        <v>0</v>
      </c>
      <c r="CX90" s="16"/>
      <c r="CY90" s="16"/>
      <c r="CZ90" s="16"/>
    </row>
    <row r="91" spans="1:108" ht="15" customHeight="1" x14ac:dyDescent="0.2">
      <c r="A91" s="1">
        <v>8000992233</v>
      </c>
      <c r="B91" s="1">
        <v>800099223</v>
      </c>
      <c r="C91" s="9">
        <v>217844078</v>
      </c>
      <c r="D91" s="10" t="s">
        <v>631</v>
      </c>
      <c r="E91" s="46" t="s">
        <v>1649</v>
      </c>
      <c r="F91" s="21"/>
      <c r="G91" s="50"/>
      <c r="H91" s="21"/>
      <c r="I91" s="50"/>
      <c r="J91" s="21"/>
      <c r="K91" s="21"/>
      <c r="L91" s="50"/>
      <c r="M91" s="51"/>
      <c r="N91" s="21"/>
      <c r="O91" s="50"/>
      <c r="P91" s="21"/>
      <c r="Q91" s="50"/>
      <c r="R91" s="21"/>
      <c r="S91" s="21"/>
      <c r="T91" s="50"/>
      <c r="U91" s="51">
        <f t="shared" si="9"/>
        <v>0</v>
      </c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>
        <v>469735072</v>
      </c>
      <c r="AN91" s="51">
        <f>SUBTOTAL(9,AC91:AM91)</f>
        <v>469735072</v>
      </c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>
        <v>273693945</v>
      </c>
      <c r="AZ91" s="51"/>
      <c r="BA91" s="51"/>
      <c r="BB91" s="51">
        <f>VLOOKUP(B91,'[2]anuladas en mayo gratuidad}'!K$2:L$55,2,0)</f>
        <v>135086254</v>
      </c>
      <c r="BC91" s="52">
        <f t="shared" si="12"/>
        <v>608342763</v>
      </c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>
        <v>54738789</v>
      </c>
      <c r="BO91" s="51">
        <v>135086254</v>
      </c>
      <c r="BP91" s="52">
        <v>798167806</v>
      </c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>
        <v>54738789</v>
      </c>
      <c r="CD91" s="52"/>
      <c r="CE91" s="52">
        <v>43129884</v>
      </c>
      <c r="CF91" s="52"/>
      <c r="CG91" s="52">
        <f t="shared" si="13"/>
        <v>896036479</v>
      </c>
      <c r="CH91" s="52"/>
      <c r="CI91" s="52"/>
      <c r="CJ91" s="52"/>
      <c r="CK91" s="52"/>
      <c r="CL91" s="52"/>
      <c r="CM91" s="52"/>
      <c r="CN91" s="52"/>
      <c r="CO91" s="52"/>
      <c r="CP91" s="52"/>
      <c r="CQ91" s="52">
        <v>54738789</v>
      </c>
      <c r="CR91" s="52"/>
      <c r="CS91" s="52">
        <f t="shared" si="10"/>
        <v>950775268</v>
      </c>
      <c r="CT91" s="53">
        <v>437910312</v>
      </c>
      <c r="CU91" s="53">
        <f t="shared" si="11"/>
        <v>512864956</v>
      </c>
      <c r="CV91" s="54">
        <f t="shared" si="14"/>
        <v>950775268</v>
      </c>
      <c r="CW91" s="55">
        <f t="shared" si="15"/>
        <v>0</v>
      </c>
      <c r="CX91" s="16"/>
      <c r="CY91" s="16"/>
      <c r="CZ91" s="16"/>
    </row>
    <row r="92" spans="1:108" ht="15" customHeight="1" x14ac:dyDescent="0.2">
      <c r="A92" s="1">
        <v>8000159911</v>
      </c>
      <c r="B92" s="1">
        <v>800015991</v>
      </c>
      <c r="C92" s="9">
        <v>217413074</v>
      </c>
      <c r="D92" s="10" t="s">
        <v>185</v>
      </c>
      <c r="E92" s="46" t="s">
        <v>1215</v>
      </c>
      <c r="F92" s="21"/>
      <c r="G92" s="50"/>
      <c r="H92" s="21"/>
      <c r="I92" s="50"/>
      <c r="J92" s="21"/>
      <c r="K92" s="21"/>
      <c r="L92" s="50"/>
      <c r="M92" s="51"/>
      <c r="N92" s="21"/>
      <c r="O92" s="50"/>
      <c r="P92" s="21"/>
      <c r="Q92" s="50"/>
      <c r="R92" s="21"/>
      <c r="S92" s="21"/>
      <c r="T92" s="50"/>
      <c r="U92" s="51">
        <f t="shared" si="9"/>
        <v>0</v>
      </c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>
        <v>198042156</v>
      </c>
      <c r="AN92" s="51">
        <f>SUBTOTAL(9,AC92:AM92)</f>
        <v>198042156</v>
      </c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>
        <f>VLOOKUP(B92,[1]Hoja3!J$3:K$674,2,0)</f>
        <v>142909106</v>
      </c>
      <c r="BB92" s="51"/>
      <c r="BC92" s="52">
        <f t="shared" si="12"/>
        <v>340951262</v>
      </c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>
        <v>0</v>
      </c>
      <c r="BO92" s="51"/>
      <c r="BP92" s="52">
        <v>340951262</v>
      </c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>
        <v>0</v>
      </c>
      <c r="CD92" s="52"/>
      <c r="CE92" s="52">
        <v>32320294</v>
      </c>
      <c r="CF92" s="52"/>
      <c r="CG92" s="52">
        <f t="shared" si="13"/>
        <v>373271556</v>
      </c>
      <c r="CH92" s="52"/>
      <c r="CI92" s="52"/>
      <c r="CJ92" s="52"/>
      <c r="CK92" s="52"/>
      <c r="CL92" s="52"/>
      <c r="CM92" s="52"/>
      <c r="CN92" s="52"/>
      <c r="CO92" s="52"/>
      <c r="CP92" s="52"/>
      <c r="CQ92" s="52">
        <v>378070592</v>
      </c>
      <c r="CR92" s="52"/>
      <c r="CS92" s="52">
        <f t="shared" si="10"/>
        <v>751342148</v>
      </c>
      <c r="CT92" s="53">
        <v>378070592</v>
      </c>
      <c r="CU92" s="53">
        <f t="shared" si="11"/>
        <v>373271556</v>
      </c>
      <c r="CV92" s="54">
        <f t="shared" si="14"/>
        <v>751342148</v>
      </c>
      <c r="CW92" s="55">
        <f t="shared" si="15"/>
        <v>0</v>
      </c>
      <c r="CX92" s="16"/>
      <c r="CY92" s="16"/>
      <c r="CZ92" s="8"/>
      <c r="DA92" s="8"/>
      <c r="DB92" s="8"/>
      <c r="DC92" s="8"/>
      <c r="DD92" s="8"/>
    </row>
    <row r="93" spans="1:108" ht="15" customHeight="1" x14ac:dyDescent="0.2">
      <c r="A93" s="1">
        <v>8000965764</v>
      </c>
      <c r="B93" s="1">
        <v>800096576</v>
      </c>
      <c r="C93" s="9">
        <v>214520045</v>
      </c>
      <c r="D93" s="10" t="s">
        <v>416</v>
      </c>
      <c r="E93" s="46" t="s">
        <v>1444</v>
      </c>
      <c r="F93" s="21"/>
      <c r="G93" s="50"/>
      <c r="H93" s="21"/>
      <c r="I93" s="50"/>
      <c r="J93" s="21"/>
      <c r="K93" s="21"/>
      <c r="L93" s="50"/>
      <c r="M93" s="51"/>
      <c r="N93" s="21"/>
      <c r="O93" s="50"/>
      <c r="P93" s="21"/>
      <c r="Q93" s="50"/>
      <c r="R93" s="21"/>
      <c r="S93" s="21"/>
      <c r="T93" s="50"/>
      <c r="U93" s="51">
        <f t="shared" si="9"/>
        <v>0</v>
      </c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>
        <v>206076010</v>
      </c>
      <c r="AZ93" s="51"/>
      <c r="BA93" s="51">
        <f>VLOOKUP(B93,[1]Hoja3!J$3:K$674,2,0)</f>
        <v>397998522</v>
      </c>
      <c r="BB93" s="51"/>
      <c r="BC93" s="52">
        <f t="shared" si="12"/>
        <v>604074532</v>
      </c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>
        <v>41215202</v>
      </c>
      <c r="BO93" s="51"/>
      <c r="BP93" s="52">
        <v>645289734</v>
      </c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>
        <v>41215202</v>
      </c>
      <c r="CD93" s="52"/>
      <c r="CE93" s="52"/>
      <c r="CF93" s="52"/>
      <c r="CG93" s="52">
        <f t="shared" si="13"/>
        <v>686504936</v>
      </c>
      <c r="CH93" s="52"/>
      <c r="CI93" s="52"/>
      <c r="CJ93" s="52"/>
      <c r="CK93" s="52"/>
      <c r="CL93" s="52"/>
      <c r="CM93" s="52"/>
      <c r="CN93" s="52"/>
      <c r="CO93" s="52"/>
      <c r="CP93" s="52"/>
      <c r="CQ93" s="52">
        <v>41215202</v>
      </c>
      <c r="CR93" s="52"/>
      <c r="CS93" s="52">
        <f t="shared" si="10"/>
        <v>727720138</v>
      </c>
      <c r="CT93" s="53">
        <v>329721616</v>
      </c>
      <c r="CU93" s="53">
        <f t="shared" si="11"/>
        <v>397998522</v>
      </c>
      <c r="CV93" s="54">
        <f t="shared" si="14"/>
        <v>727720138</v>
      </c>
      <c r="CW93" s="55">
        <f t="shared" si="15"/>
        <v>0</v>
      </c>
      <c r="CX93" s="16"/>
      <c r="CY93" s="16"/>
      <c r="CZ93" s="16"/>
    </row>
    <row r="94" spans="1:108" ht="15" customHeight="1" x14ac:dyDescent="0.2">
      <c r="A94" s="1">
        <v>8908026509</v>
      </c>
      <c r="B94" s="1">
        <v>890802650</v>
      </c>
      <c r="C94" s="9">
        <v>218817088</v>
      </c>
      <c r="D94" s="10" t="s">
        <v>339</v>
      </c>
      <c r="E94" s="46" t="s">
        <v>1370</v>
      </c>
      <c r="F94" s="21"/>
      <c r="G94" s="50"/>
      <c r="H94" s="21"/>
      <c r="I94" s="50"/>
      <c r="J94" s="21"/>
      <c r="K94" s="21"/>
      <c r="L94" s="50"/>
      <c r="M94" s="51"/>
      <c r="N94" s="21"/>
      <c r="O94" s="50"/>
      <c r="P94" s="21"/>
      <c r="Q94" s="50"/>
      <c r="R94" s="21"/>
      <c r="S94" s="21"/>
      <c r="T94" s="50"/>
      <c r="U94" s="51">
        <f t="shared" si="9"/>
        <v>0</v>
      </c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>
        <v>152347637</v>
      </c>
      <c r="AN94" s="51">
        <f>SUBTOTAL(9,AC94:AM94)</f>
        <v>152347637</v>
      </c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>
        <v>74387370</v>
      </c>
      <c r="AZ94" s="51"/>
      <c r="BA94" s="51"/>
      <c r="BB94" s="51">
        <f>VLOOKUP(B94,'[2]anuladas en mayo gratuidad}'!K$2:L$55,2,0)</f>
        <v>35001709</v>
      </c>
      <c r="BC94" s="52">
        <f t="shared" si="12"/>
        <v>191733298</v>
      </c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>
        <v>14877474</v>
      </c>
      <c r="BO94" s="51"/>
      <c r="BP94" s="52">
        <v>206610772</v>
      </c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>
        <v>14877474</v>
      </c>
      <c r="CD94" s="52"/>
      <c r="CE94" s="52"/>
      <c r="CF94" s="52"/>
      <c r="CG94" s="52">
        <f t="shared" si="13"/>
        <v>221488246</v>
      </c>
      <c r="CH94" s="52"/>
      <c r="CI94" s="52"/>
      <c r="CJ94" s="52"/>
      <c r="CK94" s="52"/>
      <c r="CL94" s="52"/>
      <c r="CM94" s="52"/>
      <c r="CN94" s="52"/>
      <c r="CO94" s="52"/>
      <c r="CP94" s="52"/>
      <c r="CQ94" s="52">
        <v>14877474</v>
      </c>
      <c r="CR94" s="52">
        <v>35001709</v>
      </c>
      <c r="CS94" s="52">
        <f t="shared" si="10"/>
        <v>271367429</v>
      </c>
      <c r="CT94" s="53">
        <v>119019792</v>
      </c>
      <c r="CU94" s="53">
        <f t="shared" si="11"/>
        <v>152347637</v>
      </c>
      <c r="CV94" s="54">
        <f t="shared" si="14"/>
        <v>271367429</v>
      </c>
      <c r="CW94" s="55">
        <f t="shared" si="15"/>
        <v>0</v>
      </c>
      <c r="CX94" s="16"/>
      <c r="CY94" s="16"/>
      <c r="CZ94" s="16"/>
    </row>
    <row r="95" spans="1:108" ht="15" customHeight="1" x14ac:dyDescent="0.2">
      <c r="A95" s="1">
        <v>8000957347</v>
      </c>
      <c r="B95" s="1">
        <v>800095734</v>
      </c>
      <c r="C95" s="9">
        <v>219418094</v>
      </c>
      <c r="D95" s="10" t="s">
        <v>2196</v>
      </c>
      <c r="E95" s="46" t="s">
        <v>1392</v>
      </c>
      <c r="F95" s="21"/>
      <c r="G95" s="50"/>
      <c r="H95" s="21"/>
      <c r="I95" s="50"/>
      <c r="J95" s="21"/>
      <c r="K95" s="21"/>
      <c r="L95" s="50"/>
      <c r="M95" s="51"/>
      <c r="N95" s="21"/>
      <c r="O95" s="50"/>
      <c r="P95" s="21"/>
      <c r="Q95" s="50"/>
      <c r="R95" s="21"/>
      <c r="S95" s="21"/>
      <c r="T95" s="50"/>
      <c r="U95" s="51">
        <f t="shared" si="9"/>
        <v>0</v>
      </c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>
        <v>95872655</v>
      </c>
      <c r="AZ95" s="51"/>
      <c r="BA95" s="51">
        <f>VLOOKUP(B95,[1]Hoja3!J$3:K$674,2,0)</f>
        <v>189491410</v>
      </c>
      <c r="BB95" s="51"/>
      <c r="BC95" s="52">
        <f t="shared" si="12"/>
        <v>285364065</v>
      </c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>
        <v>19174531</v>
      </c>
      <c r="BO95" s="51"/>
      <c r="BP95" s="52">
        <v>304538596</v>
      </c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>
        <v>19174531</v>
      </c>
      <c r="CD95" s="52"/>
      <c r="CE95" s="52"/>
      <c r="CF95" s="52"/>
      <c r="CG95" s="52">
        <f t="shared" si="13"/>
        <v>323713127</v>
      </c>
      <c r="CH95" s="52"/>
      <c r="CI95" s="52"/>
      <c r="CJ95" s="52"/>
      <c r="CK95" s="52"/>
      <c r="CL95" s="52"/>
      <c r="CM95" s="52"/>
      <c r="CN95" s="52"/>
      <c r="CO95" s="52"/>
      <c r="CP95" s="52"/>
      <c r="CQ95" s="52">
        <v>19174531</v>
      </c>
      <c r="CR95" s="52"/>
      <c r="CS95" s="52">
        <f t="shared" si="10"/>
        <v>342887658</v>
      </c>
      <c r="CT95" s="53">
        <v>153396248</v>
      </c>
      <c r="CU95" s="53">
        <f t="shared" si="11"/>
        <v>189491410</v>
      </c>
      <c r="CV95" s="54">
        <f t="shared" si="14"/>
        <v>342887658</v>
      </c>
      <c r="CW95" s="55">
        <f t="shared" si="15"/>
        <v>0</v>
      </c>
      <c r="CX95" s="16"/>
      <c r="CY95" s="16"/>
      <c r="CZ95" s="16"/>
    </row>
    <row r="96" spans="1:108" ht="15" customHeight="1" x14ac:dyDescent="0.2">
      <c r="A96" s="1">
        <v>8914800248</v>
      </c>
      <c r="B96" s="1">
        <v>891480024</v>
      </c>
      <c r="C96" s="9">
        <v>218866088</v>
      </c>
      <c r="D96" s="10" t="s">
        <v>802</v>
      </c>
      <c r="E96" s="46" t="s">
        <v>1819</v>
      </c>
      <c r="F96" s="21"/>
      <c r="G96" s="50"/>
      <c r="H96" s="21"/>
      <c r="I96" s="50"/>
      <c r="J96" s="21"/>
      <c r="K96" s="21"/>
      <c r="L96" s="50"/>
      <c r="M96" s="51"/>
      <c r="N96" s="21"/>
      <c r="O96" s="50"/>
      <c r="P96" s="21"/>
      <c r="Q96" s="50"/>
      <c r="R96" s="21"/>
      <c r="S96" s="21"/>
      <c r="T96" s="50"/>
      <c r="U96" s="51">
        <f t="shared" si="9"/>
        <v>0</v>
      </c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>
        <v>300431057</v>
      </c>
      <c r="AN96" s="51">
        <f>SUBTOTAL(9,AC96:AM96)</f>
        <v>300431057</v>
      </c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>
        <v>179588295</v>
      </c>
      <c r="AZ96" s="51"/>
      <c r="BA96" s="51">
        <f>VLOOKUP(B96,[1]Hoja3!J$3:K$674,2,0)</f>
        <v>47960209</v>
      </c>
      <c r="BB96" s="51"/>
      <c r="BC96" s="52">
        <f t="shared" si="12"/>
        <v>527979561</v>
      </c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>
        <v>35917659</v>
      </c>
      <c r="BO96" s="51"/>
      <c r="BP96" s="52">
        <v>563897220</v>
      </c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>
        <v>35917659</v>
      </c>
      <c r="CD96" s="52"/>
      <c r="CE96" s="52"/>
      <c r="CF96" s="52"/>
      <c r="CG96" s="52">
        <f t="shared" si="13"/>
        <v>599814879</v>
      </c>
      <c r="CH96" s="52"/>
      <c r="CI96" s="52"/>
      <c r="CJ96" s="52"/>
      <c r="CK96" s="52"/>
      <c r="CL96" s="52"/>
      <c r="CM96" s="52"/>
      <c r="CN96" s="52"/>
      <c r="CO96" s="52"/>
      <c r="CP96" s="52"/>
      <c r="CQ96" s="52">
        <v>35917659</v>
      </c>
      <c r="CR96" s="52"/>
      <c r="CS96" s="52">
        <f t="shared" si="10"/>
        <v>635732538</v>
      </c>
      <c r="CT96" s="53">
        <v>287341272</v>
      </c>
      <c r="CU96" s="53">
        <f t="shared" si="11"/>
        <v>348391266</v>
      </c>
      <c r="CV96" s="54">
        <f t="shared" si="14"/>
        <v>635732538</v>
      </c>
      <c r="CW96" s="55">
        <f t="shared" si="15"/>
        <v>0</v>
      </c>
      <c r="CX96" s="16"/>
      <c r="CY96" s="16"/>
      <c r="CZ96" s="16"/>
    </row>
    <row r="97" spans="1:108" ht="15" customHeight="1" x14ac:dyDescent="0.2">
      <c r="A97" s="1">
        <v>8000991994</v>
      </c>
      <c r="B97" s="1">
        <v>800099199</v>
      </c>
      <c r="C97" s="9">
        <v>218715087</v>
      </c>
      <c r="D97" s="10" t="s">
        <v>221</v>
      </c>
      <c r="E97" s="46" t="s">
        <v>1256</v>
      </c>
      <c r="F97" s="21"/>
      <c r="G97" s="50"/>
      <c r="H97" s="21"/>
      <c r="I97" s="50"/>
      <c r="J97" s="21"/>
      <c r="K97" s="21"/>
      <c r="L97" s="50"/>
      <c r="M97" s="51"/>
      <c r="N97" s="21"/>
      <c r="O97" s="50"/>
      <c r="P97" s="21"/>
      <c r="Q97" s="50"/>
      <c r="R97" s="21"/>
      <c r="S97" s="21"/>
      <c r="T97" s="50"/>
      <c r="U97" s="51">
        <f t="shared" si="9"/>
        <v>0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>
        <v>57328395</v>
      </c>
      <c r="AZ97" s="51"/>
      <c r="BA97" s="51">
        <f>VLOOKUP(B97,[1]Hoja3!J$3:K$674,2,0)</f>
        <v>134506122</v>
      </c>
      <c r="BB97" s="51"/>
      <c r="BC97" s="52">
        <f t="shared" si="12"/>
        <v>191834517</v>
      </c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>
        <v>11465679</v>
      </c>
      <c r="BO97" s="51"/>
      <c r="BP97" s="52">
        <v>203300196</v>
      </c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>
        <v>11465679</v>
      </c>
      <c r="CD97" s="52"/>
      <c r="CE97" s="52"/>
      <c r="CF97" s="52"/>
      <c r="CG97" s="52">
        <f t="shared" si="13"/>
        <v>214765875</v>
      </c>
      <c r="CH97" s="52"/>
      <c r="CI97" s="52"/>
      <c r="CJ97" s="52"/>
      <c r="CK97" s="52"/>
      <c r="CL97" s="52"/>
      <c r="CM97" s="52"/>
      <c r="CN97" s="52"/>
      <c r="CO97" s="52"/>
      <c r="CP97" s="52"/>
      <c r="CQ97" s="52">
        <v>11465679</v>
      </c>
      <c r="CR97" s="52"/>
      <c r="CS97" s="52">
        <f t="shared" si="10"/>
        <v>226231554</v>
      </c>
      <c r="CT97" s="53">
        <v>91725432</v>
      </c>
      <c r="CU97" s="53">
        <f t="shared" si="11"/>
        <v>134506122</v>
      </c>
      <c r="CV97" s="54">
        <f t="shared" si="14"/>
        <v>226231554</v>
      </c>
      <c r="CW97" s="55">
        <f t="shared" si="15"/>
        <v>0</v>
      </c>
      <c r="CX97" s="16"/>
      <c r="CY97" s="16"/>
      <c r="CZ97" s="8"/>
      <c r="DA97" s="8"/>
      <c r="DB97" s="8"/>
      <c r="DC97" s="8"/>
      <c r="DD97" s="8"/>
    </row>
    <row r="98" spans="1:108" ht="15" customHeight="1" x14ac:dyDescent="0.2">
      <c r="A98" s="1">
        <v>8000354821</v>
      </c>
      <c r="B98" s="1">
        <v>800035482</v>
      </c>
      <c r="C98" s="9">
        <v>218352083</v>
      </c>
      <c r="D98" s="10" t="s">
        <v>697</v>
      </c>
      <c r="E98" s="46" t="s">
        <v>1719</v>
      </c>
      <c r="F98" s="21"/>
      <c r="G98" s="50"/>
      <c r="H98" s="21"/>
      <c r="I98" s="50"/>
      <c r="J98" s="21"/>
      <c r="K98" s="21"/>
      <c r="L98" s="50"/>
      <c r="M98" s="51"/>
      <c r="N98" s="21"/>
      <c r="O98" s="50"/>
      <c r="P98" s="21"/>
      <c r="Q98" s="50"/>
      <c r="R98" s="21"/>
      <c r="S98" s="21"/>
      <c r="T98" s="50"/>
      <c r="U98" s="51">
        <f t="shared" si="9"/>
        <v>0</v>
      </c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>
        <v>53437905</v>
      </c>
      <c r="AZ98" s="51"/>
      <c r="BA98" s="51">
        <f>VLOOKUP(B98,[1]Hoja3!J$3:K$674,2,0)</f>
        <v>86353026</v>
      </c>
      <c r="BB98" s="51"/>
      <c r="BC98" s="52">
        <f t="shared" si="12"/>
        <v>139790931</v>
      </c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>
        <v>10687581</v>
      </c>
      <c r="BO98" s="51"/>
      <c r="BP98" s="52">
        <v>150478512</v>
      </c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>
        <v>10687581</v>
      </c>
      <c r="CD98" s="52"/>
      <c r="CE98" s="52"/>
      <c r="CF98" s="52"/>
      <c r="CG98" s="52">
        <f t="shared" si="13"/>
        <v>161166093</v>
      </c>
      <c r="CH98" s="52"/>
      <c r="CI98" s="52"/>
      <c r="CJ98" s="52"/>
      <c r="CK98" s="52"/>
      <c r="CL98" s="52"/>
      <c r="CM98" s="52"/>
      <c r="CN98" s="52"/>
      <c r="CO98" s="52"/>
      <c r="CP98" s="52"/>
      <c r="CQ98" s="52">
        <v>10687581</v>
      </c>
      <c r="CR98" s="52"/>
      <c r="CS98" s="52">
        <f t="shared" si="10"/>
        <v>171853674</v>
      </c>
      <c r="CT98" s="53">
        <v>85500648</v>
      </c>
      <c r="CU98" s="53">
        <f t="shared" si="11"/>
        <v>86353026</v>
      </c>
      <c r="CV98" s="54">
        <f t="shared" si="14"/>
        <v>171853674</v>
      </c>
      <c r="CW98" s="55">
        <f t="shared" si="15"/>
        <v>0</v>
      </c>
      <c r="CX98" s="16"/>
      <c r="CY98" s="16"/>
      <c r="CZ98" s="16"/>
    </row>
    <row r="99" spans="1:108" ht="15" customHeight="1" x14ac:dyDescent="0.2">
      <c r="A99" s="1">
        <v>8909801121</v>
      </c>
      <c r="B99" s="1">
        <v>890980112</v>
      </c>
      <c r="C99" s="9">
        <v>218805088</v>
      </c>
      <c r="D99" s="10" t="s">
        <v>2143</v>
      </c>
      <c r="E99" s="47" t="s">
        <v>1050</v>
      </c>
      <c r="F99" s="21"/>
      <c r="G99" s="50"/>
      <c r="H99" s="21"/>
      <c r="I99" s="50">
        <f>6249096014+191262711</f>
        <v>6440358725</v>
      </c>
      <c r="J99" s="21">
        <v>427563890</v>
      </c>
      <c r="K99" s="21">
        <v>847939324</v>
      </c>
      <c r="L99" s="50"/>
      <c r="M99" s="52">
        <f>SUM(F99:L99)</f>
        <v>7715861939</v>
      </c>
      <c r="N99" s="21"/>
      <c r="O99" s="50"/>
      <c r="P99" s="21"/>
      <c r="Q99" s="50">
        <f>6031580244+86937596</f>
        <v>6118517840</v>
      </c>
      <c r="R99" s="21">
        <v>427858461</v>
      </c>
      <c r="S99" s="21">
        <f>420375434+427858461</f>
        <v>848233895</v>
      </c>
      <c r="T99" s="50"/>
      <c r="U99" s="51">
        <f t="shared" si="9"/>
        <v>15110472135</v>
      </c>
      <c r="V99" s="51"/>
      <c r="W99" s="51"/>
      <c r="X99" s="51"/>
      <c r="Y99" s="51">
        <v>9761608392</v>
      </c>
      <c r="Z99" s="51">
        <v>477439030</v>
      </c>
      <c r="AA99" s="51">
        <v>1029965284</v>
      </c>
      <c r="AB99" s="51"/>
      <c r="AC99" s="51">
        <f t="shared" si="16"/>
        <v>26379484841</v>
      </c>
      <c r="AD99" s="51"/>
      <c r="AE99" s="51"/>
      <c r="AF99" s="51"/>
      <c r="AG99" s="51"/>
      <c r="AH99" s="51">
        <v>6602137430</v>
      </c>
      <c r="AI99" s="51">
        <v>4213674499</v>
      </c>
      <c r="AJ99" s="51">
        <v>446291649</v>
      </c>
      <c r="AK99" s="51">
        <v>1124721814</v>
      </c>
      <c r="AL99" s="51"/>
      <c r="AM99" s="51">
        <v>3600406214</v>
      </c>
      <c r="AN99" s="51">
        <f>SUBTOTAL(9,AC99:AM99)</f>
        <v>42366716447</v>
      </c>
      <c r="AO99" s="51"/>
      <c r="AP99" s="51"/>
      <c r="AQ99" s="51">
        <v>1156544985</v>
      </c>
      <c r="AR99" s="51"/>
      <c r="AS99" s="51"/>
      <c r="AT99" s="51">
        <v>6602137430</v>
      </c>
      <c r="AU99" s="51"/>
      <c r="AV99" s="51">
        <v>446291649</v>
      </c>
      <c r="AW99" s="51">
        <v>761995588</v>
      </c>
      <c r="AX99" s="51"/>
      <c r="AY99" s="51"/>
      <c r="AZ99" s="51">
        <v>1504499642</v>
      </c>
      <c r="BA99" s="51">
        <f>VLOOKUP(B99,[1]Hoja3!J$3:K$674,2,0)</f>
        <v>82077315</v>
      </c>
      <c r="BB99" s="51">
        <f>VLOOKUP(B99,'[2]anuladas en mayo gratuidad}'!K$2:L$55,2,0)</f>
        <v>235188823</v>
      </c>
      <c r="BC99" s="52">
        <f t="shared" si="12"/>
        <v>52685074233</v>
      </c>
      <c r="BD99" s="51"/>
      <c r="BE99" s="51"/>
      <c r="BF99" s="51">
        <v>231308997</v>
      </c>
      <c r="BG99" s="51"/>
      <c r="BH99" s="51"/>
      <c r="BI99" s="51">
        <v>6071606068</v>
      </c>
      <c r="BJ99" s="51">
        <v>295414170</v>
      </c>
      <c r="BK99" s="51">
        <v>363732924</v>
      </c>
      <c r="BL99" s="51">
        <v>851534075</v>
      </c>
      <c r="BM99" s="51"/>
      <c r="BN99" s="51"/>
      <c r="BO99" s="51"/>
      <c r="BP99" s="52">
        <v>60498670467</v>
      </c>
      <c r="BQ99" s="52"/>
      <c r="BR99" s="52"/>
      <c r="BS99" s="52">
        <v>231308997</v>
      </c>
      <c r="BT99" s="52"/>
      <c r="BU99" s="52"/>
      <c r="BV99" s="52"/>
      <c r="BW99" s="52">
        <v>6135765728</v>
      </c>
      <c r="BX99" s="52">
        <v>2003548143</v>
      </c>
      <c r="BY99" s="52">
        <v>2825777071</v>
      </c>
      <c r="BZ99" s="52">
        <v>457159276</v>
      </c>
      <c r="CA99" s="52">
        <v>1172209281</v>
      </c>
      <c r="CB99" s="52"/>
      <c r="CC99" s="52"/>
      <c r="CD99" s="52"/>
      <c r="CE99" s="52">
        <v>160590339</v>
      </c>
      <c r="CF99" s="52"/>
      <c r="CG99" s="52">
        <f t="shared" si="13"/>
        <v>73485029302</v>
      </c>
      <c r="CH99" s="52"/>
      <c r="CI99" s="52"/>
      <c r="CJ99" s="52">
        <v>231308997</v>
      </c>
      <c r="CK99" s="52"/>
      <c r="CL99" s="52">
        <v>6264004288</v>
      </c>
      <c r="CM99" s="52">
        <v>1179146507</v>
      </c>
      <c r="CN99" s="52">
        <v>451042448</v>
      </c>
      <c r="CO99" s="52">
        <v>815014631</v>
      </c>
      <c r="CP99" s="52"/>
      <c r="CQ99" s="52"/>
      <c r="CR99" s="52">
        <v>74598484</v>
      </c>
      <c r="CS99" s="52">
        <f t="shared" si="10"/>
        <v>82500144657</v>
      </c>
      <c r="CT99" s="53">
        <v>78817661128</v>
      </c>
      <c r="CU99" s="53">
        <f t="shared" si="11"/>
        <v>3682483529</v>
      </c>
      <c r="CV99" s="54">
        <f t="shared" si="14"/>
        <v>82500144657</v>
      </c>
      <c r="CW99" s="55">
        <f t="shared" si="15"/>
        <v>0</v>
      </c>
      <c r="CX99" s="16"/>
      <c r="CY99" s="16"/>
      <c r="CZ99" s="16"/>
    </row>
    <row r="100" spans="1:108" ht="15" customHeight="1" x14ac:dyDescent="0.2">
      <c r="A100" s="1">
        <v>8909818802</v>
      </c>
      <c r="B100" s="1">
        <v>890981880</v>
      </c>
      <c r="C100" s="9">
        <v>218605086</v>
      </c>
      <c r="D100" s="10" t="s">
        <v>59</v>
      </c>
      <c r="E100" s="46" t="s">
        <v>1090</v>
      </c>
      <c r="F100" s="21"/>
      <c r="G100" s="50"/>
      <c r="H100" s="21"/>
      <c r="I100" s="50"/>
      <c r="J100" s="21"/>
      <c r="K100" s="21"/>
      <c r="L100" s="50"/>
      <c r="M100" s="51"/>
      <c r="N100" s="21"/>
      <c r="O100" s="50"/>
      <c r="P100" s="21"/>
      <c r="Q100" s="50"/>
      <c r="R100" s="21"/>
      <c r="S100" s="21"/>
      <c r="T100" s="50"/>
      <c r="U100" s="51">
        <f t="shared" si="9"/>
        <v>0</v>
      </c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>
        <v>39748788</v>
      </c>
      <c r="AN100" s="51">
        <f>SUBTOTAL(9,AC100:AM100)</f>
        <v>39748788</v>
      </c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>
        <v>43980605</v>
      </c>
      <c r="AZ100" s="51"/>
      <c r="BA100" s="51">
        <f>VLOOKUP(B100,[1]Hoja3!J$3:K$674,2,0)</f>
        <v>77255401</v>
      </c>
      <c r="BB100" s="51"/>
      <c r="BC100" s="52">
        <f t="shared" si="12"/>
        <v>160984794</v>
      </c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>
        <v>8796121</v>
      </c>
      <c r="BO100" s="51"/>
      <c r="BP100" s="52">
        <v>169780915</v>
      </c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>
        <v>8796121</v>
      </c>
      <c r="CD100" s="52"/>
      <c r="CE100" s="52"/>
      <c r="CF100" s="52"/>
      <c r="CG100" s="52">
        <f t="shared" si="13"/>
        <v>178577036</v>
      </c>
      <c r="CH100" s="52"/>
      <c r="CI100" s="52"/>
      <c r="CJ100" s="52"/>
      <c r="CK100" s="52"/>
      <c r="CL100" s="52"/>
      <c r="CM100" s="52"/>
      <c r="CN100" s="52"/>
      <c r="CO100" s="52"/>
      <c r="CP100" s="52"/>
      <c r="CQ100" s="52">
        <v>8796121</v>
      </c>
      <c r="CR100" s="52"/>
      <c r="CS100" s="52">
        <f t="shared" si="10"/>
        <v>187373157</v>
      </c>
      <c r="CT100" s="53">
        <v>70368968</v>
      </c>
      <c r="CU100" s="53">
        <f t="shared" si="11"/>
        <v>117004189</v>
      </c>
      <c r="CV100" s="54">
        <f t="shared" si="14"/>
        <v>187373157</v>
      </c>
      <c r="CW100" s="55">
        <f t="shared" si="15"/>
        <v>0</v>
      </c>
      <c r="CX100" s="16"/>
      <c r="CY100" s="16"/>
      <c r="CZ100" s="16"/>
    </row>
    <row r="101" spans="1:108" ht="15" customHeight="1" x14ac:dyDescent="0.2">
      <c r="A101" s="1">
        <v>8000946240</v>
      </c>
      <c r="B101" s="1">
        <v>800094624</v>
      </c>
      <c r="C101" s="9">
        <v>218625086</v>
      </c>
      <c r="D101" s="10" t="s">
        <v>465</v>
      </c>
      <c r="E101" s="46" t="s">
        <v>1492</v>
      </c>
      <c r="F101" s="21"/>
      <c r="G101" s="50"/>
      <c r="H101" s="21"/>
      <c r="I101" s="50"/>
      <c r="J101" s="21"/>
      <c r="K101" s="21"/>
      <c r="L101" s="50"/>
      <c r="M101" s="51"/>
      <c r="N101" s="21"/>
      <c r="O101" s="50"/>
      <c r="P101" s="21"/>
      <c r="Q101" s="50"/>
      <c r="R101" s="21"/>
      <c r="S101" s="21"/>
      <c r="T101" s="50"/>
      <c r="U101" s="51">
        <f t="shared" si="9"/>
        <v>0</v>
      </c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>
        <v>37868774</v>
      </c>
      <c r="AN101" s="51">
        <f>SUBTOTAL(9,AC101:AM101)</f>
        <v>37868774</v>
      </c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2">
        <f t="shared" si="12"/>
        <v>37868774</v>
      </c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>
        <v>0</v>
      </c>
      <c r="BO101" s="51"/>
      <c r="BP101" s="52">
        <v>37868774</v>
      </c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>
        <v>0</v>
      </c>
      <c r="CD101" s="52"/>
      <c r="CE101" s="52"/>
      <c r="CF101" s="52"/>
      <c r="CG101" s="52">
        <f t="shared" si="13"/>
        <v>37868774</v>
      </c>
      <c r="CH101" s="52"/>
      <c r="CI101" s="52"/>
      <c r="CJ101" s="52"/>
      <c r="CK101" s="52"/>
      <c r="CL101" s="52"/>
      <c r="CM101" s="52"/>
      <c r="CN101" s="52"/>
      <c r="CO101" s="52"/>
      <c r="CP101" s="52"/>
      <c r="CQ101" s="52">
        <v>28504880</v>
      </c>
      <c r="CR101" s="52"/>
      <c r="CS101" s="52">
        <f t="shared" si="10"/>
        <v>66373654</v>
      </c>
      <c r="CT101" s="53">
        <v>28504880</v>
      </c>
      <c r="CU101" s="53">
        <f t="shared" si="11"/>
        <v>37868774</v>
      </c>
      <c r="CV101" s="54">
        <f t="shared" si="14"/>
        <v>66373654</v>
      </c>
      <c r="CW101" s="55">
        <f t="shared" si="15"/>
        <v>0</v>
      </c>
      <c r="CX101" s="16"/>
      <c r="CY101" s="16"/>
      <c r="CZ101" s="16"/>
    </row>
    <row r="102" spans="1:108" ht="15" customHeight="1" x14ac:dyDescent="0.2">
      <c r="A102" s="1">
        <v>8000993905</v>
      </c>
      <c r="B102" s="1">
        <v>800099390</v>
      </c>
      <c r="C102" s="9">
        <v>219015090</v>
      </c>
      <c r="D102" s="10" t="s">
        <v>222</v>
      </c>
      <c r="E102" s="46" t="s">
        <v>1257</v>
      </c>
      <c r="F102" s="21"/>
      <c r="G102" s="50"/>
      <c r="H102" s="21"/>
      <c r="I102" s="50"/>
      <c r="J102" s="21"/>
      <c r="K102" s="21"/>
      <c r="L102" s="50"/>
      <c r="M102" s="51"/>
      <c r="N102" s="21"/>
      <c r="O102" s="50"/>
      <c r="P102" s="21"/>
      <c r="Q102" s="50"/>
      <c r="R102" s="21"/>
      <c r="S102" s="21"/>
      <c r="T102" s="50"/>
      <c r="U102" s="51">
        <f t="shared" si="9"/>
        <v>0</v>
      </c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>
        <v>23403151</v>
      </c>
      <c r="AN102" s="51">
        <f>SUBTOTAL(9,AC102:AM102)</f>
        <v>23403151</v>
      </c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>
        <v>13134570</v>
      </c>
      <c r="AZ102" s="51"/>
      <c r="BA102" s="51"/>
      <c r="BB102" s="51"/>
      <c r="BC102" s="52">
        <f t="shared" si="12"/>
        <v>36537721</v>
      </c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>
        <v>2626914</v>
      </c>
      <c r="BO102" s="51"/>
      <c r="BP102" s="52">
        <v>39164635</v>
      </c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>
        <v>2626914</v>
      </c>
      <c r="CD102" s="52"/>
      <c r="CE102" s="52"/>
      <c r="CF102" s="52"/>
      <c r="CG102" s="52">
        <f t="shared" si="13"/>
        <v>41791549</v>
      </c>
      <c r="CH102" s="52"/>
      <c r="CI102" s="52"/>
      <c r="CJ102" s="52"/>
      <c r="CK102" s="52"/>
      <c r="CL102" s="52"/>
      <c r="CM102" s="52"/>
      <c r="CN102" s="52"/>
      <c r="CO102" s="52"/>
      <c r="CP102" s="52"/>
      <c r="CQ102" s="52">
        <v>2626914</v>
      </c>
      <c r="CR102" s="52"/>
      <c r="CS102" s="52">
        <f t="shared" si="10"/>
        <v>44418463</v>
      </c>
      <c r="CT102" s="53">
        <v>21015312</v>
      </c>
      <c r="CU102" s="53">
        <f t="shared" si="11"/>
        <v>23403151</v>
      </c>
      <c r="CV102" s="54">
        <f t="shared" si="14"/>
        <v>44418463</v>
      </c>
      <c r="CW102" s="55">
        <f t="shared" si="15"/>
        <v>0</v>
      </c>
      <c r="CX102" s="16"/>
      <c r="CY102" s="16"/>
      <c r="CZ102" s="8"/>
      <c r="DA102" s="8"/>
      <c r="DB102" s="8"/>
      <c r="DC102" s="8"/>
      <c r="DD102" s="8"/>
    </row>
    <row r="103" spans="1:108" ht="15" customHeight="1" x14ac:dyDescent="0.2">
      <c r="A103" s="1">
        <v>8909808023</v>
      </c>
      <c r="B103" s="1">
        <v>890980802</v>
      </c>
      <c r="C103" s="9">
        <v>219105091</v>
      </c>
      <c r="D103" s="10" t="s">
        <v>60</v>
      </c>
      <c r="E103" s="46" t="s">
        <v>1091</v>
      </c>
      <c r="F103" s="21"/>
      <c r="G103" s="50"/>
      <c r="H103" s="21"/>
      <c r="I103" s="50"/>
      <c r="J103" s="21"/>
      <c r="K103" s="21"/>
      <c r="L103" s="50"/>
      <c r="M103" s="51"/>
      <c r="N103" s="21"/>
      <c r="O103" s="50"/>
      <c r="P103" s="21"/>
      <c r="Q103" s="50"/>
      <c r="R103" s="21"/>
      <c r="S103" s="21"/>
      <c r="T103" s="50"/>
      <c r="U103" s="51">
        <f t="shared" si="9"/>
        <v>0</v>
      </c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>
        <v>57712025</v>
      </c>
      <c r="AZ103" s="51"/>
      <c r="BA103" s="51">
        <f>VLOOKUP(B103,[1]Hoja3!J$3:K$674,2,0)</f>
        <v>132657968</v>
      </c>
      <c r="BB103" s="51"/>
      <c r="BC103" s="52">
        <f t="shared" si="12"/>
        <v>190369993</v>
      </c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>
        <v>11542405</v>
      </c>
      <c r="BO103" s="51"/>
      <c r="BP103" s="52">
        <v>201912398</v>
      </c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>
        <v>11542405</v>
      </c>
      <c r="CD103" s="52"/>
      <c r="CE103" s="52"/>
      <c r="CF103" s="52"/>
      <c r="CG103" s="52">
        <f t="shared" si="13"/>
        <v>213454803</v>
      </c>
      <c r="CH103" s="52"/>
      <c r="CI103" s="52"/>
      <c r="CJ103" s="52"/>
      <c r="CK103" s="52"/>
      <c r="CL103" s="52"/>
      <c r="CM103" s="52"/>
      <c r="CN103" s="52"/>
      <c r="CO103" s="52"/>
      <c r="CP103" s="52"/>
      <c r="CQ103" s="52">
        <v>11542405</v>
      </c>
      <c r="CR103" s="52"/>
      <c r="CS103" s="52">
        <f t="shared" si="10"/>
        <v>224997208</v>
      </c>
      <c r="CT103" s="53">
        <v>92339240</v>
      </c>
      <c r="CU103" s="53">
        <f t="shared" si="11"/>
        <v>132657968</v>
      </c>
      <c r="CV103" s="54">
        <f t="shared" si="14"/>
        <v>224997208</v>
      </c>
      <c r="CW103" s="55">
        <f t="shared" si="15"/>
        <v>0</v>
      </c>
      <c r="CX103" s="16"/>
      <c r="CY103" s="16"/>
      <c r="CZ103" s="16"/>
    </row>
    <row r="104" spans="1:108" ht="15" customHeight="1" x14ac:dyDescent="0.2">
      <c r="A104" s="1">
        <v>8000172880</v>
      </c>
      <c r="B104" s="1">
        <v>800017288</v>
      </c>
      <c r="C104" s="9">
        <v>219215092</v>
      </c>
      <c r="D104" s="10" t="s">
        <v>223</v>
      </c>
      <c r="E104" s="46" t="s">
        <v>1258</v>
      </c>
      <c r="F104" s="21"/>
      <c r="G104" s="50"/>
      <c r="H104" s="21"/>
      <c r="I104" s="50"/>
      <c r="J104" s="21"/>
      <c r="K104" s="21"/>
      <c r="L104" s="50"/>
      <c r="M104" s="51"/>
      <c r="N104" s="21"/>
      <c r="O104" s="50"/>
      <c r="P104" s="21"/>
      <c r="Q104" s="50"/>
      <c r="R104" s="21"/>
      <c r="S104" s="21"/>
      <c r="T104" s="50"/>
      <c r="U104" s="51">
        <f t="shared" si="9"/>
        <v>0</v>
      </c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>
        <v>16546735</v>
      </c>
      <c r="AZ104" s="51"/>
      <c r="BA104" s="51">
        <f>VLOOKUP(B104,[1]Hoja3!J$3:K$674,2,0)</f>
        <v>24811259</v>
      </c>
      <c r="BB104" s="51"/>
      <c r="BC104" s="52">
        <f t="shared" si="12"/>
        <v>41357994</v>
      </c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>
        <v>3309347</v>
      </c>
      <c r="BO104" s="51"/>
      <c r="BP104" s="52">
        <v>44667341</v>
      </c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>
        <v>3309347</v>
      </c>
      <c r="CD104" s="52"/>
      <c r="CE104" s="52"/>
      <c r="CF104" s="52"/>
      <c r="CG104" s="52">
        <f t="shared" si="13"/>
        <v>47976688</v>
      </c>
      <c r="CH104" s="52"/>
      <c r="CI104" s="52"/>
      <c r="CJ104" s="52"/>
      <c r="CK104" s="52"/>
      <c r="CL104" s="52"/>
      <c r="CM104" s="52"/>
      <c r="CN104" s="52"/>
      <c r="CO104" s="52"/>
      <c r="CP104" s="52"/>
      <c r="CQ104" s="52">
        <v>3309347</v>
      </c>
      <c r="CR104" s="52"/>
      <c r="CS104" s="52">
        <f t="shared" si="10"/>
        <v>51286035</v>
      </c>
      <c r="CT104" s="53">
        <v>26474776</v>
      </c>
      <c r="CU104" s="53">
        <f t="shared" si="11"/>
        <v>24811259</v>
      </c>
      <c r="CV104" s="54">
        <f t="shared" si="14"/>
        <v>51286035</v>
      </c>
      <c r="CW104" s="55">
        <f t="shared" si="15"/>
        <v>0</v>
      </c>
      <c r="CX104" s="16"/>
      <c r="CY104" s="16"/>
      <c r="CZ104" s="8"/>
      <c r="DA104" s="8"/>
      <c r="DB104" s="8"/>
      <c r="DC104" s="8"/>
      <c r="DD104" s="8"/>
    </row>
    <row r="105" spans="1:108" ht="15" customHeight="1" x14ac:dyDescent="0.2">
      <c r="A105" s="1">
        <v>8909823211</v>
      </c>
      <c r="B105" s="1">
        <v>890982321</v>
      </c>
      <c r="C105" s="9">
        <v>219305093</v>
      </c>
      <c r="D105" s="10" t="s">
        <v>61</v>
      </c>
      <c r="E105" s="46" t="s">
        <v>1092</v>
      </c>
      <c r="F105" s="21"/>
      <c r="G105" s="50"/>
      <c r="H105" s="21"/>
      <c r="I105" s="50"/>
      <c r="J105" s="21"/>
      <c r="K105" s="21"/>
      <c r="L105" s="50"/>
      <c r="M105" s="51"/>
      <c r="N105" s="21"/>
      <c r="O105" s="50"/>
      <c r="P105" s="21"/>
      <c r="Q105" s="50"/>
      <c r="R105" s="21"/>
      <c r="S105" s="21"/>
      <c r="T105" s="50"/>
      <c r="U105" s="51">
        <f t="shared" si="9"/>
        <v>0</v>
      </c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>
        <v>184804556</v>
      </c>
      <c r="AN105" s="51">
        <f>SUBTOTAL(9,AC105:AM105)</f>
        <v>184804556</v>
      </c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>
        <v>143928765</v>
      </c>
      <c r="AZ105" s="51"/>
      <c r="BA105" s="51">
        <f>VLOOKUP(B105,[1]Hoja3!J$3:K$674,2,0)</f>
        <v>67534596</v>
      </c>
      <c r="BB105" s="51"/>
      <c r="BC105" s="52">
        <f t="shared" si="12"/>
        <v>396267917</v>
      </c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>
        <v>28785753</v>
      </c>
      <c r="BO105" s="51"/>
      <c r="BP105" s="52">
        <v>425053670</v>
      </c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>
        <v>28785753</v>
      </c>
      <c r="CD105" s="52"/>
      <c r="CE105" s="52"/>
      <c r="CF105" s="52"/>
      <c r="CG105" s="52">
        <f t="shared" si="13"/>
        <v>453839423</v>
      </c>
      <c r="CH105" s="52"/>
      <c r="CI105" s="52"/>
      <c r="CJ105" s="52"/>
      <c r="CK105" s="52"/>
      <c r="CL105" s="52"/>
      <c r="CM105" s="52"/>
      <c r="CN105" s="52"/>
      <c r="CO105" s="52"/>
      <c r="CP105" s="52"/>
      <c r="CQ105" s="52">
        <v>28785753</v>
      </c>
      <c r="CR105" s="52"/>
      <c r="CS105" s="52">
        <f t="shared" si="10"/>
        <v>482625176</v>
      </c>
      <c r="CT105" s="53">
        <v>230286024</v>
      </c>
      <c r="CU105" s="53">
        <f t="shared" si="11"/>
        <v>252339152</v>
      </c>
      <c r="CV105" s="54">
        <f t="shared" si="14"/>
        <v>482625176</v>
      </c>
      <c r="CW105" s="55">
        <f t="shared" si="15"/>
        <v>0</v>
      </c>
      <c r="CX105" s="16"/>
      <c r="CY105" s="16"/>
      <c r="CZ105" s="16"/>
    </row>
    <row r="106" spans="1:108" ht="15" customHeight="1" x14ac:dyDescent="0.2">
      <c r="A106" s="1">
        <v>8902081191</v>
      </c>
      <c r="B106" s="1">
        <v>890208119</v>
      </c>
      <c r="C106" s="9">
        <v>219268092</v>
      </c>
      <c r="D106" s="10" t="s">
        <v>817</v>
      </c>
      <c r="E106" s="46" t="s">
        <v>1834</v>
      </c>
      <c r="F106" s="21"/>
      <c r="G106" s="50"/>
      <c r="H106" s="21"/>
      <c r="I106" s="50"/>
      <c r="J106" s="21"/>
      <c r="K106" s="21"/>
      <c r="L106" s="50"/>
      <c r="M106" s="51"/>
      <c r="N106" s="21"/>
      <c r="O106" s="50"/>
      <c r="P106" s="21"/>
      <c r="Q106" s="50"/>
      <c r="R106" s="21"/>
      <c r="S106" s="21"/>
      <c r="T106" s="50"/>
      <c r="U106" s="51">
        <f t="shared" si="9"/>
        <v>0</v>
      </c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>
        <v>61664529</v>
      </c>
      <c r="AN106" s="51">
        <f>SUBTOTAL(9,AC106:AM106)</f>
        <v>61664529</v>
      </c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>
        <v>45198085</v>
      </c>
      <c r="AZ106" s="51"/>
      <c r="BA106" s="51">
        <f>VLOOKUP(B106,[1]Hoja3!J$3:K$674,2,0)</f>
        <v>41250308</v>
      </c>
      <c r="BB106" s="51"/>
      <c r="BC106" s="52">
        <f t="shared" si="12"/>
        <v>148112922</v>
      </c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>
        <v>9039617</v>
      </c>
      <c r="BO106" s="51"/>
      <c r="BP106" s="52">
        <v>157152539</v>
      </c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>
        <v>9039617</v>
      </c>
      <c r="CD106" s="52"/>
      <c r="CE106" s="52"/>
      <c r="CF106" s="52"/>
      <c r="CG106" s="52">
        <f t="shared" si="13"/>
        <v>166192156</v>
      </c>
      <c r="CH106" s="52"/>
      <c r="CI106" s="52"/>
      <c r="CJ106" s="52"/>
      <c r="CK106" s="52"/>
      <c r="CL106" s="52"/>
      <c r="CM106" s="52"/>
      <c r="CN106" s="52"/>
      <c r="CO106" s="52"/>
      <c r="CP106" s="52"/>
      <c r="CQ106" s="52">
        <v>9039617</v>
      </c>
      <c r="CR106" s="52"/>
      <c r="CS106" s="52">
        <f t="shared" si="10"/>
        <v>175231773</v>
      </c>
      <c r="CT106" s="53">
        <v>72316936</v>
      </c>
      <c r="CU106" s="53">
        <f t="shared" si="11"/>
        <v>102914837</v>
      </c>
      <c r="CV106" s="54">
        <f t="shared" si="14"/>
        <v>175231773</v>
      </c>
      <c r="CW106" s="55">
        <f t="shared" si="15"/>
        <v>0</v>
      </c>
      <c r="CX106" s="16"/>
      <c r="CY106" s="16"/>
      <c r="CZ106" s="8"/>
      <c r="DA106" s="8"/>
      <c r="DB106" s="8"/>
      <c r="DC106" s="8"/>
      <c r="DD106" s="8"/>
    </row>
    <row r="107" spans="1:108" ht="15" customHeight="1" x14ac:dyDescent="0.2">
      <c r="A107" s="1">
        <v>8999997085</v>
      </c>
      <c r="B107" s="1">
        <v>899999708</v>
      </c>
      <c r="C107" s="9">
        <v>219525095</v>
      </c>
      <c r="D107" s="10" t="s">
        <v>466</v>
      </c>
      <c r="E107" s="46" t="s">
        <v>1493</v>
      </c>
      <c r="F107" s="21"/>
      <c r="G107" s="50"/>
      <c r="H107" s="21"/>
      <c r="I107" s="50"/>
      <c r="J107" s="21"/>
      <c r="K107" s="21"/>
      <c r="L107" s="50"/>
      <c r="M107" s="51"/>
      <c r="N107" s="21"/>
      <c r="O107" s="50"/>
      <c r="P107" s="21"/>
      <c r="Q107" s="50"/>
      <c r="R107" s="21"/>
      <c r="S107" s="21"/>
      <c r="T107" s="50"/>
      <c r="U107" s="51">
        <f t="shared" si="9"/>
        <v>0</v>
      </c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>
        <v>38325872</v>
      </c>
      <c r="AN107" s="51">
        <f>SUBTOTAL(9,AC107:AM107)</f>
        <v>38325872</v>
      </c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>
        <v>17001555</v>
      </c>
      <c r="AZ107" s="51"/>
      <c r="BA107" s="51"/>
      <c r="BB107" s="51"/>
      <c r="BC107" s="52">
        <f t="shared" si="12"/>
        <v>55327427</v>
      </c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>
        <v>3400311</v>
      </c>
      <c r="BO107" s="51"/>
      <c r="BP107" s="52">
        <v>58727738</v>
      </c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>
        <v>3400311</v>
      </c>
      <c r="CD107" s="52"/>
      <c r="CE107" s="52"/>
      <c r="CF107" s="52"/>
      <c r="CG107" s="52">
        <f t="shared" si="13"/>
        <v>62128049</v>
      </c>
      <c r="CH107" s="52"/>
      <c r="CI107" s="52"/>
      <c r="CJ107" s="52"/>
      <c r="CK107" s="52"/>
      <c r="CL107" s="52"/>
      <c r="CM107" s="52"/>
      <c r="CN107" s="52"/>
      <c r="CO107" s="52"/>
      <c r="CP107" s="52"/>
      <c r="CQ107" s="52">
        <v>3400311</v>
      </c>
      <c r="CR107" s="52"/>
      <c r="CS107" s="52">
        <f t="shared" si="10"/>
        <v>65528360</v>
      </c>
      <c r="CT107" s="53">
        <v>27202488</v>
      </c>
      <c r="CU107" s="53">
        <f t="shared" si="11"/>
        <v>38325872</v>
      </c>
      <c r="CV107" s="54">
        <f t="shared" si="14"/>
        <v>65528360</v>
      </c>
      <c r="CW107" s="55">
        <f t="shared" si="15"/>
        <v>0</v>
      </c>
      <c r="CX107" s="16"/>
      <c r="CY107" s="16"/>
      <c r="CZ107" s="16"/>
    </row>
    <row r="108" spans="1:108" ht="15" customHeight="1" x14ac:dyDescent="0.2">
      <c r="A108" s="1">
        <v>8918562945</v>
      </c>
      <c r="B108" s="1">
        <v>891856294</v>
      </c>
      <c r="C108" s="9">
        <v>219715097</v>
      </c>
      <c r="D108" s="10" t="s">
        <v>224</v>
      </c>
      <c r="E108" s="46" t="s">
        <v>1259</v>
      </c>
      <c r="F108" s="21"/>
      <c r="G108" s="50"/>
      <c r="H108" s="21"/>
      <c r="I108" s="50"/>
      <c r="J108" s="21"/>
      <c r="K108" s="21"/>
      <c r="L108" s="50"/>
      <c r="M108" s="51"/>
      <c r="N108" s="21"/>
      <c r="O108" s="50"/>
      <c r="P108" s="21"/>
      <c r="Q108" s="50"/>
      <c r="R108" s="21"/>
      <c r="S108" s="21"/>
      <c r="T108" s="50"/>
      <c r="U108" s="51">
        <f t="shared" si="9"/>
        <v>0</v>
      </c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>
        <v>52834765</v>
      </c>
      <c r="AZ108" s="51"/>
      <c r="BA108" s="51">
        <f>VLOOKUP(B108,[1]Hoja3!J$3:K$674,2,0)</f>
        <v>85083265</v>
      </c>
      <c r="BB108" s="51"/>
      <c r="BC108" s="52">
        <f t="shared" si="12"/>
        <v>137918030</v>
      </c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>
        <v>10566953</v>
      </c>
      <c r="BO108" s="51"/>
      <c r="BP108" s="52">
        <v>148484983</v>
      </c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>
        <v>10566953</v>
      </c>
      <c r="CD108" s="52"/>
      <c r="CE108" s="52"/>
      <c r="CF108" s="52"/>
      <c r="CG108" s="52">
        <f t="shared" si="13"/>
        <v>159051936</v>
      </c>
      <c r="CH108" s="52"/>
      <c r="CI108" s="52"/>
      <c r="CJ108" s="52"/>
      <c r="CK108" s="52"/>
      <c r="CL108" s="52"/>
      <c r="CM108" s="52"/>
      <c r="CN108" s="52"/>
      <c r="CO108" s="52"/>
      <c r="CP108" s="52"/>
      <c r="CQ108" s="52">
        <v>10566953</v>
      </c>
      <c r="CR108" s="52"/>
      <c r="CS108" s="52">
        <f t="shared" si="10"/>
        <v>169618889</v>
      </c>
      <c r="CT108" s="53">
        <v>84535624</v>
      </c>
      <c r="CU108" s="53">
        <f t="shared" si="11"/>
        <v>85083265</v>
      </c>
      <c r="CV108" s="54">
        <f t="shared" si="14"/>
        <v>169618889</v>
      </c>
      <c r="CW108" s="55">
        <f t="shared" si="15"/>
        <v>0</v>
      </c>
      <c r="CX108" s="16"/>
      <c r="CY108" s="16"/>
      <c r="CZ108" s="8"/>
      <c r="DA108" s="8"/>
      <c r="DB108" s="8"/>
      <c r="DC108" s="8"/>
      <c r="DD108" s="8"/>
    </row>
    <row r="109" spans="1:108" ht="15" customHeight="1" x14ac:dyDescent="0.2">
      <c r="A109" s="1">
        <v>8905056623</v>
      </c>
      <c r="B109" s="1">
        <v>890505662</v>
      </c>
      <c r="C109" s="9">
        <v>219954099</v>
      </c>
      <c r="D109" s="10" t="s">
        <v>753</v>
      </c>
      <c r="E109" s="46" t="s">
        <v>1773</v>
      </c>
      <c r="F109" s="21"/>
      <c r="G109" s="50"/>
      <c r="H109" s="21"/>
      <c r="I109" s="50"/>
      <c r="J109" s="21"/>
      <c r="K109" s="21"/>
      <c r="L109" s="50"/>
      <c r="M109" s="51"/>
      <c r="N109" s="21"/>
      <c r="O109" s="50"/>
      <c r="P109" s="21"/>
      <c r="Q109" s="50"/>
      <c r="R109" s="21"/>
      <c r="S109" s="21"/>
      <c r="T109" s="50"/>
      <c r="U109" s="51">
        <f t="shared" si="9"/>
        <v>0</v>
      </c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>
        <v>52237415</v>
      </c>
      <c r="AZ109" s="51"/>
      <c r="BA109" s="51">
        <f>VLOOKUP(B109,[1]Hoja3!J$3:K$674,2,0)</f>
        <v>105765204</v>
      </c>
      <c r="BB109" s="51"/>
      <c r="BC109" s="52">
        <f t="shared" si="12"/>
        <v>158002619</v>
      </c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>
        <v>10447483</v>
      </c>
      <c r="BO109" s="51"/>
      <c r="BP109" s="52">
        <v>168450102</v>
      </c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>
        <v>10447483</v>
      </c>
      <c r="CD109" s="52"/>
      <c r="CE109" s="52"/>
      <c r="CF109" s="52"/>
      <c r="CG109" s="52">
        <f t="shared" si="13"/>
        <v>178897585</v>
      </c>
      <c r="CH109" s="52"/>
      <c r="CI109" s="52"/>
      <c r="CJ109" s="52"/>
      <c r="CK109" s="52"/>
      <c r="CL109" s="52"/>
      <c r="CM109" s="52"/>
      <c r="CN109" s="52"/>
      <c r="CO109" s="52"/>
      <c r="CP109" s="52"/>
      <c r="CQ109" s="52">
        <v>10447483</v>
      </c>
      <c r="CR109" s="52"/>
      <c r="CS109" s="52">
        <f t="shared" si="10"/>
        <v>189345068</v>
      </c>
      <c r="CT109" s="53">
        <v>83579864</v>
      </c>
      <c r="CU109" s="53">
        <f t="shared" si="11"/>
        <v>105765204</v>
      </c>
      <c r="CV109" s="54">
        <f t="shared" si="14"/>
        <v>189345068</v>
      </c>
      <c r="CW109" s="55">
        <f t="shared" si="15"/>
        <v>0</v>
      </c>
      <c r="CX109" s="16"/>
      <c r="CY109" s="16"/>
      <c r="CZ109" s="16"/>
    </row>
    <row r="110" spans="1:108" ht="15" customHeight="1" x14ac:dyDescent="0.2">
      <c r="A110" s="1">
        <v>8999990619</v>
      </c>
      <c r="B110" s="1">
        <v>899999061</v>
      </c>
      <c r="C110" s="9">
        <v>210111001</v>
      </c>
      <c r="D110" s="10" t="s">
        <v>2151</v>
      </c>
      <c r="E110" s="47" t="s">
        <v>1074</v>
      </c>
      <c r="F110" s="21"/>
      <c r="G110" s="50"/>
      <c r="H110" s="21"/>
      <c r="I110" s="50">
        <f>70000000000+33531727997+2041995958</f>
        <v>105573723955</v>
      </c>
      <c r="J110" s="21">
        <v>7437794702</v>
      </c>
      <c r="K110" s="21">
        <v>14741006808</v>
      </c>
      <c r="L110" s="50">
        <v>3721053169</v>
      </c>
      <c r="M110" s="52">
        <f>SUM(F110:L110)</f>
        <v>131473578634</v>
      </c>
      <c r="N110" s="21"/>
      <c r="O110" s="50"/>
      <c r="P110" s="21">
        <f>VLOOKUP(A110,'[3]PENS-CANC'!A$2:B$37,2,0)</f>
        <v>3721053169</v>
      </c>
      <c r="Q110" s="50">
        <f>70000000000+28722668017</f>
        <v>98722668017</v>
      </c>
      <c r="R110" s="21">
        <v>7282101335</v>
      </c>
      <c r="S110" s="21">
        <f>7303212106+7282101335</f>
        <v>14585313441</v>
      </c>
      <c r="T110" s="56"/>
      <c r="U110" s="51">
        <f t="shared" si="9"/>
        <v>255784714596</v>
      </c>
      <c r="V110" s="51"/>
      <c r="W110" s="51"/>
      <c r="X110" s="51"/>
      <c r="Y110" s="51">
        <f>158507372164+15672472000</f>
        <v>174179844164</v>
      </c>
      <c r="Z110" s="51">
        <v>8435242043</v>
      </c>
      <c r="AA110" s="51">
        <v>19542292837</v>
      </c>
      <c r="AB110" s="51">
        <v>3721053169</v>
      </c>
      <c r="AC110" s="51">
        <f t="shared" si="16"/>
        <v>461663146809</v>
      </c>
      <c r="AD110" s="51"/>
      <c r="AE110" s="51"/>
      <c r="AF110" s="51"/>
      <c r="AG110" s="51"/>
      <c r="AH110" s="51">
        <v>106690074683</v>
      </c>
      <c r="AI110" s="51">
        <v>7918991989</v>
      </c>
      <c r="AJ110" s="51">
        <v>8053573942</v>
      </c>
      <c r="AK110" s="51">
        <v>20275062264</v>
      </c>
      <c r="AL110" s="51">
        <v>3721053169</v>
      </c>
      <c r="AM110" s="51">
        <v>49271693614</v>
      </c>
      <c r="AN110" s="51">
        <f t="shared" ref="AN110:AN116" si="17">SUBTOTAL(9,AC110:AM110)</f>
        <v>657593596470</v>
      </c>
      <c r="AO110" s="51"/>
      <c r="AP110" s="51"/>
      <c r="AQ110" s="51">
        <v>13091567575</v>
      </c>
      <c r="AR110" s="51"/>
      <c r="AS110" s="51"/>
      <c r="AT110" s="51">
        <v>100690074683</v>
      </c>
      <c r="AU110" s="51"/>
      <c r="AV110" s="51">
        <v>5053573942</v>
      </c>
      <c r="AW110" s="51">
        <v>0</v>
      </c>
      <c r="AX110" s="51">
        <v>3721053169</v>
      </c>
      <c r="AY110" s="51"/>
      <c r="AZ110" s="51">
        <v>0</v>
      </c>
      <c r="BA110" s="51">
        <f>VLOOKUP(B110,[1]Hoja3!J$3:K$674,2,0)</f>
        <v>352417736</v>
      </c>
      <c r="BB110" s="51">
        <f>VLOOKUP(B110,'[2]anuladas en mayo gratuidad}'!K$2:L$55,2,0)</f>
        <v>1163256937</v>
      </c>
      <c r="BC110" s="52">
        <f t="shared" si="12"/>
        <v>779339026638</v>
      </c>
      <c r="BD110" s="51"/>
      <c r="BE110" s="51"/>
      <c r="BF110" s="51">
        <v>2618313515</v>
      </c>
      <c r="BG110" s="51"/>
      <c r="BH110" s="51"/>
      <c r="BI110" s="51">
        <v>106028871092</v>
      </c>
      <c r="BJ110" s="51">
        <v>702397216</v>
      </c>
      <c r="BK110" s="51">
        <v>9358853859</v>
      </c>
      <c r="BL110" s="51">
        <v>30184888768</v>
      </c>
      <c r="BM110" s="51">
        <v>7442106338</v>
      </c>
      <c r="BN110" s="51"/>
      <c r="BO110" s="51"/>
      <c r="BP110" s="52">
        <v>935674457426</v>
      </c>
      <c r="BQ110" s="52"/>
      <c r="BR110" s="52"/>
      <c r="BS110" s="52">
        <v>2618313515</v>
      </c>
      <c r="BT110" s="52"/>
      <c r="BU110" s="52"/>
      <c r="BV110" s="52"/>
      <c r="BW110" s="52">
        <v>113108175026</v>
      </c>
      <c r="BX110" s="52">
        <v>17878668292</v>
      </c>
      <c r="BY110" s="52">
        <v>53022876885</v>
      </c>
      <c r="BZ110" s="52">
        <v>8434828958</v>
      </c>
      <c r="CA110" s="52">
        <v>21382829440</v>
      </c>
      <c r="CB110" s="65">
        <v>3721053169</v>
      </c>
      <c r="CC110" s="52"/>
      <c r="CD110" s="52"/>
      <c r="CE110" s="52">
        <v>896100250</v>
      </c>
      <c r="CF110" s="52"/>
      <c r="CG110" s="52">
        <f t="shared" si="13"/>
        <v>1156737302961</v>
      </c>
      <c r="CH110" s="52"/>
      <c r="CI110" s="52"/>
      <c r="CJ110" s="52">
        <v>2618313515</v>
      </c>
      <c r="CK110" s="52"/>
      <c r="CL110" s="52">
        <v>107880067420</v>
      </c>
      <c r="CM110" s="52">
        <v>18596265674</v>
      </c>
      <c r="CN110" s="52">
        <v>7933163876</v>
      </c>
      <c r="CO110" s="52">
        <v>14468226340</v>
      </c>
      <c r="CP110" s="65">
        <v>3721053165</v>
      </c>
      <c r="CQ110" s="52"/>
      <c r="CR110" s="52">
        <v>276996488</v>
      </c>
      <c r="CS110" s="52">
        <f t="shared" si="10"/>
        <v>1312231389439</v>
      </c>
      <c r="CT110" s="53">
        <v>1262597438288</v>
      </c>
      <c r="CU110" s="53">
        <f t="shared" si="11"/>
        <v>49633951151</v>
      </c>
      <c r="CV110" s="54">
        <f t="shared" si="14"/>
        <v>1312231389439</v>
      </c>
      <c r="CW110" s="55">
        <f t="shared" si="15"/>
        <v>0</v>
      </c>
      <c r="CX110" s="16"/>
      <c r="CY110" s="16"/>
      <c r="CZ110" s="16"/>
    </row>
    <row r="111" spans="1:108" ht="15" customHeight="1" x14ac:dyDescent="0.2">
      <c r="A111" s="1">
        <v>8000946226</v>
      </c>
      <c r="B111" s="1">
        <v>800094622</v>
      </c>
      <c r="C111" s="9">
        <v>219925099</v>
      </c>
      <c r="D111" s="10" t="s">
        <v>467</v>
      </c>
      <c r="E111" s="46" t="s">
        <v>1494</v>
      </c>
      <c r="F111" s="21"/>
      <c r="G111" s="50"/>
      <c r="H111" s="21"/>
      <c r="I111" s="50"/>
      <c r="J111" s="21"/>
      <c r="K111" s="21"/>
      <c r="L111" s="50"/>
      <c r="M111" s="51"/>
      <c r="N111" s="21"/>
      <c r="O111" s="50"/>
      <c r="P111" s="21"/>
      <c r="Q111" s="50"/>
      <c r="R111" s="21"/>
      <c r="S111" s="21"/>
      <c r="T111" s="50"/>
      <c r="U111" s="51">
        <f t="shared" si="9"/>
        <v>0</v>
      </c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>
        <v>122058995</v>
      </c>
      <c r="AN111" s="51">
        <f t="shared" si="17"/>
        <v>122058995</v>
      </c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>
        <v>49923640</v>
      </c>
      <c r="AZ111" s="51"/>
      <c r="BA111" s="51"/>
      <c r="BB111" s="51"/>
      <c r="BC111" s="52">
        <f t="shared" si="12"/>
        <v>171982635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>
        <v>9984728</v>
      </c>
      <c r="BO111" s="51"/>
      <c r="BP111" s="52">
        <v>181967363</v>
      </c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>
        <v>9984728</v>
      </c>
      <c r="CD111" s="52"/>
      <c r="CE111" s="52"/>
      <c r="CF111" s="52"/>
      <c r="CG111" s="52">
        <f t="shared" si="13"/>
        <v>191952091</v>
      </c>
      <c r="CH111" s="52"/>
      <c r="CI111" s="52"/>
      <c r="CJ111" s="52"/>
      <c r="CK111" s="52"/>
      <c r="CL111" s="52"/>
      <c r="CM111" s="52"/>
      <c r="CN111" s="52"/>
      <c r="CO111" s="52"/>
      <c r="CP111" s="52"/>
      <c r="CQ111" s="52">
        <v>9984728</v>
      </c>
      <c r="CR111" s="52"/>
      <c r="CS111" s="52">
        <f t="shared" si="10"/>
        <v>201936819</v>
      </c>
      <c r="CT111" s="53">
        <v>79877824</v>
      </c>
      <c r="CU111" s="53">
        <f t="shared" si="11"/>
        <v>122058995</v>
      </c>
      <c r="CV111" s="54">
        <f t="shared" si="14"/>
        <v>201936819</v>
      </c>
      <c r="CW111" s="55">
        <f t="shared" si="15"/>
        <v>0</v>
      </c>
      <c r="CX111" s="16"/>
      <c r="CY111" s="16"/>
      <c r="CZ111" s="16"/>
    </row>
    <row r="112" spans="1:108" ht="15" customHeight="1" x14ac:dyDescent="0.2">
      <c r="A112" s="1">
        <v>8000703758</v>
      </c>
      <c r="B112" s="1">
        <v>800070375</v>
      </c>
      <c r="C112" s="9">
        <v>219927099</v>
      </c>
      <c r="D112" s="10" t="s">
        <v>573</v>
      </c>
      <c r="E112" s="46" t="s">
        <v>1593</v>
      </c>
      <c r="F112" s="21"/>
      <c r="G112" s="50"/>
      <c r="H112" s="21"/>
      <c r="I112" s="50"/>
      <c r="J112" s="21"/>
      <c r="K112" s="21"/>
      <c r="L112" s="50"/>
      <c r="M112" s="51"/>
      <c r="N112" s="21"/>
      <c r="O112" s="50"/>
      <c r="P112" s="21"/>
      <c r="Q112" s="50"/>
      <c r="R112" s="21"/>
      <c r="S112" s="21"/>
      <c r="T112" s="50"/>
      <c r="U112" s="51">
        <f t="shared" si="9"/>
        <v>0</v>
      </c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>
        <v>136304932</v>
      </c>
      <c r="AN112" s="51">
        <f t="shared" si="17"/>
        <v>136304932</v>
      </c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>
        <v>269048685</v>
      </c>
      <c r="AZ112" s="51"/>
      <c r="BA112" s="51"/>
      <c r="BB112" s="51"/>
      <c r="BC112" s="52">
        <f t="shared" si="12"/>
        <v>405353617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>
        <v>53809737</v>
      </c>
      <c r="BO112" s="51"/>
      <c r="BP112" s="52">
        <v>459163354</v>
      </c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>
        <v>53809737</v>
      </c>
      <c r="CD112" s="52"/>
      <c r="CE112" s="52"/>
      <c r="CF112" s="52"/>
      <c r="CG112" s="52">
        <f t="shared" si="13"/>
        <v>512973091</v>
      </c>
      <c r="CH112" s="52"/>
      <c r="CI112" s="52"/>
      <c r="CJ112" s="52"/>
      <c r="CK112" s="52"/>
      <c r="CL112" s="52"/>
      <c r="CM112" s="52"/>
      <c r="CN112" s="52"/>
      <c r="CO112" s="52"/>
      <c r="CP112" s="52"/>
      <c r="CQ112" s="52">
        <v>53809737</v>
      </c>
      <c r="CR112" s="52"/>
      <c r="CS112" s="52">
        <f t="shared" si="10"/>
        <v>566782828</v>
      </c>
      <c r="CT112" s="53">
        <v>430477896</v>
      </c>
      <c r="CU112" s="53">
        <f t="shared" si="11"/>
        <v>136304932</v>
      </c>
      <c r="CV112" s="54">
        <f t="shared" si="14"/>
        <v>566782828</v>
      </c>
      <c r="CW112" s="55">
        <f t="shared" si="15"/>
        <v>0</v>
      </c>
      <c r="CX112" s="16"/>
      <c r="CY112" s="16"/>
      <c r="CZ112" s="16"/>
    </row>
    <row r="113" spans="1:108" ht="15" customHeight="1" x14ac:dyDescent="0.2">
      <c r="A113" s="1">
        <v>8909803309</v>
      </c>
      <c r="B113" s="1">
        <v>890980330</v>
      </c>
      <c r="C113" s="9">
        <v>210105101</v>
      </c>
      <c r="D113" s="10" t="s">
        <v>62</v>
      </c>
      <c r="E113" s="46" t="s">
        <v>1093</v>
      </c>
      <c r="F113" s="21"/>
      <c r="G113" s="50"/>
      <c r="H113" s="21"/>
      <c r="I113" s="50"/>
      <c r="J113" s="21"/>
      <c r="K113" s="21"/>
      <c r="L113" s="50"/>
      <c r="M113" s="51"/>
      <c r="N113" s="21"/>
      <c r="O113" s="50"/>
      <c r="P113" s="21"/>
      <c r="Q113" s="50"/>
      <c r="R113" s="21"/>
      <c r="S113" s="21"/>
      <c r="T113" s="50"/>
      <c r="U113" s="51">
        <f t="shared" si="9"/>
        <v>0</v>
      </c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>
        <v>258616422</v>
      </c>
      <c r="AN113" s="51">
        <f t="shared" si="17"/>
        <v>258616422</v>
      </c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>
        <f>VLOOKUP(B113,[1]Hoja3!J$3:K$674,2,0)</f>
        <v>93472896</v>
      </c>
      <c r="BB113" s="51"/>
      <c r="BC113" s="52">
        <f t="shared" si="12"/>
        <v>352089318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>
        <v>30514468</v>
      </c>
      <c r="BO113" s="51"/>
      <c r="BP113" s="52">
        <v>382603786</v>
      </c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>
        <v>30514468</v>
      </c>
      <c r="CD113" s="52">
        <v>152572340</v>
      </c>
      <c r="CE113" s="52"/>
      <c r="CF113" s="52"/>
      <c r="CG113" s="52">
        <f t="shared" si="13"/>
        <v>565690594</v>
      </c>
      <c r="CH113" s="52"/>
      <c r="CI113" s="52"/>
      <c r="CJ113" s="52"/>
      <c r="CK113" s="52"/>
      <c r="CL113" s="52"/>
      <c r="CM113" s="52"/>
      <c r="CN113" s="52"/>
      <c r="CO113" s="52"/>
      <c r="CP113" s="52"/>
      <c r="CQ113" s="52">
        <v>30514468</v>
      </c>
      <c r="CR113" s="52"/>
      <c r="CS113" s="52">
        <f t="shared" si="10"/>
        <v>596205062</v>
      </c>
      <c r="CT113" s="53">
        <v>244115744</v>
      </c>
      <c r="CU113" s="53">
        <f t="shared" si="11"/>
        <v>352089318</v>
      </c>
      <c r="CV113" s="54">
        <f t="shared" si="14"/>
        <v>596205062</v>
      </c>
      <c r="CW113" s="55">
        <f t="shared" si="15"/>
        <v>0</v>
      </c>
      <c r="CX113" s="16"/>
      <c r="CY113" s="16"/>
      <c r="CZ113" s="16"/>
    </row>
    <row r="114" spans="1:108" ht="15" customHeight="1" x14ac:dyDescent="0.2">
      <c r="A114" s="1">
        <v>8000959612</v>
      </c>
      <c r="B114" s="1">
        <v>800095961</v>
      </c>
      <c r="C114" s="9">
        <v>210019100</v>
      </c>
      <c r="D114" s="10" t="s">
        <v>376</v>
      </c>
      <c r="E114" s="46" t="s">
        <v>1408</v>
      </c>
      <c r="F114" s="21"/>
      <c r="G114" s="50"/>
      <c r="H114" s="21"/>
      <c r="I114" s="50"/>
      <c r="J114" s="21"/>
      <c r="K114" s="21"/>
      <c r="L114" s="50"/>
      <c r="M114" s="51"/>
      <c r="N114" s="21"/>
      <c r="O114" s="50"/>
      <c r="P114" s="21"/>
      <c r="Q114" s="50"/>
      <c r="R114" s="21"/>
      <c r="S114" s="21"/>
      <c r="T114" s="50"/>
      <c r="U114" s="51">
        <f t="shared" si="9"/>
        <v>0</v>
      </c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>
        <v>94866785</v>
      </c>
      <c r="AN114" s="51">
        <f t="shared" si="17"/>
        <v>94866785</v>
      </c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>
        <v>309818060</v>
      </c>
      <c r="AZ114" s="51"/>
      <c r="BA114" s="51">
        <f>VLOOKUP(B114,[1]Hoja3!J$3:K$674,2,0)</f>
        <v>415720118</v>
      </c>
      <c r="BB114" s="51"/>
      <c r="BC114" s="52">
        <f t="shared" si="12"/>
        <v>820404963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>
        <v>61963612</v>
      </c>
      <c r="BO114" s="51"/>
      <c r="BP114" s="52">
        <v>882368575</v>
      </c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>
        <v>61963612</v>
      </c>
      <c r="CD114" s="52"/>
      <c r="CE114" s="52"/>
      <c r="CF114" s="52"/>
      <c r="CG114" s="52">
        <f t="shared" si="13"/>
        <v>944332187</v>
      </c>
      <c r="CH114" s="52"/>
      <c r="CI114" s="52"/>
      <c r="CJ114" s="52"/>
      <c r="CK114" s="52"/>
      <c r="CL114" s="52"/>
      <c r="CM114" s="52"/>
      <c r="CN114" s="52"/>
      <c r="CO114" s="52"/>
      <c r="CP114" s="52"/>
      <c r="CQ114" s="52">
        <v>61963612</v>
      </c>
      <c r="CR114" s="52"/>
      <c r="CS114" s="52">
        <f t="shared" si="10"/>
        <v>1006295799</v>
      </c>
      <c r="CT114" s="53">
        <v>495708896</v>
      </c>
      <c r="CU114" s="53">
        <f t="shared" si="11"/>
        <v>510586903</v>
      </c>
      <c r="CV114" s="54">
        <f t="shared" si="14"/>
        <v>1006295799</v>
      </c>
      <c r="CW114" s="55">
        <f t="shared" si="15"/>
        <v>0</v>
      </c>
      <c r="CX114" s="16"/>
      <c r="CY114" s="16"/>
      <c r="CZ114" s="16"/>
    </row>
    <row r="115" spans="1:108" ht="15" customHeight="1" x14ac:dyDescent="0.2">
      <c r="A115" s="1">
        <v>8902108909</v>
      </c>
      <c r="B115" s="1">
        <v>890210890</v>
      </c>
      <c r="C115" s="9">
        <v>210168101</v>
      </c>
      <c r="D115" s="10" t="s">
        <v>818</v>
      </c>
      <c r="E115" s="46" t="s">
        <v>1835</v>
      </c>
      <c r="F115" s="21"/>
      <c r="G115" s="50"/>
      <c r="H115" s="21"/>
      <c r="I115" s="50"/>
      <c r="J115" s="21"/>
      <c r="K115" s="21"/>
      <c r="L115" s="50"/>
      <c r="M115" s="51"/>
      <c r="N115" s="21"/>
      <c r="O115" s="50"/>
      <c r="P115" s="21"/>
      <c r="Q115" s="50"/>
      <c r="R115" s="21"/>
      <c r="S115" s="21"/>
      <c r="T115" s="50"/>
      <c r="U115" s="51">
        <f t="shared" si="9"/>
        <v>0</v>
      </c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>
        <v>30504314</v>
      </c>
      <c r="AN115" s="51">
        <f t="shared" si="17"/>
        <v>30504314</v>
      </c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>
        <v>99268380</v>
      </c>
      <c r="AZ115" s="51"/>
      <c r="BA115" s="51">
        <f>VLOOKUP(B115,[1]Hoja3!J$3:K$674,2,0)</f>
        <v>171928055</v>
      </c>
      <c r="BB115" s="51"/>
      <c r="BC115" s="52">
        <f t="shared" si="12"/>
        <v>301700749</v>
      </c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>
        <v>19853676</v>
      </c>
      <c r="BO115" s="51"/>
      <c r="BP115" s="52">
        <v>321554425</v>
      </c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>
        <v>19853676</v>
      </c>
      <c r="CD115" s="52"/>
      <c r="CE115" s="52"/>
      <c r="CF115" s="52"/>
      <c r="CG115" s="52">
        <f t="shared" si="13"/>
        <v>341408101</v>
      </c>
      <c r="CH115" s="52"/>
      <c r="CI115" s="52"/>
      <c r="CJ115" s="52"/>
      <c r="CK115" s="52"/>
      <c r="CL115" s="52"/>
      <c r="CM115" s="52"/>
      <c r="CN115" s="52"/>
      <c r="CO115" s="52"/>
      <c r="CP115" s="52"/>
      <c r="CQ115" s="52">
        <v>19853676</v>
      </c>
      <c r="CR115" s="52"/>
      <c r="CS115" s="52">
        <f t="shared" si="10"/>
        <v>361261777</v>
      </c>
      <c r="CT115" s="53">
        <v>158829408</v>
      </c>
      <c r="CU115" s="53">
        <f t="shared" si="11"/>
        <v>202432369</v>
      </c>
      <c r="CV115" s="54">
        <f t="shared" si="14"/>
        <v>361261777</v>
      </c>
      <c r="CW115" s="55">
        <f t="shared" si="15"/>
        <v>0</v>
      </c>
      <c r="CX115" s="16"/>
      <c r="CY115" s="16"/>
      <c r="CZ115" s="16"/>
    </row>
    <row r="116" spans="1:108" ht="15" customHeight="1" x14ac:dyDescent="0.2">
      <c r="A116" s="1">
        <v>8919009451</v>
      </c>
      <c r="B116" s="1">
        <v>891900945</v>
      </c>
      <c r="C116" s="9">
        <v>210076100</v>
      </c>
      <c r="D116" s="10" t="s">
        <v>916</v>
      </c>
      <c r="E116" s="46" t="s">
        <v>1977</v>
      </c>
      <c r="F116" s="21"/>
      <c r="G116" s="50"/>
      <c r="H116" s="21"/>
      <c r="I116" s="50"/>
      <c r="J116" s="21"/>
      <c r="K116" s="21"/>
      <c r="L116" s="50"/>
      <c r="M116" s="51"/>
      <c r="N116" s="21"/>
      <c r="O116" s="50"/>
      <c r="P116" s="21"/>
      <c r="Q116" s="50"/>
      <c r="R116" s="21"/>
      <c r="S116" s="21"/>
      <c r="T116" s="50"/>
      <c r="U116" s="51">
        <f t="shared" si="9"/>
        <v>0</v>
      </c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>
        <v>45238214</v>
      </c>
      <c r="AN116" s="51">
        <f t="shared" si="17"/>
        <v>45238214</v>
      </c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>
        <v>105499730</v>
      </c>
      <c r="AZ116" s="51"/>
      <c r="BA116" s="51">
        <f>VLOOKUP(B116,[1]Hoja3!J$3:K$674,2,0)</f>
        <v>176570369</v>
      </c>
      <c r="BB116" s="51"/>
      <c r="BC116" s="52">
        <f t="shared" si="12"/>
        <v>327308313</v>
      </c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>
        <v>21099946</v>
      </c>
      <c r="BO116" s="51"/>
      <c r="BP116" s="52">
        <v>348408259</v>
      </c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>
        <v>21099946</v>
      </c>
      <c r="CD116" s="52"/>
      <c r="CE116" s="52"/>
      <c r="CF116" s="52"/>
      <c r="CG116" s="52">
        <f t="shared" si="13"/>
        <v>369508205</v>
      </c>
      <c r="CH116" s="52"/>
      <c r="CI116" s="52"/>
      <c r="CJ116" s="52"/>
      <c r="CK116" s="52"/>
      <c r="CL116" s="52"/>
      <c r="CM116" s="52"/>
      <c r="CN116" s="52"/>
      <c r="CO116" s="52"/>
      <c r="CP116" s="52"/>
      <c r="CQ116" s="52">
        <v>21099946</v>
      </c>
      <c r="CR116" s="52"/>
      <c r="CS116" s="52">
        <f t="shared" si="10"/>
        <v>390608151</v>
      </c>
      <c r="CT116" s="53">
        <v>168799568</v>
      </c>
      <c r="CU116" s="53">
        <f t="shared" si="11"/>
        <v>221808583</v>
      </c>
      <c r="CV116" s="54">
        <f t="shared" si="14"/>
        <v>390608151</v>
      </c>
      <c r="CW116" s="55">
        <f t="shared" si="15"/>
        <v>0</v>
      </c>
      <c r="CX116" s="16"/>
      <c r="CY116" s="16"/>
      <c r="CZ116" s="16"/>
    </row>
    <row r="117" spans="1:108" ht="15" customHeight="1" x14ac:dyDescent="0.2">
      <c r="A117" s="1">
        <v>8923011308</v>
      </c>
      <c r="B117" s="1">
        <v>892301130</v>
      </c>
      <c r="C117" s="9">
        <v>216020060</v>
      </c>
      <c r="D117" s="10" t="s">
        <v>417</v>
      </c>
      <c r="E117" s="46" t="s">
        <v>1445</v>
      </c>
      <c r="F117" s="21"/>
      <c r="G117" s="50"/>
      <c r="H117" s="21"/>
      <c r="I117" s="50"/>
      <c r="J117" s="21"/>
      <c r="K117" s="21"/>
      <c r="L117" s="50"/>
      <c r="M117" s="51"/>
      <c r="N117" s="21"/>
      <c r="O117" s="50"/>
      <c r="P117" s="21"/>
      <c r="Q117" s="50"/>
      <c r="R117" s="21"/>
      <c r="S117" s="21"/>
      <c r="T117" s="50"/>
      <c r="U117" s="51">
        <f t="shared" si="9"/>
        <v>0</v>
      </c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>
        <v>402165935</v>
      </c>
      <c r="AZ117" s="51"/>
      <c r="BA117" s="51">
        <f>VLOOKUP(B117,[1]Hoja3!J$3:K$674,2,0)</f>
        <v>571816969</v>
      </c>
      <c r="BB117" s="51"/>
      <c r="BC117" s="52">
        <f t="shared" si="12"/>
        <v>973982904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>
        <v>80433187</v>
      </c>
      <c r="BO117" s="51"/>
      <c r="BP117" s="52">
        <v>1054416091</v>
      </c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>
        <v>80433187</v>
      </c>
      <c r="CD117" s="52"/>
      <c r="CE117" s="52"/>
      <c r="CF117" s="52"/>
      <c r="CG117" s="52">
        <f t="shared" si="13"/>
        <v>1134849278</v>
      </c>
      <c r="CH117" s="52"/>
      <c r="CI117" s="52"/>
      <c r="CJ117" s="52"/>
      <c r="CK117" s="52"/>
      <c r="CL117" s="52"/>
      <c r="CM117" s="52"/>
      <c r="CN117" s="52"/>
      <c r="CO117" s="52"/>
      <c r="CP117" s="52"/>
      <c r="CQ117" s="52">
        <v>80433187</v>
      </c>
      <c r="CR117" s="52"/>
      <c r="CS117" s="52">
        <f t="shared" si="10"/>
        <v>1215282465</v>
      </c>
      <c r="CT117" s="53">
        <v>643465496</v>
      </c>
      <c r="CU117" s="53">
        <f t="shared" si="11"/>
        <v>571816969</v>
      </c>
      <c r="CV117" s="54">
        <f t="shared" si="14"/>
        <v>1215282465</v>
      </c>
      <c r="CW117" s="55">
        <f t="shared" si="15"/>
        <v>0</v>
      </c>
      <c r="CX117" s="16"/>
      <c r="CY117" s="16"/>
      <c r="CZ117" s="16"/>
    </row>
    <row r="118" spans="1:108" ht="15" customHeight="1" x14ac:dyDescent="0.2">
      <c r="A118" s="1">
        <v>8000233837</v>
      </c>
      <c r="B118" s="1">
        <v>800023383</v>
      </c>
      <c r="C118" s="9">
        <v>210415104</v>
      </c>
      <c r="D118" s="10" t="s">
        <v>225</v>
      </c>
      <c r="E118" s="46" t="s">
        <v>1260</v>
      </c>
      <c r="F118" s="21"/>
      <c r="G118" s="50"/>
      <c r="H118" s="21"/>
      <c r="I118" s="50"/>
      <c r="J118" s="21"/>
      <c r="K118" s="21"/>
      <c r="L118" s="50"/>
      <c r="M118" s="51"/>
      <c r="N118" s="21"/>
      <c r="O118" s="50"/>
      <c r="P118" s="21"/>
      <c r="Q118" s="50"/>
      <c r="R118" s="21"/>
      <c r="S118" s="21"/>
      <c r="T118" s="50"/>
      <c r="U118" s="51">
        <f t="shared" si="9"/>
        <v>0</v>
      </c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>
        <v>72578405</v>
      </c>
      <c r="AN118" s="51">
        <f t="shared" ref="AN118:AN125" si="18">SUBTOTAL(9,AC118:AM118)</f>
        <v>72578405</v>
      </c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>
        <v>39548360</v>
      </c>
      <c r="AZ118" s="51"/>
      <c r="BA118" s="51"/>
      <c r="BB118" s="51"/>
      <c r="BC118" s="52">
        <f t="shared" si="12"/>
        <v>112126765</v>
      </c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>
        <v>7909672</v>
      </c>
      <c r="BO118" s="51"/>
      <c r="BP118" s="52">
        <v>120036437</v>
      </c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>
        <v>7909672</v>
      </c>
      <c r="CD118" s="52"/>
      <c r="CE118" s="52"/>
      <c r="CF118" s="52"/>
      <c r="CG118" s="52">
        <f t="shared" si="13"/>
        <v>127946109</v>
      </c>
      <c r="CH118" s="52"/>
      <c r="CI118" s="52"/>
      <c r="CJ118" s="52"/>
      <c r="CK118" s="52"/>
      <c r="CL118" s="52"/>
      <c r="CM118" s="52"/>
      <c r="CN118" s="52"/>
      <c r="CO118" s="52"/>
      <c r="CP118" s="52"/>
      <c r="CQ118" s="52">
        <v>7909672</v>
      </c>
      <c r="CR118" s="52"/>
      <c r="CS118" s="52">
        <f t="shared" si="10"/>
        <v>135855781</v>
      </c>
      <c r="CT118" s="53">
        <v>63277376</v>
      </c>
      <c r="CU118" s="53">
        <f t="shared" si="11"/>
        <v>72578405</v>
      </c>
      <c r="CV118" s="54">
        <f t="shared" si="14"/>
        <v>135855781</v>
      </c>
      <c r="CW118" s="55">
        <f t="shared" si="15"/>
        <v>0</v>
      </c>
      <c r="CX118" s="16"/>
      <c r="CY118" s="16"/>
      <c r="CZ118" s="8"/>
      <c r="DA118" s="8"/>
      <c r="DB118" s="8"/>
      <c r="DC118" s="8"/>
      <c r="DD118" s="8"/>
    </row>
    <row r="119" spans="1:108" ht="15" customHeight="1" x14ac:dyDescent="0.2">
      <c r="A119" s="1">
        <v>8000997211</v>
      </c>
      <c r="B119" s="1">
        <v>800099721</v>
      </c>
      <c r="C119" s="9">
        <v>210615106</v>
      </c>
      <c r="D119" s="10" t="s">
        <v>2173</v>
      </c>
      <c r="E119" s="46" t="s">
        <v>1261</v>
      </c>
      <c r="F119" s="21"/>
      <c r="G119" s="50"/>
      <c r="H119" s="21"/>
      <c r="I119" s="50"/>
      <c r="J119" s="21"/>
      <c r="K119" s="21"/>
      <c r="L119" s="50"/>
      <c r="M119" s="51"/>
      <c r="N119" s="21"/>
      <c r="O119" s="50"/>
      <c r="P119" s="21"/>
      <c r="Q119" s="50"/>
      <c r="R119" s="21"/>
      <c r="S119" s="21"/>
      <c r="T119" s="50"/>
      <c r="U119" s="51">
        <f t="shared" si="9"/>
        <v>0</v>
      </c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>
        <v>33111065</v>
      </c>
      <c r="AN119" s="51">
        <f t="shared" si="18"/>
        <v>33111065</v>
      </c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>
        <v>18725645</v>
      </c>
      <c r="AZ119" s="51"/>
      <c r="BA119" s="51"/>
      <c r="BB119" s="51"/>
      <c r="BC119" s="52">
        <f t="shared" si="12"/>
        <v>51836710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>
        <v>3745129</v>
      </c>
      <c r="BO119" s="51"/>
      <c r="BP119" s="52">
        <v>55581839</v>
      </c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>
        <v>3745129</v>
      </c>
      <c r="CD119" s="52"/>
      <c r="CE119" s="52"/>
      <c r="CF119" s="52"/>
      <c r="CG119" s="52">
        <f t="shared" si="13"/>
        <v>59326968</v>
      </c>
      <c r="CH119" s="52"/>
      <c r="CI119" s="52"/>
      <c r="CJ119" s="52"/>
      <c r="CK119" s="52"/>
      <c r="CL119" s="52"/>
      <c r="CM119" s="52"/>
      <c r="CN119" s="52"/>
      <c r="CO119" s="52"/>
      <c r="CP119" s="52"/>
      <c r="CQ119" s="52">
        <v>3745129</v>
      </c>
      <c r="CR119" s="52"/>
      <c r="CS119" s="52">
        <f t="shared" si="10"/>
        <v>63072097</v>
      </c>
      <c r="CT119" s="53">
        <v>29961032</v>
      </c>
      <c r="CU119" s="53">
        <f t="shared" si="11"/>
        <v>33111065</v>
      </c>
      <c r="CV119" s="54">
        <f t="shared" si="14"/>
        <v>63072097</v>
      </c>
      <c r="CW119" s="55">
        <f t="shared" si="15"/>
        <v>0</v>
      </c>
      <c r="CX119" s="16"/>
      <c r="CY119" s="16"/>
      <c r="CZ119" s="8"/>
      <c r="DA119" s="8"/>
      <c r="DB119" s="8"/>
      <c r="DC119" s="8"/>
      <c r="DD119" s="8"/>
    </row>
    <row r="120" spans="1:108" ht="15" customHeight="1" x14ac:dyDescent="0.2">
      <c r="A120" s="1">
        <v>8909844154</v>
      </c>
      <c r="B120" s="1">
        <v>890984415</v>
      </c>
      <c r="C120" s="9">
        <v>210705107</v>
      </c>
      <c r="D120" s="10" t="s">
        <v>63</v>
      </c>
      <c r="E120" s="46" t="s">
        <v>1094</v>
      </c>
      <c r="F120" s="21"/>
      <c r="G120" s="50"/>
      <c r="H120" s="21"/>
      <c r="I120" s="50"/>
      <c r="J120" s="21"/>
      <c r="K120" s="21"/>
      <c r="L120" s="50"/>
      <c r="M120" s="51"/>
      <c r="N120" s="21"/>
      <c r="O120" s="50"/>
      <c r="P120" s="21"/>
      <c r="Q120" s="50"/>
      <c r="R120" s="21"/>
      <c r="S120" s="21"/>
      <c r="T120" s="50"/>
      <c r="U120" s="51">
        <f t="shared" si="9"/>
        <v>0</v>
      </c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>
        <v>133974353</v>
      </c>
      <c r="AN120" s="51">
        <f t="shared" si="18"/>
        <v>133974353</v>
      </c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2">
        <f t="shared" si="12"/>
        <v>133974353</v>
      </c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>
        <v>0</v>
      </c>
      <c r="BO120" s="51"/>
      <c r="BP120" s="52">
        <v>133974353</v>
      </c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>
        <v>0</v>
      </c>
      <c r="CD120" s="52"/>
      <c r="CE120" s="52"/>
      <c r="CF120" s="52"/>
      <c r="CG120" s="52">
        <f t="shared" si="13"/>
        <v>133974353</v>
      </c>
      <c r="CH120" s="52"/>
      <c r="CI120" s="52"/>
      <c r="CJ120" s="52"/>
      <c r="CK120" s="52"/>
      <c r="CL120" s="52"/>
      <c r="CM120" s="52"/>
      <c r="CN120" s="52"/>
      <c r="CO120" s="52"/>
      <c r="CP120" s="52"/>
      <c r="CQ120" s="52">
        <v>0</v>
      </c>
      <c r="CR120" s="52"/>
      <c r="CS120" s="52">
        <f t="shared" si="10"/>
        <v>133974353</v>
      </c>
      <c r="CT120" s="53"/>
      <c r="CU120" s="53">
        <f t="shared" si="11"/>
        <v>133974353</v>
      </c>
      <c r="CV120" s="54">
        <f t="shared" si="14"/>
        <v>133974353</v>
      </c>
      <c r="CW120" s="55">
        <f t="shared" si="15"/>
        <v>0</v>
      </c>
      <c r="CX120" s="16"/>
      <c r="CY120" s="16"/>
      <c r="CZ120" s="16"/>
    </row>
    <row r="121" spans="1:108" ht="15" customHeight="1" x14ac:dyDescent="0.2">
      <c r="A121" s="1">
        <v>8902012220</v>
      </c>
      <c r="B121" s="1">
        <v>890201222</v>
      </c>
      <c r="C121" s="9">
        <v>210168001</v>
      </c>
      <c r="D121" s="10" t="s">
        <v>2145</v>
      </c>
      <c r="E121" s="47" t="s">
        <v>2067</v>
      </c>
      <c r="F121" s="21"/>
      <c r="G121" s="50"/>
      <c r="H121" s="21"/>
      <c r="I121" s="50">
        <f>10654367133+200269694</f>
        <v>10854636827</v>
      </c>
      <c r="J121" s="21">
        <v>701659015</v>
      </c>
      <c r="K121" s="21">
        <v>1392482434</v>
      </c>
      <c r="L121" s="50"/>
      <c r="M121" s="52">
        <f>SUM(F121:L121)</f>
        <v>12948778276</v>
      </c>
      <c r="N121" s="21"/>
      <c r="O121" s="50"/>
      <c r="P121" s="21"/>
      <c r="Q121" s="50">
        <f>10154100266+91031679</f>
        <v>10245131945</v>
      </c>
      <c r="R121" s="21">
        <v>701789481</v>
      </c>
      <c r="S121" s="21">
        <f>690823419+701789481</f>
        <v>1392612900</v>
      </c>
      <c r="T121" s="50"/>
      <c r="U121" s="51">
        <f t="shared" si="9"/>
        <v>25288312602</v>
      </c>
      <c r="V121" s="51"/>
      <c r="W121" s="51"/>
      <c r="X121" s="51"/>
      <c r="Y121" s="51">
        <v>13492664710</v>
      </c>
      <c r="Z121" s="51">
        <v>729197028</v>
      </c>
      <c r="AA121" s="51">
        <v>1671820937</v>
      </c>
      <c r="AB121" s="51"/>
      <c r="AC121" s="51">
        <f t="shared" si="16"/>
        <v>41181995277</v>
      </c>
      <c r="AD121" s="51"/>
      <c r="AE121" s="51"/>
      <c r="AF121" s="51"/>
      <c r="AG121" s="51"/>
      <c r="AH121" s="51">
        <v>10155711788</v>
      </c>
      <c r="AI121" s="51">
        <v>1022541936</v>
      </c>
      <c r="AJ121" s="51">
        <v>726041310</v>
      </c>
      <c r="AK121" s="51">
        <v>1829351048</v>
      </c>
      <c r="AL121" s="51"/>
      <c r="AM121" s="51">
        <v>4362392096</v>
      </c>
      <c r="AN121" s="51">
        <f t="shared" si="18"/>
        <v>59278033455</v>
      </c>
      <c r="AO121" s="51"/>
      <c r="AP121" s="51"/>
      <c r="AQ121" s="51">
        <v>1779331845</v>
      </c>
      <c r="AR121" s="51"/>
      <c r="AS121" s="51"/>
      <c r="AT121" s="51">
        <v>10155711788</v>
      </c>
      <c r="AU121" s="51"/>
      <c r="AV121" s="51">
        <v>726041310</v>
      </c>
      <c r="AW121" s="51">
        <v>1238921810</v>
      </c>
      <c r="AX121" s="51"/>
      <c r="AY121" s="51"/>
      <c r="AZ121" s="51"/>
      <c r="BA121" s="51"/>
      <c r="BB121" s="51">
        <f>VLOOKUP(B121,'[2]anuladas en mayo gratuidad}'!K$2:L$55,2,0)</f>
        <v>51816572</v>
      </c>
      <c r="BC121" s="52">
        <f t="shared" si="12"/>
        <v>73126223636</v>
      </c>
      <c r="BD121" s="51"/>
      <c r="BE121" s="51"/>
      <c r="BF121" s="51">
        <v>355866369</v>
      </c>
      <c r="BG121" s="51"/>
      <c r="BH121" s="51"/>
      <c r="BI121" s="51">
        <v>10495623579</v>
      </c>
      <c r="BJ121" s="51">
        <v>1255242738</v>
      </c>
      <c r="BK121" s="51">
        <v>820356843</v>
      </c>
      <c r="BL121" s="51">
        <v>2067362376</v>
      </c>
      <c r="BM121" s="51"/>
      <c r="BN121" s="51"/>
      <c r="BO121" s="51"/>
      <c r="BP121" s="52">
        <v>88120675541</v>
      </c>
      <c r="BQ121" s="52"/>
      <c r="BR121" s="52"/>
      <c r="BS121" s="52">
        <v>355866369</v>
      </c>
      <c r="BT121" s="52"/>
      <c r="BU121" s="52"/>
      <c r="BV121" s="52"/>
      <c r="BW121" s="52">
        <v>10595957833</v>
      </c>
      <c r="BX121" s="52"/>
      <c r="BY121" s="52">
        <v>4757687411</v>
      </c>
      <c r="BZ121" s="52">
        <v>790287054</v>
      </c>
      <c r="CA121" s="52">
        <v>1989997782</v>
      </c>
      <c r="CB121" s="52"/>
      <c r="CC121" s="52"/>
      <c r="CD121" s="52"/>
      <c r="CE121" s="52">
        <v>104151463</v>
      </c>
      <c r="CF121" s="52"/>
      <c r="CG121" s="52">
        <f t="shared" si="13"/>
        <v>106714623453</v>
      </c>
      <c r="CH121" s="52"/>
      <c r="CI121" s="52"/>
      <c r="CJ121" s="52">
        <v>355866369</v>
      </c>
      <c r="CK121" s="52"/>
      <c r="CL121" s="52">
        <v>10612430852</v>
      </c>
      <c r="CM121" s="52">
        <v>1598694145</v>
      </c>
      <c r="CN121" s="52">
        <v>748781398</v>
      </c>
      <c r="CO121" s="52">
        <v>1351962192</v>
      </c>
      <c r="CP121" s="52"/>
      <c r="CQ121" s="52"/>
      <c r="CR121" s="52"/>
      <c r="CS121" s="52">
        <f t="shared" si="10"/>
        <v>121382358409</v>
      </c>
      <c r="CT121" s="53">
        <v>116967631422</v>
      </c>
      <c r="CU121" s="53">
        <f t="shared" si="11"/>
        <v>4414726987</v>
      </c>
      <c r="CV121" s="54">
        <f t="shared" si="14"/>
        <v>121382358409</v>
      </c>
      <c r="CW121" s="55">
        <f t="shared" si="15"/>
        <v>0</v>
      </c>
      <c r="CX121" s="16"/>
      <c r="CY121" s="16"/>
      <c r="CZ121" s="8"/>
      <c r="DA121" s="8"/>
      <c r="DB121" s="8"/>
      <c r="DC121" s="8"/>
      <c r="DD121" s="8"/>
    </row>
    <row r="122" spans="1:108" ht="15" customHeight="1" x14ac:dyDescent="0.2">
      <c r="A122" s="1">
        <v>8905034832</v>
      </c>
      <c r="B122" s="1">
        <v>890503483</v>
      </c>
      <c r="C122" s="9">
        <v>210954109</v>
      </c>
      <c r="D122" s="10" t="s">
        <v>754</v>
      </c>
      <c r="E122" s="46" t="s">
        <v>2085</v>
      </c>
      <c r="F122" s="21"/>
      <c r="G122" s="50"/>
      <c r="H122" s="21"/>
      <c r="I122" s="50"/>
      <c r="J122" s="21"/>
      <c r="K122" s="21"/>
      <c r="L122" s="50"/>
      <c r="M122" s="51"/>
      <c r="N122" s="21"/>
      <c r="O122" s="50"/>
      <c r="P122" s="21"/>
      <c r="Q122" s="50"/>
      <c r="R122" s="21"/>
      <c r="S122" s="21"/>
      <c r="T122" s="50"/>
      <c r="U122" s="51">
        <f t="shared" si="9"/>
        <v>0</v>
      </c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>
        <v>48722355</v>
      </c>
      <c r="AN122" s="51">
        <f t="shared" si="18"/>
        <v>48722355</v>
      </c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>
        <v>57171140</v>
      </c>
      <c r="AZ122" s="51"/>
      <c r="BA122" s="51">
        <f>VLOOKUP(B122,[1]Hoja3!J$3:K$674,2,0)</f>
        <v>44841724</v>
      </c>
      <c r="BB122" s="51"/>
      <c r="BC122" s="52">
        <f t="shared" si="12"/>
        <v>150735219</v>
      </c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>
        <v>11434228</v>
      </c>
      <c r="BO122" s="51"/>
      <c r="BP122" s="52">
        <v>162169447</v>
      </c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>
        <v>11434228</v>
      </c>
      <c r="CD122" s="52"/>
      <c r="CE122" s="52"/>
      <c r="CF122" s="52"/>
      <c r="CG122" s="52">
        <f t="shared" si="13"/>
        <v>173603675</v>
      </c>
      <c r="CH122" s="52"/>
      <c r="CI122" s="52"/>
      <c r="CJ122" s="52"/>
      <c r="CK122" s="52"/>
      <c r="CL122" s="52"/>
      <c r="CM122" s="52"/>
      <c r="CN122" s="52"/>
      <c r="CO122" s="52"/>
      <c r="CP122" s="52"/>
      <c r="CQ122" s="52">
        <v>11434228</v>
      </c>
      <c r="CR122" s="52"/>
      <c r="CS122" s="52">
        <f t="shared" si="10"/>
        <v>185037903</v>
      </c>
      <c r="CT122" s="53">
        <v>91473824</v>
      </c>
      <c r="CU122" s="53">
        <f t="shared" si="11"/>
        <v>93564079</v>
      </c>
      <c r="CV122" s="54">
        <f t="shared" si="14"/>
        <v>185037903</v>
      </c>
      <c r="CW122" s="55">
        <f t="shared" si="15"/>
        <v>0</v>
      </c>
      <c r="CX122" s="16"/>
      <c r="CY122" s="16"/>
      <c r="CZ122" s="16"/>
    </row>
    <row r="123" spans="1:108" ht="15" customHeight="1" x14ac:dyDescent="0.2">
      <c r="A123" s="1">
        <v>8903990453</v>
      </c>
      <c r="B123" s="1">
        <v>890399045</v>
      </c>
      <c r="C123" s="9">
        <v>210976109</v>
      </c>
      <c r="D123" s="10" t="s">
        <v>2146</v>
      </c>
      <c r="E123" s="47" t="s">
        <v>1039</v>
      </c>
      <c r="F123" s="21"/>
      <c r="G123" s="50"/>
      <c r="H123" s="21"/>
      <c r="I123" s="50">
        <f>7317568150+90430638</f>
        <v>7407998788</v>
      </c>
      <c r="J123" s="21">
        <v>524434059</v>
      </c>
      <c r="K123" s="21">
        <v>1060806477</v>
      </c>
      <c r="L123" s="50"/>
      <c r="M123" s="52">
        <f>SUM(F123:L123)</f>
        <v>8993239324</v>
      </c>
      <c r="N123" s="21"/>
      <c r="O123" s="50"/>
      <c r="P123" s="21"/>
      <c r="Q123" s="50">
        <f>7299468112+41104835</f>
        <v>7340572947</v>
      </c>
      <c r="R123" s="21">
        <v>524434059</v>
      </c>
      <c r="S123" s="21">
        <f>536372418+524434059</f>
        <v>1060806477</v>
      </c>
      <c r="T123" s="50"/>
      <c r="U123" s="51">
        <f t="shared" si="9"/>
        <v>17919052807</v>
      </c>
      <c r="V123" s="51"/>
      <c r="W123" s="51"/>
      <c r="X123" s="51"/>
      <c r="Y123" s="51">
        <v>11614882428</v>
      </c>
      <c r="Z123" s="51">
        <v>436599799</v>
      </c>
      <c r="AA123" s="51">
        <v>1022372198</v>
      </c>
      <c r="AB123" s="51"/>
      <c r="AC123" s="51">
        <f t="shared" si="16"/>
        <v>30992907232</v>
      </c>
      <c r="AD123" s="51"/>
      <c r="AE123" s="51"/>
      <c r="AF123" s="51"/>
      <c r="AG123" s="51"/>
      <c r="AH123" s="51">
        <v>8762979020</v>
      </c>
      <c r="AI123" s="51">
        <v>2714132050</v>
      </c>
      <c r="AJ123" s="51">
        <v>511799607</v>
      </c>
      <c r="AK123" s="51">
        <v>1295164196</v>
      </c>
      <c r="AL123" s="51"/>
      <c r="AM123" s="51">
        <v>3585559813</v>
      </c>
      <c r="AN123" s="51">
        <f t="shared" si="18"/>
        <v>47862541918</v>
      </c>
      <c r="AO123" s="51"/>
      <c r="AP123" s="51"/>
      <c r="AQ123" s="51">
        <v>0</v>
      </c>
      <c r="AR123" s="51"/>
      <c r="AS123" s="51"/>
      <c r="AT123" s="51">
        <v>8762979020</v>
      </c>
      <c r="AU123" s="51">
        <v>10679000000</v>
      </c>
      <c r="AV123" s="51">
        <v>511799607</v>
      </c>
      <c r="AW123" s="51">
        <v>878499034</v>
      </c>
      <c r="AX123" s="51"/>
      <c r="AY123" s="51"/>
      <c r="AZ123" s="51"/>
      <c r="BA123" s="51">
        <f>VLOOKUP(B123,[1]Hoja3!J$3:K$674,2,0)</f>
        <v>134256843</v>
      </c>
      <c r="BB123" s="51"/>
      <c r="BC123" s="52">
        <f t="shared" si="12"/>
        <v>68829076422</v>
      </c>
      <c r="BD123" s="51"/>
      <c r="BE123" s="51"/>
      <c r="BF123" s="51">
        <v>0</v>
      </c>
      <c r="BG123" s="51"/>
      <c r="BH123" s="51"/>
      <c r="BI123" s="51">
        <v>8077845805</v>
      </c>
      <c r="BJ123" s="51">
        <v>2784073536</v>
      </c>
      <c r="BK123" s="51">
        <v>574639404</v>
      </c>
      <c r="BL123" s="51">
        <v>1223719050</v>
      </c>
      <c r="BM123" s="51"/>
      <c r="BN123" s="51"/>
      <c r="BO123" s="51"/>
      <c r="BP123" s="52">
        <v>81489354217</v>
      </c>
      <c r="BQ123" s="52"/>
      <c r="BR123" s="52"/>
      <c r="BS123" s="52">
        <v>0</v>
      </c>
      <c r="BT123" s="52"/>
      <c r="BU123" s="52"/>
      <c r="BV123" s="52"/>
      <c r="BW123" s="52">
        <v>7831142673</v>
      </c>
      <c r="BX123" s="52">
        <v>5081146995</v>
      </c>
      <c r="BY123" s="52">
        <v>3289855528</v>
      </c>
      <c r="BZ123" s="52">
        <v>543213638</v>
      </c>
      <c r="CA123" s="52">
        <v>1403645180</v>
      </c>
      <c r="CB123" s="52"/>
      <c r="CC123" s="52"/>
      <c r="CD123" s="52"/>
      <c r="CE123" s="52"/>
      <c r="CF123" s="52"/>
      <c r="CG123" s="52">
        <f t="shared" si="13"/>
        <v>99638358231</v>
      </c>
      <c r="CH123" s="52"/>
      <c r="CI123" s="52"/>
      <c r="CJ123" s="52">
        <v>0</v>
      </c>
      <c r="CK123" s="52"/>
      <c r="CL123" s="52">
        <v>8119822855</v>
      </c>
      <c r="CM123" s="52">
        <v>2597110613</v>
      </c>
      <c r="CN123" s="52">
        <v>551142403</v>
      </c>
      <c r="CO123" s="52">
        <v>1015997387</v>
      </c>
      <c r="CP123" s="52"/>
      <c r="CQ123" s="52"/>
      <c r="CR123" s="52"/>
      <c r="CS123" s="52">
        <f t="shared" si="10"/>
        <v>111922431489</v>
      </c>
      <c r="CT123" s="53">
        <v>108202614833</v>
      </c>
      <c r="CU123" s="53">
        <f t="shared" si="11"/>
        <v>3719816656</v>
      </c>
      <c r="CV123" s="54">
        <f t="shared" si="14"/>
        <v>111922431489</v>
      </c>
      <c r="CW123" s="55">
        <f t="shared" si="15"/>
        <v>0</v>
      </c>
      <c r="CX123" s="16"/>
      <c r="CY123" s="16"/>
      <c r="CZ123" s="16"/>
    </row>
    <row r="124" spans="1:108" ht="15" customHeight="1" x14ac:dyDescent="0.2">
      <c r="A124" s="1">
        <v>8918082600</v>
      </c>
      <c r="B124" s="1">
        <v>891808260</v>
      </c>
      <c r="C124" s="9">
        <v>210915109</v>
      </c>
      <c r="D124" s="10" t="s">
        <v>226</v>
      </c>
      <c r="E124" s="46" t="s">
        <v>1262</v>
      </c>
      <c r="F124" s="21"/>
      <c r="G124" s="50"/>
      <c r="H124" s="21"/>
      <c r="I124" s="50"/>
      <c r="J124" s="21"/>
      <c r="K124" s="21"/>
      <c r="L124" s="50"/>
      <c r="M124" s="51"/>
      <c r="N124" s="21"/>
      <c r="O124" s="50"/>
      <c r="P124" s="21"/>
      <c r="Q124" s="50"/>
      <c r="R124" s="21"/>
      <c r="S124" s="21"/>
      <c r="T124" s="50"/>
      <c r="U124" s="51">
        <f t="shared" si="9"/>
        <v>0</v>
      </c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>
        <v>75633318</v>
      </c>
      <c r="AN124" s="51">
        <f t="shared" si="18"/>
        <v>75633318</v>
      </c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>
        <v>41004080</v>
      </c>
      <c r="AZ124" s="51"/>
      <c r="BA124" s="51"/>
      <c r="BB124" s="51"/>
      <c r="BC124" s="52">
        <f t="shared" si="12"/>
        <v>116637398</v>
      </c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>
        <v>8200816</v>
      </c>
      <c r="BO124" s="51"/>
      <c r="BP124" s="52">
        <v>124838214</v>
      </c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>
        <v>8200816</v>
      </c>
      <c r="CD124" s="52"/>
      <c r="CE124" s="52"/>
      <c r="CF124" s="52"/>
      <c r="CG124" s="52">
        <f t="shared" si="13"/>
        <v>133039030</v>
      </c>
      <c r="CH124" s="52"/>
      <c r="CI124" s="52"/>
      <c r="CJ124" s="52"/>
      <c r="CK124" s="52"/>
      <c r="CL124" s="52"/>
      <c r="CM124" s="52"/>
      <c r="CN124" s="52"/>
      <c r="CO124" s="52"/>
      <c r="CP124" s="52"/>
      <c r="CQ124" s="52">
        <v>8200816</v>
      </c>
      <c r="CR124" s="52"/>
      <c r="CS124" s="52">
        <f t="shared" si="10"/>
        <v>141239846</v>
      </c>
      <c r="CT124" s="53">
        <v>65606528</v>
      </c>
      <c r="CU124" s="53">
        <f t="shared" si="11"/>
        <v>75633318</v>
      </c>
      <c r="CV124" s="54">
        <f t="shared" si="14"/>
        <v>141239846</v>
      </c>
      <c r="CW124" s="55">
        <f t="shared" si="15"/>
        <v>0</v>
      </c>
      <c r="CX124" s="16"/>
      <c r="CY124" s="16"/>
      <c r="CZ124" s="16"/>
    </row>
    <row r="125" spans="1:108" ht="15" customHeight="1" x14ac:dyDescent="0.2">
      <c r="A125" s="1">
        <v>8000967398</v>
      </c>
      <c r="B125" s="1">
        <v>800096739</v>
      </c>
      <c r="C125" s="9">
        <v>217923079</v>
      </c>
      <c r="D125" s="10" t="s">
        <v>438</v>
      </c>
      <c r="E125" s="46" t="s">
        <v>1465</v>
      </c>
      <c r="F125" s="21"/>
      <c r="G125" s="50"/>
      <c r="H125" s="21"/>
      <c r="I125" s="50"/>
      <c r="J125" s="21"/>
      <c r="K125" s="21"/>
      <c r="L125" s="50"/>
      <c r="M125" s="51"/>
      <c r="N125" s="21"/>
      <c r="O125" s="50"/>
      <c r="P125" s="21"/>
      <c r="Q125" s="50"/>
      <c r="R125" s="21"/>
      <c r="S125" s="21"/>
      <c r="T125" s="50"/>
      <c r="U125" s="51">
        <f t="shared" si="9"/>
        <v>0</v>
      </c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>
        <v>255521489</v>
      </c>
      <c r="AN125" s="51">
        <f t="shared" si="18"/>
        <v>255521489</v>
      </c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>
        <v>259165470</v>
      </c>
      <c r="AZ125" s="51"/>
      <c r="BA125" s="51"/>
      <c r="BB125" s="51"/>
      <c r="BC125" s="52">
        <f t="shared" si="12"/>
        <v>514686959</v>
      </c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>
        <v>51833094</v>
      </c>
      <c r="BO125" s="51"/>
      <c r="BP125" s="52">
        <v>566520053</v>
      </c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>
        <v>51833094</v>
      </c>
      <c r="CD125" s="52"/>
      <c r="CE125" s="52"/>
      <c r="CF125" s="52"/>
      <c r="CG125" s="52">
        <f t="shared" si="13"/>
        <v>618353147</v>
      </c>
      <c r="CH125" s="52"/>
      <c r="CI125" s="52"/>
      <c r="CJ125" s="52"/>
      <c r="CK125" s="52"/>
      <c r="CL125" s="52"/>
      <c r="CM125" s="52"/>
      <c r="CN125" s="52"/>
      <c r="CO125" s="52"/>
      <c r="CP125" s="52"/>
      <c r="CQ125" s="52">
        <v>51833094</v>
      </c>
      <c r="CR125" s="52"/>
      <c r="CS125" s="52">
        <f t="shared" si="10"/>
        <v>670186241</v>
      </c>
      <c r="CT125" s="53">
        <v>414664752</v>
      </c>
      <c r="CU125" s="53">
        <f t="shared" si="11"/>
        <v>255521489</v>
      </c>
      <c r="CV125" s="54">
        <f t="shared" si="14"/>
        <v>670186241</v>
      </c>
      <c r="CW125" s="55">
        <f t="shared" si="15"/>
        <v>0</v>
      </c>
      <c r="CX125" s="16"/>
      <c r="CY125" s="16"/>
      <c r="CZ125" s="16"/>
    </row>
    <row r="126" spans="1:108" ht="15" customHeight="1" x14ac:dyDescent="0.2">
      <c r="A126" s="1">
        <v>8900018790</v>
      </c>
      <c r="B126" s="1">
        <v>890001879</v>
      </c>
      <c r="C126" s="9">
        <v>211163111</v>
      </c>
      <c r="D126" s="10" t="s">
        <v>789</v>
      </c>
      <c r="E126" s="46" t="s">
        <v>1806</v>
      </c>
      <c r="F126" s="21"/>
      <c r="G126" s="50"/>
      <c r="H126" s="21"/>
      <c r="I126" s="50"/>
      <c r="J126" s="21"/>
      <c r="K126" s="21"/>
      <c r="L126" s="50"/>
      <c r="M126" s="51"/>
      <c r="N126" s="21"/>
      <c r="O126" s="50"/>
      <c r="P126" s="21"/>
      <c r="Q126" s="50"/>
      <c r="R126" s="21"/>
      <c r="S126" s="21"/>
      <c r="T126" s="50"/>
      <c r="U126" s="51">
        <f t="shared" si="9"/>
        <v>0</v>
      </c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>
        <v>23594850</v>
      </c>
      <c r="AZ126" s="51"/>
      <c r="BA126" s="51">
        <f>VLOOKUP(B126,[1]Hoja3!J$3:K$674,2,0)</f>
        <v>41945957</v>
      </c>
      <c r="BB126" s="51"/>
      <c r="BC126" s="52">
        <f t="shared" si="12"/>
        <v>65540807</v>
      </c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>
        <v>4718970</v>
      </c>
      <c r="BO126" s="51"/>
      <c r="BP126" s="52">
        <v>70259777</v>
      </c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>
        <v>4718970</v>
      </c>
      <c r="CD126" s="52"/>
      <c r="CE126" s="52"/>
      <c r="CF126" s="52"/>
      <c r="CG126" s="52">
        <f t="shared" si="13"/>
        <v>74978747</v>
      </c>
      <c r="CH126" s="52"/>
      <c r="CI126" s="52"/>
      <c r="CJ126" s="52"/>
      <c r="CK126" s="52"/>
      <c r="CL126" s="52"/>
      <c r="CM126" s="52"/>
      <c r="CN126" s="52"/>
      <c r="CO126" s="52"/>
      <c r="CP126" s="52"/>
      <c r="CQ126" s="52">
        <v>4718970</v>
      </c>
      <c r="CR126" s="52"/>
      <c r="CS126" s="52">
        <f t="shared" si="10"/>
        <v>79697717</v>
      </c>
      <c r="CT126" s="53">
        <v>37751760</v>
      </c>
      <c r="CU126" s="53">
        <f t="shared" si="11"/>
        <v>41945957</v>
      </c>
      <c r="CV126" s="54">
        <f t="shared" si="14"/>
        <v>79697717</v>
      </c>
      <c r="CW126" s="55">
        <f t="shared" si="15"/>
        <v>0</v>
      </c>
      <c r="CX126" s="16"/>
      <c r="CY126" s="16"/>
      <c r="CZ126" s="8"/>
      <c r="DA126" s="8"/>
      <c r="DB126" s="8"/>
      <c r="DC126" s="8"/>
      <c r="DD126" s="8"/>
    </row>
    <row r="127" spans="1:108" ht="15" customHeight="1" x14ac:dyDescent="0.2">
      <c r="A127" s="1">
        <v>8922012869</v>
      </c>
      <c r="B127" s="1">
        <v>892201286</v>
      </c>
      <c r="C127" s="9">
        <v>211070110</v>
      </c>
      <c r="D127" s="10" t="s">
        <v>890</v>
      </c>
      <c r="E127" s="46" t="s">
        <v>1903</v>
      </c>
      <c r="F127" s="21"/>
      <c r="G127" s="50"/>
      <c r="H127" s="21"/>
      <c r="I127" s="50"/>
      <c r="J127" s="21"/>
      <c r="K127" s="21"/>
      <c r="L127" s="50"/>
      <c r="M127" s="51"/>
      <c r="N127" s="21"/>
      <c r="O127" s="50"/>
      <c r="P127" s="21"/>
      <c r="Q127" s="50"/>
      <c r="R127" s="21"/>
      <c r="S127" s="21"/>
      <c r="T127" s="50"/>
      <c r="U127" s="51">
        <f t="shared" si="9"/>
        <v>0</v>
      </c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>
        <f>VLOOKUP(B127,[1]Hoja3!J$3:K$674,2,0)</f>
        <v>147427508</v>
      </c>
      <c r="BB127" s="51"/>
      <c r="BC127" s="52">
        <f t="shared" si="12"/>
        <v>147427508</v>
      </c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>
        <v>18964823</v>
      </c>
      <c r="BO127" s="51"/>
      <c r="BP127" s="52">
        <v>166392331</v>
      </c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>
        <v>18964823</v>
      </c>
      <c r="CD127" s="52">
        <v>94824115</v>
      </c>
      <c r="CE127" s="52"/>
      <c r="CF127" s="52"/>
      <c r="CG127" s="52">
        <f t="shared" si="13"/>
        <v>280181269</v>
      </c>
      <c r="CH127" s="52"/>
      <c r="CI127" s="52"/>
      <c r="CJ127" s="52"/>
      <c r="CK127" s="52"/>
      <c r="CL127" s="52"/>
      <c r="CM127" s="52"/>
      <c r="CN127" s="52"/>
      <c r="CO127" s="52"/>
      <c r="CP127" s="52"/>
      <c r="CQ127" s="52">
        <v>18964823</v>
      </c>
      <c r="CR127" s="52"/>
      <c r="CS127" s="52">
        <f t="shared" si="10"/>
        <v>299146092</v>
      </c>
      <c r="CT127" s="53">
        <v>151718584</v>
      </c>
      <c r="CU127" s="53">
        <f t="shared" si="11"/>
        <v>147427508</v>
      </c>
      <c r="CV127" s="54">
        <f t="shared" si="14"/>
        <v>299146092</v>
      </c>
      <c r="CW127" s="55">
        <f t="shared" si="15"/>
        <v>0</v>
      </c>
      <c r="CX127" s="16"/>
      <c r="CY127" s="16"/>
      <c r="CZ127" s="8"/>
      <c r="DA127" s="8"/>
      <c r="DB127" s="8"/>
      <c r="DC127" s="8"/>
      <c r="DD127" s="8"/>
    </row>
    <row r="128" spans="1:108" ht="15" customHeight="1" x14ac:dyDescent="0.2">
      <c r="A128" s="1">
        <v>8915023073</v>
      </c>
      <c r="B128" s="1">
        <v>891502307</v>
      </c>
      <c r="C128" s="9">
        <v>211019110</v>
      </c>
      <c r="D128" s="10" t="s">
        <v>377</v>
      </c>
      <c r="E128" s="46" t="s">
        <v>1409</v>
      </c>
      <c r="F128" s="21"/>
      <c r="G128" s="50"/>
      <c r="H128" s="21"/>
      <c r="I128" s="50"/>
      <c r="J128" s="21"/>
      <c r="K128" s="21"/>
      <c r="L128" s="50"/>
      <c r="M128" s="51"/>
      <c r="N128" s="21"/>
      <c r="O128" s="50"/>
      <c r="P128" s="21"/>
      <c r="Q128" s="50"/>
      <c r="R128" s="21"/>
      <c r="S128" s="21"/>
      <c r="T128" s="50"/>
      <c r="U128" s="51">
        <f t="shared" si="9"/>
        <v>0</v>
      </c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>
        <v>156127387</v>
      </c>
      <c r="AN128" s="51">
        <f>SUBTOTAL(9,AC128:AM128)</f>
        <v>156127387</v>
      </c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>
        <f>VLOOKUP(B128,[1]Hoja3!J$3:K$674,2,0)</f>
        <v>221410174</v>
      </c>
      <c r="BB128" s="51"/>
      <c r="BC128" s="52">
        <f t="shared" si="12"/>
        <v>377537561</v>
      </c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>
        <v>0</v>
      </c>
      <c r="BO128" s="51"/>
      <c r="BP128" s="52">
        <v>377537561</v>
      </c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>
        <v>0</v>
      </c>
      <c r="CD128" s="52"/>
      <c r="CE128" s="52"/>
      <c r="CF128" s="52"/>
      <c r="CG128" s="52">
        <f t="shared" si="13"/>
        <v>377537561</v>
      </c>
      <c r="CH128" s="52"/>
      <c r="CI128" s="52"/>
      <c r="CJ128" s="52"/>
      <c r="CK128" s="52"/>
      <c r="CL128" s="52"/>
      <c r="CM128" s="52"/>
      <c r="CN128" s="52"/>
      <c r="CO128" s="52"/>
      <c r="CP128" s="52"/>
      <c r="CQ128" s="52">
        <v>0</v>
      </c>
      <c r="CR128" s="52"/>
      <c r="CS128" s="52">
        <f t="shared" si="10"/>
        <v>377537561</v>
      </c>
      <c r="CT128" s="53"/>
      <c r="CU128" s="53">
        <f t="shared" si="11"/>
        <v>377537561</v>
      </c>
      <c r="CV128" s="54">
        <f t="shared" si="14"/>
        <v>377537561</v>
      </c>
      <c r="CW128" s="55">
        <f t="shared" si="15"/>
        <v>0</v>
      </c>
      <c r="CX128" s="16"/>
      <c r="CY128" s="16"/>
      <c r="CZ128" s="16"/>
    </row>
    <row r="129" spans="1:108" ht="15" customHeight="1" x14ac:dyDescent="0.2">
      <c r="A129" s="1">
        <v>8000990624</v>
      </c>
      <c r="B129" s="1">
        <v>800099062</v>
      </c>
      <c r="C129" s="9">
        <v>211052110</v>
      </c>
      <c r="D129" s="10" t="s">
        <v>698</v>
      </c>
      <c r="E129" s="46" t="s">
        <v>1720</v>
      </c>
      <c r="F129" s="21"/>
      <c r="G129" s="50"/>
      <c r="H129" s="21"/>
      <c r="I129" s="50"/>
      <c r="J129" s="21"/>
      <c r="K129" s="21"/>
      <c r="L129" s="50"/>
      <c r="M129" s="51"/>
      <c r="N129" s="21"/>
      <c r="O129" s="50"/>
      <c r="P129" s="21"/>
      <c r="Q129" s="50"/>
      <c r="R129" s="21"/>
      <c r="S129" s="21"/>
      <c r="T129" s="50"/>
      <c r="U129" s="51">
        <f t="shared" si="9"/>
        <v>0</v>
      </c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>
        <v>65035840</v>
      </c>
      <c r="AN129" s="51">
        <f>SUBTOTAL(9,AC129:AM129)</f>
        <v>65035840</v>
      </c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>
        <v>149116070</v>
      </c>
      <c r="AZ129" s="51"/>
      <c r="BA129" s="51">
        <f>VLOOKUP(B129,[1]Hoja3!J$3:K$674,2,0)</f>
        <v>237667146</v>
      </c>
      <c r="BB129" s="51"/>
      <c r="BC129" s="52">
        <f t="shared" si="12"/>
        <v>451819056</v>
      </c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>
        <v>29823214</v>
      </c>
      <c r="BO129" s="51"/>
      <c r="BP129" s="52">
        <v>481642270</v>
      </c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>
        <v>29823214</v>
      </c>
      <c r="CD129" s="52"/>
      <c r="CE129" s="52"/>
      <c r="CF129" s="52"/>
      <c r="CG129" s="52">
        <f t="shared" si="13"/>
        <v>511465484</v>
      </c>
      <c r="CH129" s="52"/>
      <c r="CI129" s="52"/>
      <c r="CJ129" s="52"/>
      <c r="CK129" s="52"/>
      <c r="CL129" s="52"/>
      <c r="CM129" s="52"/>
      <c r="CN129" s="52"/>
      <c r="CO129" s="52"/>
      <c r="CP129" s="52"/>
      <c r="CQ129" s="52">
        <v>29823214</v>
      </c>
      <c r="CR129" s="52"/>
      <c r="CS129" s="52">
        <f t="shared" si="10"/>
        <v>541288698</v>
      </c>
      <c r="CT129" s="53">
        <v>238585712</v>
      </c>
      <c r="CU129" s="53">
        <f t="shared" si="11"/>
        <v>302702986</v>
      </c>
      <c r="CV129" s="54">
        <f t="shared" si="14"/>
        <v>541288698</v>
      </c>
      <c r="CW129" s="55">
        <f t="shared" si="15"/>
        <v>0</v>
      </c>
      <c r="CX129" s="16"/>
      <c r="CY129" s="16"/>
      <c r="CZ129" s="16"/>
    </row>
    <row r="130" spans="1:108" ht="15" customHeight="1" x14ac:dyDescent="0.2">
      <c r="A130" s="1">
        <v>8913800335</v>
      </c>
      <c r="B130" s="1">
        <v>891380033</v>
      </c>
      <c r="C130" s="9">
        <v>211176111</v>
      </c>
      <c r="D130" s="10" t="s">
        <v>2147</v>
      </c>
      <c r="E130" s="47" t="s">
        <v>1055</v>
      </c>
      <c r="F130" s="21"/>
      <c r="G130" s="50"/>
      <c r="H130" s="21"/>
      <c r="I130" s="50">
        <f>2623247421+75628052</f>
        <v>2698875473</v>
      </c>
      <c r="J130" s="21">
        <v>179051312</v>
      </c>
      <c r="K130" s="21">
        <v>356264469</v>
      </c>
      <c r="L130" s="50"/>
      <c r="M130" s="52">
        <f>SUM(F130:L130)</f>
        <v>3234191254</v>
      </c>
      <c r="N130" s="21"/>
      <c r="O130" s="50"/>
      <c r="P130" s="21"/>
      <c r="Q130" s="50">
        <f>2551419325+34376387</f>
        <v>2585795712</v>
      </c>
      <c r="R130" s="21">
        <v>179391809</v>
      </c>
      <c r="S130" s="21">
        <f>177213157+179391809</f>
        <v>356604966</v>
      </c>
      <c r="T130" s="50"/>
      <c r="U130" s="51">
        <f t="shared" si="9"/>
        <v>6355983741</v>
      </c>
      <c r="V130" s="51"/>
      <c r="W130" s="51"/>
      <c r="X130" s="51"/>
      <c r="Y130" s="51">
        <v>3426216899</v>
      </c>
      <c r="Z130" s="51">
        <v>167210941</v>
      </c>
      <c r="AA130" s="51">
        <v>392281442</v>
      </c>
      <c r="AB130" s="51"/>
      <c r="AC130" s="51">
        <f t="shared" si="16"/>
        <v>10341693023</v>
      </c>
      <c r="AD130" s="51"/>
      <c r="AE130" s="51"/>
      <c r="AF130" s="51"/>
      <c r="AG130" s="51"/>
      <c r="AH130" s="51">
        <v>2819567575</v>
      </c>
      <c r="AI130" s="51">
        <v>404658018</v>
      </c>
      <c r="AJ130" s="51">
        <v>181239943</v>
      </c>
      <c r="AK130" s="51">
        <v>457047735</v>
      </c>
      <c r="AL130" s="51"/>
      <c r="AM130" s="51">
        <v>1247103985</v>
      </c>
      <c r="AN130" s="51">
        <f>SUBTOTAL(9,AC130:AM130)</f>
        <v>15451310279</v>
      </c>
      <c r="AO130" s="51"/>
      <c r="AP130" s="51"/>
      <c r="AQ130" s="51">
        <v>418264415</v>
      </c>
      <c r="AR130" s="51"/>
      <c r="AS130" s="51"/>
      <c r="AT130" s="51">
        <v>2819567575</v>
      </c>
      <c r="AU130" s="51"/>
      <c r="AV130" s="51">
        <v>181239943</v>
      </c>
      <c r="AW130" s="51">
        <v>309696427</v>
      </c>
      <c r="AX130" s="51"/>
      <c r="AY130" s="51"/>
      <c r="AZ130" s="51">
        <v>430270668</v>
      </c>
      <c r="BA130" s="51"/>
      <c r="BB130" s="51"/>
      <c r="BC130" s="52">
        <f t="shared" si="12"/>
        <v>19610349307</v>
      </c>
      <c r="BD130" s="51"/>
      <c r="BE130" s="51"/>
      <c r="BF130" s="51">
        <v>83652883</v>
      </c>
      <c r="BG130" s="51"/>
      <c r="BH130" s="51"/>
      <c r="BI130" s="51">
        <v>2745162043</v>
      </c>
      <c r="BJ130" s="51">
        <v>125897860</v>
      </c>
      <c r="BK130" s="51">
        <v>181090473</v>
      </c>
      <c r="BL130" s="51">
        <v>465972189</v>
      </c>
      <c r="BM130" s="51"/>
      <c r="BN130" s="51"/>
      <c r="BO130" s="51"/>
      <c r="BP130" s="52">
        <v>23212124755</v>
      </c>
      <c r="BQ130" s="52"/>
      <c r="BR130" s="52"/>
      <c r="BS130" s="52">
        <v>83652883</v>
      </c>
      <c r="BT130" s="52"/>
      <c r="BU130" s="52"/>
      <c r="BV130" s="52"/>
      <c r="BW130" s="52">
        <v>2787116726</v>
      </c>
      <c r="BX130" s="52"/>
      <c r="BY130" s="52">
        <v>1255801647</v>
      </c>
      <c r="BZ130" s="52">
        <v>185770464</v>
      </c>
      <c r="CA130" s="52">
        <v>479903435</v>
      </c>
      <c r="CB130" s="52"/>
      <c r="CC130" s="52"/>
      <c r="CD130" s="52"/>
      <c r="CE130" s="52"/>
      <c r="CF130" s="52"/>
      <c r="CG130" s="52">
        <f t="shared" si="13"/>
        <v>28004369910</v>
      </c>
      <c r="CH130" s="52"/>
      <c r="CI130" s="52"/>
      <c r="CJ130" s="52">
        <v>83652883</v>
      </c>
      <c r="CK130" s="52"/>
      <c r="CL130" s="52">
        <v>2830165502</v>
      </c>
      <c r="CM130" s="52">
        <v>0</v>
      </c>
      <c r="CN130" s="52">
        <v>189198792</v>
      </c>
      <c r="CO130" s="52">
        <v>342522190</v>
      </c>
      <c r="CP130" s="52"/>
      <c r="CQ130" s="52"/>
      <c r="CR130" s="52"/>
      <c r="CS130" s="52">
        <f t="shared" si="10"/>
        <v>31449909277</v>
      </c>
      <c r="CT130" s="53">
        <v>30202805292</v>
      </c>
      <c r="CU130" s="53">
        <f t="shared" si="11"/>
        <v>1247103985</v>
      </c>
      <c r="CV130" s="54">
        <f t="shared" si="14"/>
        <v>31449909277</v>
      </c>
      <c r="CW130" s="55">
        <f t="shared" si="15"/>
        <v>0</v>
      </c>
      <c r="CX130" s="16"/>
      <c r="CY130" s="16"/>
      <c r="CZ130" s="16"/>
    </row>
    <row r="131" spans="1:108" ht="15" customHeight="1" x14ac:dyDescent="0.2">
      <c r="A131" s="1">
        <v>8919003531</v>
      </c>
      <c r="B131" s="1">
        <v>891900353</v>
      </c>
      <c r="C131" s="9">
        <v>211376113</v>
      </c>
      <c r="D131" s="10" t="s">
        <v>917</v>
      </c>
      <c r="E131" s="46" t="s">
        <v>1978</v>
      </c>
      <c r="F131" s="21"/>
      <c r="G131" s="50"/>
      <c r="H131" s="21"/>
      <c r="I131" s="50"/>
      <c r="J131" s="21"/>
      <c r="K131" s="21"/>
      <c r="L131" s="50"/>
      <c r="M131" s="51"/>
      <c r="N131" s="21"/>
      <c r="O131" s="50"/>
      <c r="P131" s="21"/>
      <c r="Q131" s="50"/>
      <c r="R131" s="21"/>
      <c r="S131" s="21"/>
      <c r="T131" s="50"/>
      <c r="U131" s="51">
        <f t="shared" ref="U131:U194" si="19">SUM(M131:T131)</f>
        <v>0</v>
      </c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>
        <v>298455705</v>
      </c>
      <c r="AN131" s="51">
        <f>SUBTOTAL(9,AC131:AM131)</f>
        <v>298455705</v>
      </c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>
        <v>99023135</v>
      </c>
      <c r="AZ131" s="51"/>
      <c r="BA131" s="51"/>
      <c r="BB131" s="51"/>
      <c r="BC131" s="52">
        <f t="shared" si="12"/>
        <v>397478840</v>
      </c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>
        <v>19804627</v>
      </c>
      <c r="BO131" s="51"/>
      <c r="BP131" s="52">
        <v>417283467</v>
      </c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>
        <v>19804627</v>
      </c>
      <c r="CD131" s="52"/>
      <c r="CE131" s="52"/>
      <c r="CF131" s="52"/>
      <c r="CG131" s="52">
        <f t="shared" si="13"/>
        <v>437088094</v>
      </c>
      <c r="CH131" s="52"/>
      <c r="CI131" s="52"/>
      <c r="CJ131" s="52"/>
      <c r="CK131" s="52"/>
      <c r="CL131" s="52"/>
      <c r="CM131" s="52"/>
      <c r="CN131" s="52"/>
      <c r="CO131" s="52"/>
      <c r="CP131" s="52"/>
      <c r="CQ131" s="52">
        <v>19804627</v>
      </c>
      <c r="CR131" s="52"/>
      <c r="CS131" s="52">
        <f t="shared" ref="CS131:CS194" si="20">SUM(CG131:CR131)</f>
        <v>456892721</v>
      </c>
      <c r="CT131" s="53">
        <v>158437016</v>
      </c>
      <c r="CU131" s="53">
        <f t="shared" ref="CU131:CU194" si="21">+AM131+BA131-BB131+BO131+CE131+CF131+CR131</f>
        <v>298455705</v>
      </c>
      <c r="CV131" s="54">
        <f t="shared" si="14"/>
        <v>456892721</v>
      </c>
      <c r="CW131" s="55">
        <f t="shared" si="15"/>
        <v>0</v>
      </c>
      <c r="CX131" s="16"/>
      <c r="CY131" s="16"/>
      <c r="CZ131" s="16"/>
    </row>
    <row r="132" spans="1:108" ht="15" customHeight="1" x14ac:dyDescent="0.2">
      <c r="A132" s="1">
        <v>8909838080</v>
      </c>
      <c r="B132" s="1">
        <v>890983808</v>
      </c>
      <c r="C132" s="9">
        <v>211305113</v>
      </c>
      <c r="D132" s="10" t="s">
        <v>64</v>
      </c>
      <c r="E132" s="46" t="s">
        <v>1095</v>
      </c>
      <c r="F132" s="21"/>
      <c r="G132" s="50"/>
      <c r="H132" s="21"/>
      <c r="I132" s="50"/>
      <c r="J132" s="21"/>
      <c r="K132" s="21"/>
      <c r="L132" s="50"/>
      <c r="M132" s="51"/>
      <c r="N132" s="21"/>
      <c r="O132" s="50"/>
      <c r="P132" s="21"/>
      <c r="Q132" s="50"/>
      <c r="R132" s="21"/>
      <c r="S132" s="21"/>
      <c r="T132" s="50"/>
      <c r="U132" s="51">
        <f t="shared" si="19"/>
        <v>0</v>
      </c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>
        <v>73408860</v>
      </c>
      <c r="AZ132" s="51"/>
      <c r="BA132" s="51">
        <f>VLOOKUP(B132,[1]Hoja3!J$3:K$674,2,0)</f>
        <v>117767683</v>
      </c>
      <c r="BB132" s="51"/>
      <c r="BC132" s="52">
        <f t="shared" ref="BC132:BC195" si="22">SUM(AN132:BA132)-BB132</f>
        <v>191176543</v>
      </c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>
        <v>14681772</v>
      </c>
      <c r="BO132" s="51"/>
      <c r="BP132" s="52">
        <v>205858315</v>
      </c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>
        <v>14681772</v>
      </c>
      <c r="CD132" s="52"/>
      <c r="CE132" s="52"/>
      <c r="CF132" s="52"/>
      <c r="CG132" s="52">
        <f t="shared" ref="CG132:CG195" si="23">SUM(BP132:CF132)</f>
        <v>220540087</v>
      </c>
      <c r="CH132" s="52"/>
      <c r="CI132" s="52"/>
      <c r="CJ132" s="52"/>
      <c r="CK132" s="52"/>
      <c r="CL132" s="52"/>
      <c r="CM132" s="52"/>
      <c r="CN132" s="52"/>
      <c r="CO132" s="52"/>
      <c r="CP132" s="52"/>
      <c r="CQ132" s="52">
        <v>14681772</v>
      </c>
      <c r="CR132" s="52"/>
      <c r="CS132" s="52">
        <f t="shared" si="20"/>
        <v>235221859</v>
      </c>
      <c r="CT132" s="53">
        <v>117454176</v>
      </c>
      <c r="CU132" s="53">
        <f t="shared" si="21"/>
        <v>117767683</v>
      </c>
      <c r="CV132" s="54">
        <f t="shared" ref="CV132:CV195" si="24">+CT132+CU132</f>
        <v>235221859</v>
      </c>
      <c r="CW132" s="55">
        <f t="shared" ref="CW132:CW195" si="25">+CS132-CV132</f>
        <v>0</v>
      </c>
      <c r="CX132" s="16"/>
      <c r="CY132" s="16"/>
      <c r="CZ132" s="8"/>
      <c r="DA132" s="8"/>
      <c r="DB132" s="8"/>
      <c r="DC132" s="8"/>
      <c r="DD132" s="8"/>
    </row>
    <row r="133" spans="1:108" ht="15" customHeight="1" x14ac:dyDescent="0.2">
      <c r="A133" s="1">
        <v>8000997148</v>
      </c>
      <c r="B133" s="1">
        <v>800099714</v>
      </c>
      <c r="C133" s="9">
        <v>211415114</v>
      </c>
      <c r="D133" s="10" t="s">
        <v>227</v>
      </c>
      <c r="E133" s="46" t="s">
        <v>1263</v>
      </c>
      <c r="F133" s="21"/>
      <c r="G133" s="50"/>
      <c r="H133" s="21"/>
      <c r="I133" s="50"/>
      <c r="J133" s="21"/>
      <c r="K133" s="21"/>
      <c r="L133" s="50"/>
      <c r="M133" s="51"/>
      <c r="N133" s="21"/>
      <c r="O133" s="50"/>
      <c r="P133" s="21"/>
      <c r="Q133" s="50"/>
      <c r="R133" s="21"/>
      <c r="S133" s="21"/>
      <c r="T133" s="50"/>
      <c r="U133" s="51">
        <f t="shared" si="19"/>
        <v>0</v>
      </c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>
        <v>4343140</v>
      </c>
      <c r="AZ133" s="51"/>
      <c r="BA133" s="51">
        <f>VLOOKUP(B133,[1]Hoja3!J$3:K$674,2,0)</f>
        <v>7530659</v>
      </c>
      <c r="BB133" s="51"/>
      <c r="BC133" s="52">
        <f t="shared" si="22"/>
        <v>11873799</v>
      </c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>
        <v>868628</v>
      </c>
      <c r="BO133" s="51"/>
      <c r="BP133" s="52">
        <v>12742427</v>
      </c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>
        <v>868628</v>
      </c>
      <c r="CD133" s="52"/>
      <c r="CE133" s="52"/>
      <c r="CF133" s="52"/>
      <c r="CG133" s="52">
        <f t="shared" si="23"/>
        <v>13611055</v>
      </c>
      <c r="CH133" s="52"/>
      <c r="CI133" s="52"/>
      <c r="CJ133" s="52"/>
      <c r="CK133" s="52"/>
      <c r="CL133" s="52"/>
      <c r="CM133" s="52"/>
      <c r="CN133" s="52"/>
      <c r="CO133" s="52"/>
      <c r="CP133" s="52"/>
      <c r="CQ133" s="52">
        <v>868628</v>
      </c>
      <c r="CR133" s="52"/>
      <c r="CS133" s="52">
        <f t="shared" si="20"/>
        <v>14479683</v>
      </c>
      <c r="CT133" s="53">
        <v>6949024</v>
      </c>
      <c r="CU133" s="53">
        <f t="shared" si="21"/>
        <v>7530659</v>
      </c>
      <c r="CV133" s="54">
        <f t="shared" si="24"/>
        <v>14479683</v>
      </c>
      <c r="CW133" s="55">
        <f t="shared" si="25"/>
        <v>0</v>
      </c>
      <c r="CX133" s="16"/>
      <c r="CY133" s="16"/>
      <c r="CZ133" s="8"/>
      <c r="DA133" s="8"/>
      <c r="DB133" s="8"/>
      <c r="DC133" s="8"/>
      <c r="DD133" s="8"/>
    </row>
    <row r="134" spans="1:108" ht="15" customHeight="1" x14ac:dyDescent="0.2">
      <c r="A134" s="1">
        <v>8906801075</v>
      </c>
      <c r="B134" s="1">
        <v>890680107</v>
      </c>
      <c r="C134" s="9">
        <v>212025120</v>
      </c>
      <c r="D134" s="10" t="s">
        <v>468</v>
      </c>
      <c r="E134" s="46" t="s">
        <v>1495</v>
      </c>
      <c r="F134" s="21"/>
      <c r="G134" s="50"/>
      <c r="H134" s="21"/>
      <c r="I134" s="50"/>
      <c r="J134" s="21"/>
      <c r="K134" s="21"/>
      <c r="L134" s="50"/>
      <c r="M134" s="51"/>
      <c r="N134" s="21"/>
      <c r="O134" s="50"/>
      <c r="P134" s="21"/>
      <c r="Q134" s="50"/>
      <c r="R134" s="21"/>
      <c r="S134" s="21"/>
      <c r="T134" s="50"/>
      <c r="U134" s="51">
        <f t="shared" si="19"/>
        <v>0</v>
      </c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>
        <v>72464686</v>
      </c>
      <c r="AN134" s="51">
        <f t="shared" ref="AN134:AN140" si="26">SUBTOTAL(9,AC134:AM134)</f>
        <v>72464686</v>
      </c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>
        <v>34612500</v>
      </c>
      <c r="AZ134" s="51"/>
      <c r="BA134" s="51"/>
      <c r="BB134" s="51"/>
      <c r="BC134" s="52">
        <f t="shared" si="22"/>
        <v>107077186</v>
      </c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>
        <v>6922500</v>
      </c>
      <c r="BO134" s="51"/>
      <c r="BP134" s="52">
        <v>113999686</v>
      </c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>
        <v>6922500</v>
      </c>
      <c r="CD134" s="52"/>
      <c r="CE134" s="52"/>
      <c r="CF134" s="52"/>
      <c r="CG134" s="52">
        <f t="shared" si="23"/>
        <v>120922186</v>
      </c>
      <c r="CH134" s="52"/>
      <c r="CI134" s="52"/>
      <c r="CJ134" s="52"/>
      <c r="CK134" s="52"/>
      <c r="CL134" s="52"/>
      <c r="CM134" s="52"/>
      <c r="CN134" s="52"/>
      <c r="CO134" s="52"/>
      <c r="CP134" s="52"/>
      <c r="CQ134" s="52">
        <v>6922500</v>
      </c>
      <c r="CR134" s="52"/>
      <c r="CS134" s="52">
        <f t="shared" si="20"/>
        <v>127844686</v>
      </c>
      <c r="CT134" s="53">
        <v>55380000</v>
      </c>
      <c r="CU134" s="53">
        <f t="shared" si="21"/>
        <v>72464686</v>
      </c>
      <c r="CV134" s="54">
        <f t="shared" si="24"/>
        <v>127844686</v>
      </c>
      <c r="CW134" s="55">
        <f t="shared" si="25"/>
        <v>0</v>
      </c>
      <c r="CX134" s="16"/>
      <c r="CY134" s="16"/>
      <c r="CZ134" s="16"/>
    </row>
    <row r="135" spans="1:108" ht="15" customHeight="1" x14ac:dyDescent="0.2">
      <c r="A135" s="1">
        <v>8902055753</v>
      </c>
      <c r="B135" s="1">
        <v>890205575</v>
      </c>
      <c r="C135" s="9">
        <v>212168121</v>
      </c>
      <c r="D135" s="10" t="s">
        <v>819</v>
      </c>
      <c r="E135" s="46" t="s">
        <v>1836</v>
      </c>
      <c r="F135" s="21"/>
      <c r="G135" s="50"/>
      <c r="H135" s="21"/>
      <c r="I135" s="50"/>
      <c r="J135" s="21"/>
      <c r="K135" s="21"/>
      <c r="L135" s="50"/>
      <c r="M135" s="51"/>
      <c r="N135" s="21"/>
      <c r="O135" s="50"/>
      <c r="P135" s="21"/>
      <c r="Q135" s="50"/>
      <c r="R135" s="21"/>
      <c r="S135" s="21"/>
      <c r="T135" s="50"/>
      <c r="U135" s="51">
        <f t="shared" si="19"/>
        <v>0</v>
      </c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>
        <v>22184644</v>
      </c>
      <c r="AN135" s="51">
        <f t="shared" si="26"/>
        <v>22184644</v>
      </c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>
        <v>10902305</v>
      </c>
      <c r="AZ135" s="51"/>
      <c r="BA135" s="51"/>
      <c r="BB135" s="51"/>
      <c r="BC135" s="52">
        <f t="shared" si="22"/>
        <v>33086949</v>
      </c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>
        <v>2180461</v>
      </c>
      <c r="BO135" s="51"/>
      <c r="BP135" s="52">
        <v>35267410</v>
      </c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>
        <v>2180461</v>
      </c>
      <c r="CD135" s="52"/>
      <c r="CE135" s="52"/>
      <c r="CF135" s="52"/>
      <c r="CG135" s="52">
        <f t="shared" si="23"/>
        <v>37447871</v>
      </c>
      <c r="CH135" s="52"/>
      <c r="CI135" s="52"/>
      <c r="CJ135" s="52"/>
      <c r="CK135" s="52"/>
      <c r="CL135" s="52"/>
      <c r="CM135" s="52"/>
      <c r="CN135" s="52"/>
      <c r="CO135" s="52"/>
      <c r="CP135" s="52"/>
      <c r="CQ135" s="52">
        <v>2180461</v>
      </c>
      <c r="CR135" s="52"/>
      <c r="CS135" s="52">
        <f t="shared" si="20"/>
        <v>39628332</v>
      </c>
      <c r="CT135" s="53">
        <v>17443688</v>
      </c>
      <c r="CU135" s="53">
        <f t="shared" si="21"/>
        <v>22184644</v>
      </c>
      <c r="CV135" s="54">
        <f t="shared" si="24"/>
        <v>39628332</v>
      </c>
      <c r="CW135" s="55">
        <f t="shared" si="25"/>
        <v>0</v>
      </c>
      <c r="CX135" s="16"/>
      <c r="CY135" s="16"/>
      <c r="CZ135" s="8"/>
      <c r="DA135" s="8"/>
      <c r="DB135" s="8"/>
      <c r="DC135" s="8"/>
      <c r="DD135" s="8"/>
    </row>
    <row r="136" spans="1:108" ht="15" customHeight="1" x14ac:dyDescent="0.2">
      <c r="A136" s="1">
        <v>8920992324</v>
      </c>
      <c r="B136" s="1">
        <v>892099232</v>
      </c>
      <c r="C136" s="9">
        <v>212450124</v>
      </c>
      <c r="D136" s="10" t="s">
        <v>668</v>
      </c>
      <c r="E136" s="46" t="s">
        <v>1688</v>
      </c>
      <c r="F136" s="21"/>
      <c r="G136" s="50"/>
      <c r="H136" s="21"/>
      <c r="I136" s="50"/>
      <c r="J136" s="21"/>
      <c r="K136" s="21"/>
      <c r="L136" s="50"/>
      <c r="M136" s="51"/>
      <c r="N136" s="21"/>
      <c r="O136" s="50"/>
      <c r="P136" s="21"/>
      <c r="Q136" s="50"/>
      <c r="R136" s="21"/>
      <c r="S136" s="21"/>
      <c r="T136" s="50"/>
      <c r="U136" s="51">
        <f t="shared" si="19"/>
        <v>0</v>
      </c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>
        <v>89421062</v>
      </c>
      <c r="AN136" s="51">
        <f t="shared" si="26"/>
        <v>89421062</v>
      </c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>
        <v>41110240</v>
      </c>
      <c r="AZ136" s="51"/>
      <c r="BA136" s="51"/>
      <c r="BB136" s="51"/>
      <c r="BC136" s="52">
        <f t="shared" si="22"/>
        <v>130531302</v>
      </c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>
        <v>8222048</v>
      </c>
      <c r="BO136" s="51"/>
      <c r="BP136" s="52">
        <v>138753350</v>
      </c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>
        <v>8222048</v>
      </c>
      <c r="CD136" s="52"/>
      <c r="CE136" s="52"/>
      <c r="CF136" s="52"/>
      <c r="CG136" s="52">
        <f t="shared" si="23"/>
        <v>146975398</v>
      </c>
      <c r="CH136" s="52"/>
      <c r="CI136" s="52"/>
      <c r="CJ136" s="52"/>
      <c r="CK136" s="52"/>
      <c r="CL136" s="52"/>
      <c r="CM136" s="52"/>
      <c r="CN136" s="52"/>
      <c r="CO136" s="52"/>
      <c r="CP136" s="52"/>
      <c r="CQ136" s="52">
        <v>8222048</v>
      </c>
      <c r="CR136" s="52"/>
      <c r="CS136" s="52">
        <f t="shared" si="20"/>
        <v>155197446</v>
      </c>
      <c r="CT136" s="53">
        <v>65776384</v>
      </c>
      <c r="CU136" s="53">
        <f t="shared" si="21"/>
        <v>89421062</v>
      </c>
      <c r="CV136" s="54">
        <f t="shared" si="24"/>
        <v>155197446</v>
      </c>
      <c r="CW136" s="55">
        <f t="shared" si="25"/>
        <v>0</v>
      </c>
      <c r="CX136" s="16"/>
      <c r="CY136" s="16"/>
      <c r="CZ136" s="16"/>
    </row>
    <row r="137" spans="1:108" ht="15" customHeight="1" x14ac:dyDescent="0.2">
      <c r="A137" s="1">
        <v>8909815671</v>
      </c>
      <c r="B137" s="1">
        <v>890981567</v>
      </c>
      <c r="C137" s="9">
        <v>212005120</v>
      </c>
      <c r="D137" s="10" t="s">
        <v>65</v>
      </c>
      <c r="E137" s="46" t="s">
        <v>1096</v>
      </c>
      <c r="F137" s="21"/>
      <c r="G137" s="50"/>
      <c r="H137" s="21"/>
      <c r="I137" s="50"/>
      <c r="J137" s="21"/>
      <c r="K137" s="21"/>
      <c r="L137" s="50"/>
      <c r="M137" s="51"/>
      <c r="N137" s="21"/>
      <c r="O137" s="50"/>
      <c r="P137" s="21"/>
      <c r="Q137" s="50"/>
      <c r="R137" s="21"/>
      <c r="S137" s="21"/>
      <c r="T137" s="50"/>
      <c r="U137" s="51">
        <f t="shared" si="19"/>
        <v>0</v>
      </c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>
        <v>497006981</v>
      </c>
      <c r="AN137" s="51">
        <f t="shared" si="26"/>
        <v>497006981</v>
      </c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>
        <v>367115805</v>
      </c>
      <c r="AZ137" s="51"/>
      <c r="BA137" s="51"/>
      <c r="BB137" s="51">
        <f>VLOOKUP(B137,'[2]anuladas en mayo gratuidad}'!K$2:L$55,2,0)</f>
        <v>16823104</v>
      </c>
      <c r="BC137" s="52">
        <f t="shared" si="22"/>
        <v>847299682</v>
      </c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>
        <v>73423161</v>
      </c>
      <c r="BO137" s="51"/>
      <c r="BP137" s="52">
        <v>920722843</v>
      </c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>
        <v>73423161</v>
      </c>
      <c r="CD137" s="52"/>
      <c r="CE137" s="52"/>
      <c r="CF137" s="52"/>
      <c r="CG137" s="52">
        <f t="shared" si="23"/>
        <v>994146004</v>
      </c>
      <c r="CH137" s="52"/>
      <c r="CI137" s="52"/>
      <c r="CJ137" s="52"/>
      <c r="CK137" s="52"/>
      <c r="CL137" s="52"/>
      <c r="CM137" s="52"/>
      <c r="CN137" s="52"/>
      <c r="CO137" s="52"/>
      <c r="CP137" s="52"/>
      <c r="CQ137" s="52">
        <v>73423161</v>
      </c>
      <c r="CR137" s="52"/>
      <c r="CS137" s="52">
        <f t="shared" si="20"/>
        <v>1067569165</v>
      </c>
      <c r="CT137" s="53">
        <v>587385288</v>
      </c>
      <c r="CU137" s="53">
        <f t="shared" si="21"/>
        <v>480183877</v>
      </c>
      <c r="CV137" s="54">
        <f t="shared" si="24"/>
        <v>1067569165</v>
      </c>
      <c r="CW137" s="55">
        <f t="shared" si="25"/>
        <v>0</v>
      </c>
      <c r="CX137" s="16"/>
      <c r="CY137" s="16"/>
      <c r="CZ137" s="16"/>
    </row>
    <row r="138" spans="1:108" ht="15" customHeight="1" x14ac:dyDescent="0.2">
      <c r="A138" s="1">
        <v>8000810919</v>
      </c>
      <c r="B138" s="1">
        <v>800081091</v>
      </c>
      <c r="C138" s="9">
        <v>212325123</v>
      </c>
      <c r="D138" s="10" t="s">
        <v>469</v>
      </c>
      <c r="E138" s="46" t="s">
        <v>1496</v>
      </c>
      <c r="F138" s="21"/>
      <c r="G138" s="50"/>
      <c r="H138" s="21"/>
      <c r="I138" s="50"/>
      <c r="J138" s="21"/>
      <c r="K138" s="21"/>
      <c r="L138" s="50"/>
      <c r="M138" s="51"/>
      <c r="N138" s="21"/>
      <c r="O138" s="50"/>
      <c r="P138" s="21"/>
      <c r="Q138" s="50"/>
      <c r="R138" s="21"/>
      <c r="S138" s="21"/>
      <c r="T138" s="50"/>
      <c r="U138" s="51">
        <f t="shared" si="19"/>
        <v>0</v>
      </c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>
        <v>94553148</v>
      </c>
      <c r="AN138" s="51">
        <f t="shared" si="26"/>
        <v>94553148</v>
      </c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2">
        <f t="shared" si="22"/>
        <v>94553148</v>
      </c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>
        <v>0</v>
      </c>
      <c r="BO138" s="51"/>
      <c r="BP138" s="52">
        <v>94553148</v>
      </c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>
        <v>0</v>
      </c>
      <c r="CD138" s="52"/>
      <c r="CE138" s="52"/>
      <c r="CF138" s="52"/>
      <c r="CG138" s="52">
        <f t="shared" si="23"/>
        <v>94553148</v>
      </c>
      <c r="CH138" s="52"/>
      <c r="CI138" s="52"/>
      <c r="CJ138" s="52"/>
      <c r="CK138" s="52"/>
      <c r="CL138" s="52"/>
      <c r="CM138" s="52"/>
      <c r="CN138" s="52"/>
      <c r="CO138" s="52"/>
      <c r="CP138" s="52"/>
      <c r="CQ138" s="52">
        <v>0</v>
      </c>
      <c r="CR138" s="52"/>
      <c r="CS138" s="52">
        <f t="shared" si="20"/>
        <v>94553148</v>
      </c>
      <c r="CT138" s="53"/>
      <c r="CU138" s="53">
        <f t="shared" si="21"/>
        <v>94553148</v>
      </c>
      <c r="CV138" s="54">
        <f t="shared" si="24"/>
        <v>94553148</v>
      </c>
      <c r="CW138" s="55">
        <f t="shared" si="25"/>
        <v>0</v>
      </c>
      <c r="CX138" s="16"/>
      <c r="CY138" s="16"/>
      <c r="CZ138" s="16"/>
    </row>
    <row r="139" spans="1:108" ht="15" customHeight="1" x14ac:dyDescent="0.2">
      <c r="A139" s="1">
        <v>8905017766</v>
      </c>
      <c r="B139" s="1">
        <v>890501776</v>
      </c>
      <c r="C139" s="9">
        <v>212854128</v>
      </c>
      <c r="D139" s="10" t="s">
        <v>756</v>
      </c>
      <c r="E139" s="48" t="s">
        <v>2110</v>
      </c>
      <c r="F139" s="21"/>
      <c r="G139" s="50"/>
      <c r="H139" s="21"/>
      <c r="I139" s="50"/>
      <c r="J139" s="21"/>
      <c r="K139" s="21"/>
      <c r="L139" s="50"/>
      <c r="M139" s="51"/>
      <c r="N139" s="21"/>
      <c r="O139" s="50"/>
      <c r="P139" s="21"/>
      <c r="Q139" s="50"/>
      <c r="R139" s="21"/>
      <c r="S139" s="21"/>
      <c r="T139" s="50"/>
      <c r="U139" s="51">
        <f t="shared" si="19"/>
        <v>0</v>
      </c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>
        <v>62158734</v>
      </c>
      <c r="AN139" s="51">
        <f t="shared" si="26"/>
        <v>62158734</v>
      </c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>
        <v>82271570</v>
      </c>
      <c r="AZ139" s="51"/>
      <c r="BA139" s="51">
        <f>VLOOKUP(B139,[1]Hoja3!J$3:K$674,2,0)</f>
        <v>107388518</v>
      </c>
      <c r="BB139" s="51"/>
      <c r="BC139" s="52">
        <f t="shared" si="22"/>
        <v>251818822</v>
      </c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>
        <v>16454314</v>
      </c>
      <c r="BO139" s="51"/>
      <c r="BP139" s="52">
        <v>268273136</v>
      </c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>
        <v>16454314</v>
      </c>
      <c r="CD139" s="52"/>
      <c r="CE139" s="52"/>
      <c r="CF139" s="52"/>
      <c r="CG139" s="52">
        <f t="shared" si="23"/>
        <v>284727450</v>
      </c>
      <c r="CH139" s="52"/>
      <c r="CI139" s="52"/>
      <c r="CJ139" s="52"/>
      <c r="CK139" s="52"/>
      <c r="CL139" s="52"/>
      <c r="CM139" s="52"/>
      <c r="CN139" s="52"/>
      <c r="CO139" s="52"/>
      <c r="CP139" s="52"/>
      <c r="CQ139" s="52">
        <v>16454314</v>
      </c>
      <c r="CR139" s="52"/>
      <c r="CS139" s="52">
        <f t="shared" si="20"/>
        <v>301181764</v>
      </c>
      <c r="CT139" s="53">
        <v>131634512</v>
      </c>
      <c r="CU139" s="53">
        <f t="shared" si="21"/>
        <v>169547252</v>
      </c>
      <c r="CV139" s="54">
        <f t="shared" si="24"/>
        <v>301181764</v>
      </c>
      <c r="CW139" s="55">
        <f t="shared" si="25"/>
        <v>0</v>
      </c>
      <c r="CX139" s="16"/>
      <c r="CY139" s="16"/>
      <c r="CZ139" s="16"/>
    </row>
    <row r="140" spans="1:108" ht="15" customHeight="1" x14ac:dyDescent="0.2">
      <c r="A140" s="1">
        <v>8000992344</v>
      </c>
      <c r="B140" s="1">
        <v>800099234</v>
      </c>
      <c r="C140" s="9">
        <v>212554125</v>
      </c>
      <c r="D140" s="10" t="s">
        <v>755</v>
      </c>
      <c r="E140" s="46" t="s">
        <v>1774</v>
      </c>
      <c r="F140" s="21"/>
      <c r="G140" s="50"/>
      <c r="H140" s="21"/>
      <c r="I140" s="50"/>
      <c r="J140" s="21"/>
      <c r="K140" s="21"/>
      <c r="L140" s="50"/>
      <c r="M140" s="51"/>
      <c r="N140" s="21"/>
      <c r="O140" s="50"/>
      <c r="P140" s="21"/>
      <c r="Q140" s="50"/>
      <c r="R140" s="21"/>
      <c r="S140" s="21"/>
      <c r="T140" s="50"/>
      <c r="U140" s="51">
        <f t="shared" si="19"/>
        <v>0</v>
      </c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>
        <v>17274233</v>
      </c>
      <c r="AN140" s="51">
        <f t="shared" si="26"/>
        <v>17274233</v>
      </c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>
        <f>VLOOKUP(B140,[1]Hoja3!J$3:K$674,2,0)</f>
        <v>21832227</v>
      </c>
      <c r="BB140" s="51"/>
      <c r="BC140" s="52">
        <f t="shared" si="22"/>
        <v>39106460</v>
      </c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>
        <v>0</v>
      </c>
      <c r="BO140" s="51"/>
      <c r="BP140" s="52">
        <v>39106460</v>
      </c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>
        <v>27173160</v>
      </c>
      <c r="CD140" s="52"/>
      <c r="CE140" s="52"/>
      <c r="CF140" s="52"/>
      <c r="CG140" s="52">
        <f t="shared" si="23"/>
        <v>66279620</v>
      </c>
      <c r="CH140" s="52"/>
      <c r="CI140" s="52"/>
      <c r="CJ140" s="52"/>
      <c r="CK140" s="52"/>
      <c r="CL140" s="52"/>
      <c r="CM140" s="52"/>
      <c r="CN140" s="52"/>
      <c r="CO140" s="52"/>
      <c r="CP140" s="52"/>
      <c r="CQ140" s="52">
        <v>3881880</v>
      </c>
      <c r="CR140" s="52"/>
      <c r="CS140" s="52">
        <f t="shared" si="20"/>
        <v>70161500</v>
      </c>
      <c r="CT140" s="53">
        <v>31055040</v>
      </c>
      <c r="CU140" s="53">
        <f t="shared" si="21"/>
        <v>39106460</v>
      </c>
      <c r="CV140" s="54">
        <f t="shared" si="24"/>
        <v>70161500</v>
      </c>
      <c r="CW140" s="55">
        <f t="shared" si="25"/>
        <v>0</v>
      </c>
      <c r="CX140" s="16"/>
      <c r="CY140" s="16"/>
      <c r="CZ140" s="16"/>
    </row>
    <row r="141" spans="1:108" ht="15" customHeight="1" x14ac:dyDescent="0.2">
      <c r="A141" s="1">
        <v>8909842244</v>
      </c>
      <c r="B141" s="1">
        <v>890984224</v>
      </c>
      <c r="C141" s="9">
        <v>212505125</v>
      </c>
      <c r="D141" s="10" t="s">
        <v>66</v>
      </c>
      <c r="E141" s="46" t="s">
        <v>1097</v>
      </c>
      <c r="F141" s="21"/>
      <c r="G141" s="50"/>
      <c r="H141" s="21"/>
      <c r="I141" s="50"/>
      <c r="J141" s="21"/>
      <c r="K141" s="21"/>
      <c r="L141" s="50"/>
      <c r="M141" s="51"/>
      <c r="N141" s="21"/>
      <c r="O141" s="50"/>
      <c r="P141" s="21"/>
      <c r="Q141" s="50"/>
      <c r="R141" s="21"/>
      <c r="S141" s="21"/>
      <c r="T141" s="50"/>
      <c r="U141" s="51">
        <f t="shared" si="19"/>
        <v>0</v>
      </c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>
        <v>71716215</v>
      </c>
      <c r="AZ141" s="51"/>
      <c r="BA141" s="51">
        <f>VLOOKUP(B141,[1]Hoja3!J$3:K$674,2,0)</f>
        <v>113387085</v>
      </c>
      <c r="BB141" s="51"/>
      <c r="BC141" s="52">
        <f t="shared" si="22"/>
        <v>185103300</v>
      </c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>
        <v>14343243</v>
      </c>
      <c r="BO141" s="51"/>
      <c r="BP141" s="52">
        <v>199446543</v>
      </c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>
        <v>14343243</v>
      </c>
      <c r="CD141" s="52"/>
      <c r="CE141" s="52"/>
      <c r="CF141" s="52"/>
      <c r="CG141" s="52">
        <f t="shared" si="23"/>
        <v>213789786</v>
      </c>
      <c r="CH141" s="52"/>
      <c r="CI141" s="52"/>
      <c r="CJ141" s="52"/>
      <c r="CK141" s="52"/>
      <c r="CL141" s="52"/>
      <c r="CM141" s="52"/>
      <c r="CN141" s="52"/>
      <c r="CO141" s="52"/>
      <c r="CP141" s="52"/>
      <c r="CQ141" s="52">
        <v>14343243</v>
      </c>
      <c r="CR141" s="52"/>
      <c r="CS141" s="52">
        <f t="shared" si="20"/>
        <v>228133029</v>
      </c>
      <c r="CT141" s="53">
        <v>114745944</v>
      </c>
      <c r="CU141" s="53">
        <f t="shared" si="21"/>
        <v>113387085</v>
      </c>
      <c r="CV141" s="54">
        <f t="shared" si="24"/>
        <v>228133029</v>
      </c>
      <c r="CW141" s="55">
        <f t="shared" si="25"/>
        <v>0</v>
      </c>
      <c r="CX141" s="16"/>
      <c r="CY141" s="16"/>
      <c r="CZ141" s="16"/>
    </row>
    <row r="142" spans="1:108" ht="15" customHeight="1" x14ac:dyDescent="0.2">
      <c r="A142" s="1">
        <v>8919006606</v>
      </c>
      <c r="B142" s="1">
        <v>891900660</v>
      </c>
      <c r="C142" s="9">
        <v>212276122</v>
      </c>
      <c r="D142" s="10" t="s">
        <v>918</v>
      </c>
      <c r="E142" s="46" t="s">
        <v>1979</v>
      </c>
      <c r="F142" s="21"/>
      <c r="G142" s="50"/>
      <c r="H142" s="21"/>
      <c r="I142" s="50"/>
      <c r="J142" s="21"/>
      <c r="K142" s="21"/>
      <c r="L142" s="50"/>
      <c r="M142" s="51"/>
      <c r="N142" s="21"/>
      <c r="O142" s="50"/>
      <c r="P142" s="21"/>
      <c r="Q142" s="50"/>
      <c r="R142" s="21"/>
      <c r="S142" s="21"/>
      <c r="T142" s="50"/>
      <c r="U142" s="51">
        <f t="shared" si="19"/>
        <v>0</v>
      </c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>
        <v>306133676</v>
      </c>
      <c r="AN142" s="51">
        <f>SUBTOTAL(9,AC142:AM142)</f>
        <v>306133676</v>
      </c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>
        <v>193040465</v>
      </c>
      <c r="AZ142" s="51"/>
      <c r="BA142" s="51"/>
      <c r="BB142" s="51"/>
      <c r="BC142" s="52">
        <f t="shared" si="22"/>
        <v>499174141</v>
      </c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>
        <v>38608093</v>
      </c>
      <c r="BO142" s="51"/>
      <c r="BP142" s="52">
        <v>537782234</v>
      </c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>
        <v>38608093</v>
      </c>
      <c r="CD142" s="52"/>
      <c r="CE142" s="52"/>
      <c r="CF142" s="52"/>
      <c r="CG142" s="52">
        <f t="shared" si="23"/>
        <v>576390327</v>
      </c>
      <c r="CH142" s="52"/>
      <c r="CI142" s="52"/>
      <c r="CJ142" s="52"/>
      <c r="CK142" s="52"/>
      <c r="CL142" s="52"/>
      <c r="CM142" s="52"/>
      <c r="CN142" s="52"/>
      <c r="CO142" s="52"/>
      <c r="CP142" s="52"/>
      <c r="CQ142" s="52">
        <v>38608093</v>
      </c>
      <c r="CR142" s="52"/>
      <c r="CS142" s="52">
        <f t="shared" si="20"/>
        <v>614998420</v>
      </c>
      <c r="CT142" s="53">
        <v>308864744</v>
      </c>
      <c r="CU142" s="53">
        <f t="shared" si="21"/>
        <v>306133676</v>
      </c>
      <c r="CV142" s="54">
        <f t="shared" si="24"/>
        <v>614998420</v>
      </c>
      <c r="CW142" s="55">
        <f t="shared" si="25"/>
        <v>0</v>
      </c>
      <c r="CX142" s="16"/>
      <c r="CY142" s="16"/>
      <c r="CZ142" s="16"/>
    </row>
    <row r="143" spans="1:108" ht="15" customHeight="1" x14ac:dyDescent="0.2">
      <c r="A143" s="1">
        <v>8922000581</v>
      </c>
      <c r="B143" s="1">
        <v>892200058</v>
      </c>
      <c r="C143" s="9">
        <v>212470124</v>
      </c>
      <c r="D143" s="10" t="s">
        <v>891</v>
      </c>
      <c r="E143" s="46" t="s">
        <v>1904</v>
      </c>
      <c r="F143" s="21"/>
      <c r="G143" s="50"/>
      <c r="H143" s="21"/>
      <c r="I143" s="50"/>
      <c r="J143" s="21"/>
      <c r="K143" s="21"/>
      <c r="L143" s="50"/>
      <c r="M143" s="51"/>
      <c r="N143" s="21"/>
      <c r="O143" s="50"/>
      <c r="P143" s="21"/>
      <c r="Q143" s="50"/>
      <c r="R143" s="21"/>
      <c r="S143" s="21"/>
      <c r="T143" s="50"/>
      <c r="U143" s="51">
        <f t="shared" si="19"/>
        <v>0</v>
      </c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>
        <f>VLOOKUP(B143,[1]Hoja3!J$3:K$674,2,0)</f>
        <v>252421205</v>
      </c>
      <c r="BB143" s="51"/>
      <c r="BC143" s="52">
        <f t="shared" si="22"/>
        <v>252421205</v>
      </c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>
        <v>0</v>
      </c>
      <c r="BO143" s="51"/>
      <c r="BP143" s="52">
        <v>252421205</v>
      </c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>
        <v>200096351</v>
      </c>
      <c r="CD143" s="52"/>
      <c r="CE143" s="52"/>
      <c r="CF143" s="52"/>
      <c r="CG143" s="52">
        <f t="shared" si="23"/>
        <v>452517556</v>
      </c>
      <c r="CH143" s="52"/>
      <c r="CI143" s="52"/>
      <c r="CJ143" s="52"/>
      <c r="CK143" s="52"/>
      <c r="CL143" s="52"/>
      <c r="CM143" s="52"/>
      <c r="CN143" s="52"/>
      <c r="CO143" s="52"/>
      <c r="CP143" s="52"/>
      <c r="CQ143" s="52">
        <v>28585193</v>
      </c>
      <c r="CR143" s="52"/>
      <c r="CS143" s="52">
        <f t="shared" si="20"/>
        <v>481102749</v>
      </c>
      <c r="CT143" s="53">
        <v>228681544</v>
      </c>
      <c r="CU143" s="53">
        <f t="shared" si="21"/>
        <v>252421205</v>
      </c>
      <c r="CV143" s="54">
        <f t="shared" si="24"/>
        <v>481102749</v>
      </c>
      <c r="CW143" s="55">
        <f t="shared" si="25"/>
        <v>0</v>
      </c>
      <c r="CX143" s="16"/>
      <c r="CY143" s="16"/>
      <c r="CZ143" s="16"/>
    </row>
    <row r="144" spans="1:108" ht="15" customHeight="1" x14ac:dyDescent="0.2">
      <c r="A144" s="1">
        <v>8907008592</v>
      </c>
      <c r="B144" s="1">
        <v>890700859</v>
      </c>
      <c r="C144" s="9">
        <v>212473124</v>
      </c>
      <c r="D144" s="10" t="s">
        <v>2208</v>
      </c>
      <c r="E144" s="46" t="s">
        <v>1934</v>
      </c>
      <c r="F144" s="21"/>
      <c r="G144" s="50"/>
      <c r="H144" s="21"/>
      <c r="I144" s="50"/>
      <c r="J144" s="21"/>
      <c r="K144" s="21"/>
      <c r="L144" s="50"/>
      <c r="M144" s="51"/>
      <c r="N144" s="21"/>
      <c r="O144" s="50"/>
      <c r="P144" s="21"/>
      <c r="Q144" s="50"/>
      <c r="R144" s="21"/>
      <c r="S144" s="21"/>
      <c r="T144" s="50"/>
      <c r="U144" s="51">
        <f t="shared" si="19"/>
        <v>0</v>
      </c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>
        <v>120920205</v>
      </c>
      <c r="AZ144" s="51"/>
      <c r="BA144" s="51">
        <f>VLOOKUP(B144,[1]Hoja3!J$3:K$674,2,0)</f>
        <v>305175770</v>
      </c>
      <c r="BB144" s="51"/>
      <c r="BC144" s="52">
        <f t="shared" si="22"/>
        <v>426095975</v>
      </c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>
        <v>24184041</v>
      </c>
      <c r="BO144" s="51"/>
      <c r="BP144" s="52">
        <v>450280016</v>
      </c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>
        <v>24184041</v>
      </c>
      <c r="CD144" s="52"/>
      <c r="CE144" s="52"/>
      <c r="CF144" s="52"/>
      <c r="CG144" s="52">
        <f t="shared" si="23"/>
        <v>474464057</v>
      </c>
      <c r="CH144" s="52"/>
      <c r="CI144" s="52"/>
      <c r="CJ144" s="52"/>
      <c r="CK144" s="52"/>
      <c r="CL144" s="52"/>
      <c r="CM144" s="52"/>
      <c r="CN144" s="52"/>
      <c r="CO144" s="52"/>
      <c r="CP144" s="52"/>
      <c r="CQ144" s="52">
        <v>24184041</v>
      </c>
      <c r="CR144" s="52"/>
      <c r="CS144" s="52">
        <f t="shared" si="20"/>
        <v>498648098</v>
      </c>
      <c r="CT144" s="53">
        <v>193472328</v>
      </c>
      <c r="CU144" s="53">
        <f t="shared" si="21"/>
        <v>305175770</v>
      </c>
      <c r="CV144" s="54">
        <f t="shared" si="24"/>
        <v>498648098</v>
      </c>
      <c r="CW144" s="55">
        <f t="shared" si="25"/>
        <v>0</v>
      </c>
      <c r="CX144" s="16"/>
      <c r="CY144" s="16"/>
      <c r="CZ144" s="16"/>
    </row>
    <row r="145" spans="1:108" ht="15" customHeight="1" x14ac:dyDescent="0.2">
      <c r="A145" s="1">
        <v>8915008645</v>
      </c>
      <c r="B145" s="1">
        <v>891500864</v>
      </c>
      <c r="C145" s="9">
        <v>213019130</v>
      </c>
      <c r="D145" s="10" t="s">
        <v>378</v>
      </c>
      <c r="E145" s="46" t="s">
        <v>1410</v>
      </c>
      <c r="F145" s="21"/>
      <c r="G145" s="50"/>
      <c r="H145" s="21"/>
      <c r="I145" s="50"/>
      <c r="J145" s="21"/>
      <c r="K145" s="21"/>
      <c r="L145" s="50"/>
      <c r="M145" s="51"/>
      <c r="N145" s="21"/>
      <c r="O145" s="50"/>
      <c r="P145" s="21"/>
      <c r="Q145" s="50"/>
      <c r="R145" s="21"/>
      <c r="S145" s="21"/>
      <c r="T145" s="50"/>
      <c r="U145" s="51">
        <f t="shared" si="19"/>
        <v>0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>
        <v>390596232</v>
      </c>
      <c r="AN145" s="51">
        <f>SUBTOTAL(9,AC145:AM145)</f>
        <v>390596232</v>
      </c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>
        <v>335963795</v>
      </c>
      <c r="AZ145" s="51"/>
      <c r="BA145" s="51">
        <f>VLOOKUP(B145,[1]Hoja3!J$3:K$674,2,0)</f>
        <v>95250546</v>
      </c>
      <c r="BB145" s="51"/>
      <c r="BC145" s="52">
        <f t="shared" si="22"/>
        <v>821810573</v>
      </c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>
        <v>67192759</v>
      </c>
      <c r="BO145" s="51"/>
      <c r="BP145" s="52">
        <v>889003332</v>
      </c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>
        <v>67192759</v>
      </c>
      <c r="CD145" s="52"/>
      <c r="CE145" s="52"/>
      <c r="CF145" s="52"/>
      <c r="CG145" s="52">
        <f t="shared" si="23"/>
        <v>956196091</v>
      </c>
      <c r="CH145" s="52"/>
      <c r="CI145" s="52"/>
      <c r="CJ145" s="52"/>
      <c r="CK145" s="52"/>
      <c r="CL145" s="52"/>
      <c r="CM145" s="52"/>
      <c r="CN145" s="52"/>
      <c r="CO145" s="52"/>
      <c r="CP145" s="52"/>
      <c r="CQ145" s="52">
        <v>67192759</v>
      </c>
      <c r="CR145" s="52"/>
      <c r="CS145" s="52">
        <f t="shared" si="20"/>
        <v>1023388850</v>
      </c>
      <c r="CT145" s="53">
        <v>537542072</v>
      </c>
      <c r="CU145" s="53">
        <f t="shared" si="21"/>
        <v>485846778</v>
      </c>
      <c r="CV145" s="54">
        <f t="shared" si="24"/>
        <v>1023388850</v>
      </c>
      <c r="CW145" s="55">
        <f t="shared" si="25"/>
        <v>0</v>
      </c>
      <c r="CX145" s="16"/>
      <c r="CY145" s="16"/>
      <c r="CZ145" s="16"/>
    </row>
    <row r="146" spans="1:108" ht="15" customHeight="1" x14ac:dyDescent="0.2">
      <c r="A146" s="1">
        <v>8999994650</v>
      </c>
      <c r="B146" s="1">
        <v>899999465</v>
      </c>
      <c r="C146" s="9">
        <v>212625126</v>
      </c>
      <c r="D146" s="10" t="s">
        <v>470</v>
      </c>
      <c r="E146" s="46" t="s">
        <v>2100</v>
      </c>
      <c r="F146" s="21"/>
      <c r="G146" s="50"/>
      <c r="H146" s="21"/>
      <c r="I146" s="50"/>
      <c r="J146" s="21"/>
      <c r="K146" s="21"/>
      <c r="L146" s="50"/>
      <c r="M146" s="51"/>
      <c r="N146" s="21"/>
      <c r="O146" s="50"/>
      <c r="P146" s="21"/>
      <c r="Q146" s="50"/>
      <c r="R146" s="21"/>
      <c r="S146" s="21"/>
      <c r="T146" s="50"/>
      <c r="U146" s="51">
        <f t="shared" si="19"/>
        <v>0</v>
      </c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>
        <v>729941917</v>
      </c>
      <c r="AN146" s="51">
        <f>SUBTOTAL(9,AC146:AM146)</f>
        <v>729941917</v>
      </c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>
        <v>250492780</v>
      </c>
      <c r="AZ146" s="51"/>
      <c r="BA146" s="51"/>
      <c r="BB146" s="51"/>
      <c r="BC146" s="52">
        <f t="shared" si="22"/>
        <v>980434697</v>
      </c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>
        <v>50098556</v>
      </c>
      <c r="BO146" s="51"/>
      <c r="BP146" s="52">
        <v>1030533253</v>
      </c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>
        <v>50098556</v>
      </c>
      <c r="CD146" s="52"/>
      <c r="CE146" s="52"/>
      <c r="CF146" s="52"/>
      <c r="CG146" s="52">
        <f t="shared" si="23"/>
        <v>1080631809</v>
      </c>
      <c r="CH146" s="52"/>
      <c r="CI146" s="52"/>
      <c r="CJ146" s="52"/>
      <c r="CK146" s="52"/>
      <c r="CL146" s="52"/>
      <c r="CM146" s="52"/>
      <c r="CN146" s="52"/>
      <c r="CO146" s="52"/>
      <c r="CP146" s="52"/>
      <c r="CQ146" s="52">
        <v>50098556</v>
      </c>
      <c r="CR146" s="52"/>
      <c r="CS146" s="52">
        <f t="shared" si="20"/>
        <v>1130730365</v>
      </c>
      <c r="CT146" s="53">
        <v>400788448</v>
      </c>
      <c r="CU146" s="53">
        <f t="shared" si="21"/>
        <v>729941917</v>
      </c>
      <c r="CV146" s="54">
        <f t="shared" si="24"/>
        <v>1130730365</v>
      </c>
      <c r="CW146" s="55">
        <f t="shared" si="25"/>
        <v>0</v>
      </c>
      <c r="CX146" s="16"/>
      <c r="CY146" s="16"/>
      <c r="CZ146" s="16"/>
    </row>
    <row r="147" spans="1:108" ht="15" customHeight="1" x14ac:dyDescent="0.2">
      <c r="A147" s="1">
        <v>8904813623</v>
      </c>
      <c r="B147" s="1">
        <v>890481362</v>
      </c>
      <c r="C147" s="9">
        <v>214013140</v>
      </c>
      <c r="D147" s="10" t="s">
        <v>186</v>
      </c>
      <c r="E147" s="46" t="s">
        <v>1216</v>
      </c>
      <c r="F147" s="21"/>
      <c r="G147" s="50"/>
      <c r="H147" s="21"/>
      <c r="I147" s="50"/>
      <c r="J147" s="21"/>
      <c r="K147" s="21"/>
      <c r="L147" s="50"/>
      <c r="M147" s="51"/>
      <c r="N147" s="21"/>
      <c r="O147" s="50"/>
      <c r="P147" s="21"/>
      <c r="Q147" s="50"/>
      <c r="R147" s="21"/>
      <c r="S147" s="21"/>
      <c r="T147" s="50"/>
      <c r="U147" s="51">
        <f t="shared" si="19"/>
        <v>0</v>
      </c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>
        <v>289833335</v>
      </c>
      <c r="AZ147" s="51"/>
      <c r="BA147" s="51">
        <f>VLOOKUP(B147,[1]Hoja3!J$3:K$674,2,0)</f>
        <v>448342459</v>
      </c>
      <c r="BB147" s="51"/>
      <c r="BC147" s="52">
        <f t="shared" si="22"/>
        <v>738175794</v>
      </c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>
        <v>57966667</v>
      </c>
      <c r="BO147" s="51"/>
      <c r="BP147" s="52">
        <v>796142461</v>
      </c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>
        <v>57966667</v>
      </c>
      <c r="CD147" s="52"/>
      <c r="CE147" s="52"/>
      <c r="CF147" s="52"/>
      <c r="CG147" s="52">
        <f t="shared" si="23"/>
        <v>854109128</v>
      </c>
      <c r="CH147" s="52"/>
      <c r="CI147" s="52"/>
      <c r="CJ147" s="52"/>
      <c r="CK147" s="52"/>
      <c r="CL147" s="52"/>
      <c r="CM147" s="52"/>
      <c r="CN147" s="52"/>
      <c r="CO147" s="52"/>
      <c r="CP147" s="52"/>
      <c r="CQ147" s="52">
        <v>57966667</v>
      </c>
      <c r="CR147" s="52"/>
      <c r="CS147" s="52">
        <f t="shared" si="20"/>
        <v>912075795</v>
      </c>
      <c r="CT147" s="53">
        <v>463733336</v>
      </c>
      <c r="CU147" s="53">
        <f t="shared" si="21"/>
        <v>448342459</v>
      </c>
      <c r="CV147" s="54">
        <f t="shared" si="24"/>
        <v>912075795</v>
      </c>
      <c r="CW147" s="55">
        <f t="shared" si="25"/>
        <v>0</v>
      </c>
      <c r="CX147" s="16"/>
      <c r="CY147" s="16"/>
      <c r="CZ147" s="16"/>
    </row>
    <row r="148" spans="1:108" ht="15" customHeight="1" x14ac:dyDescent="0.2">
      <c r="A148" s="1">
        <v>8001914311</v>
      </c>
      <c r="B148" s="1">
        <v>800191431</v>
      </c>
      <c r="C148" s="9">
        <v>211595015</v>
      </c>
      <c r="D148" s="10" t="s">
        <v>991</v>
      </c>
      <c r="E148" s="46" t="s">
        <v>2048</v>
      </c>
      <c r="F148" s="21"/>
      <c r="G148" s="50"/>
      <c r="H148" s="21"/>
      <c r="I148" s="50"/>
      <c r="J148" s="21"/>
      <c r="K148" s="21"/>
      <c r="L148" s="50"/>
      <c r="M148" s="51"/>
      <c r="N148" s="21"/>
      <c r="O148" s="50"/>
      <c r="P148" s="21"/>
      <c r="Q148" s="50"/>
      <c r="R148" s="21"/>
      <c r="S148" s="21"/>
      <c r="T148" s="50"/>
      <c r="U148" s="51">
        <f t="shared" si="19"/>
        <v>0</v>
      </c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>
        <v>97457809</v>
      </c>
      <c r="AN148" s="51">
        <f t="shared" ref="AN148:AN154" si="27">SUBTOTAL(9,AC148:AM148)</f>
        <v>97457809</v>
      </c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2">
        <f t="shared" si="22"/>
        <v>97457809</v>
      </c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>
        <v>0</v>
      </c>
      <c r="BO148" s="51"/>
      <c r="BP148" s="52">
        <v>97457809</v>
      </c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>
        <v>0</v>
      </c>
      <c r="CD148" s="52"/>
      <c r="CE148" s="52"/>
      <c r="CF148" s="52"/>
      <c r="CG148" s="52">
        <f t="shared" si="23"/>
        <v>97457809</v>
      </c>
      <c r="CH148" s="52"/>
      <c r="CI148" s="52"/>
      <c r="CJ148" s="52"/>
      <c r="CK148" s="52"/>
      <c r="CL148" s="52"/>
      <c r="CM148" s="52"/>
      <c r="CN148" s="52"/>
      <c r="CO148" s="52"/>
      <c r="CP148" s="52"/>
      <c r="CQ148" s="52">
        <v>0</v>
      </c>
      <c r="CR148" s="52"/>
      <c r="CS148" s="52">
        <f t="shared" si="20"/>
        <v>97457809</v>
      </c>
      <c r="CT148" s="53"/>
      <c r="CU148" s="53">
        <f t="shared" si="21"/>
        <v>97457809</v>
      </c>
      <c r="CV148" s="54">
        <f t="shared" si="24"/>
        <v>97457809</v>
      </c>
      <c r="CW148" s="55">
        <f t="shared" si="25"/>
        <v>0</v>
      </c>
      <c r="CX148" s="16"/>
      <c r="CY148" s="16"/>
      <c r="CZ148" s="8"/>
      <c r="DA148" s="8"/>
      <c r="DB148" s="8"/>
      <c r="DC148" s="8"/>
      <c r="DD148" s="8"/>
    </row>
    <row r="149" spans="1:108" ht="15" customHeight="1" x14ac:dyDescent="0.2">
      <c r="A149" s="1">
        <v>8900004414</v>
      </c>
      <c r="B149" s="1">
        <v>890000441</v>
      </c>
      <c r="C149" s="9">
        <v>213063130</v>
      </c>
      <c r="D149" s="10" t="s">
        <v>790</v>
      </c>
      <c r="E149" s="46" t="s">
        <v>1807</v>
      </c>
      <c r="F149" s="21"/>
      <c r="G149" s="50"/>
      <c r="H149" s="21"/>
      <c r="I149" s="50"/>
      <c r="J149" s="21"/>
      <c r="K149" s="21"/>
      <c r="L149" s="50"/>
      <c r="M149" s="51"/>
      <c r="N149" s="21"/>
      <c r="O149" s="50"/>
      <c r="P149" s="21"/>
      <c r="Q149" s="50"/>
      <c r="R149" s="21"/>
      <c r="S149" s="21"/>
      <c r="T149" s="50"/>
      <c r="U149" s="51">
        <f t="shared" si="19"/>
        <v>0</v>
      </c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>
        <v>750902508</v>
      </c>
      <c r="AN149" s="51">
        <f t="shared" si="27"/>
        <v>750902508</v>
      </c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>
        <v>478330090</v>
      </c>
      <c r="AZ149" s="51"/>
      <c r="BA149" s="51">
        <f>VLOOKUP(B149,[1]Hoja3!J$3:K$674,2,0)</f>
        <v>170742574</v>
      </c>
      <c r="BB149" s="51"/>
      <c r="BC149" s="52">
        <f t="shared" si="22"/>
        <v>1399975172</v>
      </c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>
        <v>95666018</v>
      </c>
      <c r="BO149" s="51"/>
      <c r="BP149" s="52">
        <v>1495641190</v>
      </c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>
        <v>95666018</v>
      </c>
      <c r="CD149" s="52"/>
      <c r="CE149" s="52"/>
      <c r="CF149" s="52"/>
      <c r="CG149" s="52">
        <f t="shared" si="23"/>
        <v>1591307208</v>
      </c>
      <c r="CH149" s="52"/>
      <c r="CI149" s="52"/>
      <c r="CJ149" s="52"/>
      <c r="CK149" s="52"/>
      <c r="CL149" s="52"/>
      <c r="CM149" s="52"/>
      <c r="CN149" s="52"/>
      <c r="CO149" s="52"/>
      <c r="CP149" s="52"/>
      <c r="CQ149" s="52">
        <v>95666018</v>
      </c>
      <c r="CR149" s="52"/>
      <c r="CS149" s="52">
        <f t="shared" si="20"/>
        <v>1686973226</v>
      </c>
      <c r="CT149" s="53">
        <v>765328144</v>
      </c>
      <c r="CU149" s="53">
        <f t="shared" si="21"/>
        <v>921645082</v>
      </c>
      <c r="CV149" s="54">
        <f t="shared" si="24"/>
        <v>1686973226</v>
      </c>
      <c r="CW149" s="55">
        <f t="shared" si="25"/>
        <v>0</v>
      </c>
      <c r="CX149" s="16"/>
      <c r="CY149" s="16"/>
      <c r="CZ149" s="16"/>
    </row>
    <row r="150" spans="1:108" ht="15" customHeight="1" x14ac:dyDescent="0.2">
      <c r="A150" s="1">
        <v>8909804471</v>
      </c>
      <c r="B150" s="1">
        <v>890980447</v>
      </c>
      <c r="C150" s="9">
        <v>212905129</v>
      </c>
      <c r="D150" s="10" t="s">
        <v>67</v>
      </c>
      <c r="E150" s="46" t="s">
        <v>1098</v>
      </c>
      <c r="F150" s="21"/>
      <c r="G150" s="50"/>
      <c r="H150" s="21"/>
      <c r="I150" s="50"/>
      <c r="J150" s="21"/>
      <c r="K150" s="21"/>
      <c r="L150" s="50"/>
      <c r="M150" s="51"/>
      <c r="N150" s="21"/>
      <c r="O150" s="50"/>
      <c r="P150" s="21"/>
      <c r="Q150" s="50"/>
      <c r="R150" s="21"/>
      <c r="S150" s="21"/>
      <c r="T150" s="50"/>
      <c r="U150" s="51">
        <f t="shared" si="19"/>
        <v>0</v>
      </c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>
        <v>299657319</v>
      </c>
      <c r="AN150" s="51">
        <f t="shared" si="27"/>
        <v>299657319</v>
      </c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>
        <f>VLOOKUP(B150,[1]Hoja3!J$3:K$674,2,0)</f>
        <v>471966572</v>
      </c>
      <c r="BB150" s="51"/>
      <c r="BC150" s="52">
        <f t="shared" si="22"/>
        <v>771623891</v>
      </c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>
        <v>0</v>
      </c>
      <c r="BO150" s="51"/>
      <c r="BP150" s="52">
        <v>771623891</v>
      </c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>
        <v>0</v>
      </c>
      <c r="CD150" s="52"/>
      <c r="CE150" s="52"/>
      <c r="CF150" s="52"/>
      <c r="CG150" s="52">
        <f t="shared" si="23"/>
        <v>771623891</v>
      </c>
      <c r="CH150" s="52"/>
      <c r="CI150" s="52"/>
      <c r="CJ150" s="52"/>
      <c r="CK150" s="52"/>
      <c r="CL150" s="52"/>
      <c r="CM150" s="52"/>
      <c r="CN150" s="52"/>
      <c r="CO150" s="52"/>
      <c r="CP150" s="52"/>
      <c r="CQ150" s="52">
        <v>0</v>
      </c>
      <c r="CR150" s="52"/>
      <c r="CS150" s="52">
        <f t="shared" si="20"/>
        <v>771623891</v>
      </c>
      <c r="CT150" s="53"/>
      <c r="CU150" s="53">
        <f t="shared" si="21"/>
        <v>771623891</v>
      </c>
      <c r="CV150" s="54">
        <f t="shared" si="24"/>
        <v>771623891</v>
      </c>
      <c r="CW150" s="55">
        <f t="shared" si="25"/>
        <v>0</v>
      </c>
      <c r="CX150" s="16"/>
      <c r="CY150" s="16"/>
      <c r="CZ150" s="16"/>
    </row>
    <row r="151" spans="1:108" ht="15" customHeight="1" x14ac:dyDescent="0.2">
      <c r="A151" s="1">
        <v>8918017964</v>
      </c>
      <c r="B151" s="1">
        <v>891801796</v>
      </c>
      <c r="C151" s="9">
        <v>213115131</v>
      </c>
      <c r="D151" s="10" t="s">
        <v>228</v>
      </c>
      <c r="E151" s="46" t="s">
        <v>1264</v>
      </c>
      <c r="F151" s="21"/>
      <c r="G151" s="50"/>
      <c r="H151" s="21"/>
      <c r="I151" s="50"/>
      <c r="J151" s="21"/>
      <c r="K151" s="21"/>
      <c r="L151" s="50"/>
      <c r="M151" s="51"/>
      <c r="N151" s="21"/>
      <c r="O151" s="50"/>
      <c r="P151" s="21"/>
      <c r="Q151" s="50"/>
      <c r="R151" s="21"/>
      <c r="S151" s="21"/>
      <c r="T151" s="50"/>
      <c r="U151" s="51">
        <f t="shared" si="19"/>
        <v>0</v>
      </c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>
        <v>24718604</v>
      </c>
      <c r="AN151" s="51">
        <f t="shared" si="27"/>
        <v>24718604</v>
      </c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>
        <v>25526775</v>
      </c>
      <c r="AZ151" s="51"/>
      <c r="BA151" s="51">
        <f>VLOOKUP(B151,[1]Hoja3!J$3:K$674,2,0)</f>
        <v>24245043</v>
      </c>
      <c r="BB151" s="51"/>
      <c r="BC151" s="52">
        <f t="shared" si="22"/>
        <v>74490422</v>
      </c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>
        <v>5105355</v>
      </c>
      <c r="BO151" s="51"/>
      <c r="BP151" s="52">
        <v>79595777</v>
      </c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>
        <v>5105355</v>
      </c>
      <c r="CD151" s="52"/>
      <c r="CE151" s="52"/>
      <c r="CF151" s="52"/>
      <c r="CG151" s="52">
        <f t="shared" si="23"/>
        <v>84701132</v>
      </c>
      <c r="CH151" s="52"/>
      <c r="CI151" s="52"/>
      <c r="CJ151" s="52"/>
      <c r="CK151" s="52"/>
      <c r="CL151" s="52"/>
      <c r="CM151" s="52"/>
      <c r="CN151" s="52"/>
      <c r="CO151" s="52"/>
      <c r="CP151" s="52"/>
      <c r="CQ151" s="52">
        <v>5105355</v>
      </c>
      <c r="CR151" s="52"/>
      <c r="CS151" s="52">
        <f t="shared" si="20"/>
        <v>89806487</v>
      </c>
      <c r="CT151" s="53">
        <v>40842840</v>
      </c>
      <c r="CU151" s="53">
        <f t="shared" si="21"/>
        <v>48963647</v>
      </c>
      <c r="CV151" s="54">
        <f t="shared" si="24"/>
        <v>89806487</v>
      </c>
      <c r="CW151" s="55">
        <f t="shared" si="25"/>
        <v>0</v>
      </c>
      <c r="CX151" s="16"/>
      <c r="CY151" s="16"/>
      <c r="CZ151" s="8"/>
      <c r="DA151" s="8"/>
      <c r="DB151" s="8"/>
      <c r="DC151" s="8"/>
      <c r="DD151" s="8"/>
    </row>
    <row r="152" spans="1:108" ht="15" customHeight="1" x14ac:dyDescent="0.2">
      <c r="A152" s="1">
        <v>8915017231</v>
      </c>
      <c r="B152" s="1">
        <v>891501723</v>
      </c>
      <c r="C152" s="9">
        <v>213719137</v>
      </c>
      <c r="D152" s="10" t="s">
        <v>379</v>
      </c>
      <c r="E152" s="46" t="s">
        <v>1411</v>
      </c>
      <c r="F152" s="21"/>
      <c r="G152" s="50"/>
      <c r="H152" s="21"/>
      <c r="I152" s="50"/>
      <c r="J152" s="21"/>
      <c r="K152" s="21"/>
      <c r="L152" s="50"/>
      <c r="M152" s="51"/>
      <c r="N152" s="21"/>
      <c r="O152" s="50"/>
      <c r="P152" s="21"/>
      <c r="Q152" s="50"/>
      <c r="R152" s="21"/>
      <c r="S152" s="21"/>
      <c r="T152" s="50"/>
      <c r="U152" s="51">
        <f t="shared" si="19"/>
        <v>0</v>
      </c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>
        <v>100481033</v>
      </c>
      <c r="AN152" s="51">
        <f t="shared" si="27"/>
        <v>100481033</v>
      </c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>
        <f>VLOOKUP(B152,[1]Hoja3!J$3:K$674,2,0)</f>
        <v>226219772</v>
      </c>
      <c r="BB152" s="51"/>
      <c r="BC152" s="52">
        <f t="shared" si="22"/>
        <v>326700805</v>
      </c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>
        <v>0</v>
      </c>
      <c r="BO152" s="51"/>
      <c r="BP152" s="52">
        <v>326700805</v>
      </c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>
        <v>0</v>
      </c>
      <c r="CD152" s="52"/>
      <c r="CE152" s="52"/>
      <c r="CF152" s="52"/>
      <c r="CG152" s="52">
        <f t="shared" si="23"/>
        <v>326700805</v>
      </c>
      <c r="CH152" s="52"/>
      <c r="CI152" s="52"/>
      <c r="CJ152" s="52"/>
      <c r="CK152" s="52"/>
      <c r="CL152" s="52"/>
      <c r="CM152" s="52"/>
      <c r="CN152" s="52"/>
      <c r="CO152" s="52"/>
      <c r="CP152" s="52"/>
      <c r="CQ152" s="52">
        <v>743524024</v>
      </c>
      <c r="CR152" s="52"/>
      <c r="CS152" s="52">
        <f t="shared" si="20"/>
        <v>1070224829</v>
      </c>
      <c r="CT152" s="53">
        <v>743524024</v>
      </c>
      <c r="CU152" s="53">
        <f t="shared" si="21"/>
        <v>326700805</v>
      </c>
      <c r="CV152" s="54">
        <f t="shared" si="24"/>
        <v>1070224829</v>
      </c>
      <c r="CW152" s="55">
        <f t="shared" si="25"/>
        <v>0</v>
      </c>
      <c r="CX152" s="16"/>
      <c r="CY152" s="16"/>
      <c r="CZ152" s="16"/>
    </row>
    <row r="153" spans="1:108" ht="15" customHeight="1" x14ac:dyDescent="0.2">
      <c r="A153" s="1">
        <v>8903990113</v>
      </c>
      <c r="B153" s="1">
        <v>890399011</v>
      </c>
      <c r="C153" s="9">
        <v>210176001</v>
      </c>
      <c r="D153" s="10" t="s">
        <v>2148</v>
      </c>
      <c r="E153" s="49" t="s">
        <v>2258</v>
      </c>
      <c r="F153" s="21"/>
      <c r="G153" s="50"/>
      <c r="H153" s="21"/>
      <c r="I153" s="50">
        <f>24564113568+469702187</f>
        <v>25033815755</v>
      </c>
      <c r="J153" s="21">
        <v>1627504974</v>
      </c>
      <c r="K153" s="21">
        <v>3236497477</v>
      </c>
      <c r="L153" s="50"/>
      <c r="M153" s="52">
        <f>SUM(F153:L153)</f>
        <v>29897818206</v>
      </c>
      <c r="N153" s="21"/>
      <c r="O153" s="50"/>
      <c r="P153" s="21"/>
      <c r="Q153" s="50">
        <f>23723928665+28371563449</f>
        <v>52095492114</v>
      </c>
      <c r="R153" s="21">
        <v>1627504974</v>
      </c>
      <c r="S153" s="21">
        <f>1608992503+1627504974</f>
        <v>3236497477</v>
      </c>
      <c r="T153" s="50"/>
      <c r="U153" s="51">
        <f t="shared" si="19"/>
        <v>86857312771</v>
      </c>
      <c r="V153" s="51"/>
      <c r="W153" s="51"/>
      <c r="X153" s="51"/>
      <c r="Y153" s="51">
        <v>53016883049</v>
      </c>
      <c r="Z153" s="51">
        <v>1455878663</v>
      </c>
      <c r="AA153" s="51">
        <v>3461975791</v>
      </c>
      <c r="AB153" s="51"/>
      <c r="AC153" s="51">
        <f t="shared" ref="AC153:AC180" si="28">SUM(U153:AB153)</f>
        <v>144792050274</v>
      </c>
      <c r="AD153" s="51"/>
      <c r="AE153" s="51"/>
      <c r="AF153" s="51"/>
      <c r="AG153" s="51"/>
      <c r="AH153" s="51">
        <v>26127432540</v>
      </c>
      <c r="AI153" s="51">
        <v>2471634286</v>
      </c>
      <c r="AJ153" s="51">
        <v>1651295015</v>
      </c>
      <c r="AK153" s="51">
        <v>4161663703</v>
      </c>
      <c r="AL153" s="51"/>
      <c r="AM153" s="51">
        <v>12011171933</v>
      </c>
      <c r="AN153" s="51">
        <f t="shared" si="27"/>
        <v>191215247751</v>
      </c>
      <c r="AO153" s="51"/>
      <c r="AP153" s="51"/>
      <c r="AQ153" s="51">
        <v>4038989965</v>
      </c>
      <c r="AR153" s="51"/>
      <c r="AS153" s="51"/>
      <c r="AT153" s="51">
        <v>24627432540</v>
      </c>
      <c r="AU153" s="51"/>
      <c r="AV153" s="51">
        <v>1651295015</v>
      </c>
      <c r="AW153" s="51">
        <v>2819187669</v>
      </c>
      <c r="AX153" s="51"/>
      <c r="AY153" s="51"/>
      <c r="AZ153" s="51">
        <v>8180635250</v>
      </c>
      <c r="BA153" s="51"/>
      <c r="BB153" s="51">
        <f>VLOOKUP(B153,'[2]anuladas en mayo gratuidad}'!K$2:L$55,2,0)</f>
        <v>171408432</v>
      </c>
      <c r="BC153" s="52">
        <f t="shared" si="22"/>
        <v>232361379758</v>
      </c>
      <c r="BD153" s="51"/>
      <c r="BE153" s="51"/>
      <c r="BF153" s="51">
        <v>807797993</v>
      </c>
      <c r="BG153" s="51"/>
      <c r="BH153" s="51"/>
      <c r="BI153" s="51">
        <v>24456941051</v>
      </c>
      <c r="BJ153" s="51">
        <v>924185286</v>
      </c>
      <c r="BK153" s="51">
        <v>1462717336</v>
      </c>
      <c r="BL153" s="51">
        <v>3086941544</v>
      </c>
      <c r="BM153" s="51"/>
      <c r="BN153" s="51"/>
      <c r="BO153" s="51"/>
      <c r="BP153" s="52">
        <v>263099962968</v>
      </c>
      <c r="BQ153" s="52"/>
      <c r="BR153" s="52"/>
      <c r="BS153" s="52">
        <v>807797993</v>
      </c>
      <c r="BT153" s="52"/>
      <c r="BU153" s="52"/>
      <c r="BV153" s="52"/>
      <c r="BW153" s="52">
        <v>24272612722</v>
      </c>
      <c r="BX153" s="52"/>
      <c r="BY153" s="52">
        <v>11028228041</v>
      </c>
      <c r="BZ153" s="52">
        <v>1623840772</v>
      </c>
      <c r="CA153" s="52">
        <v>4219163731</v>
      </c>
      <c r="CB153" s="52"/>
      <c r="CC153" s="52"/>
      <c r="CD153" s="52"/>
      <c r="CE153" s="52">
        <v>171408432</v>
      </c>
      <c r="CF153" s="52"/>
      <c r="CG153" s="52">
        <f t="shared" si="23"/>
        <v>305223014659</v>
      </c>
      <c r="CH153" s="52"/>
      <c r="CI153" s="52"/>
      <c r="CJ153" s="52">
        <v>807797993</v>
      </c>
      <c r="CK153" s="52"/>
      <c r="CL153" s="52">
        <v>25175807030</v>
      </c>
      <c r="CM153" s="52">
        <v>7580978200</v>
      </c>
      <c r="CN153" s="52">
        <v>1868537263</v>
      </c>
      <c r="CO153" s="52">
        <v>3181378934</v>
      </c>
      <c r="CP153" s="52"/>
      <c r="CQ153" s="52"/>
      <c r="CR153" s="52"/>
      <c r="CS153" s="52">
        <f t="shared" si="20"/>
        <v>343837514079</v>
      </c>
      <c r="CT153" s="53">
        <v>331826342146</v>
      </c>
      <c r="CU153" s="53">
        <f t="shared" si="21"/>
        <v>12011171933</v>
      </c>
      <c r="CV153" s="54">
        <f t="shared" si="24"/>
        <v>343837514079</v>
      </c>
      <c r="CW153" s="55">
        <f t="shared" si="25"/>
        <v>0</v>
      </c>
      <c r="CX153" s="16"/>
      <c r="CY153" s="16"/>
      <c r="CZ153" s="16"/>
    </row>
    <row r="154" spans="1:108" ht="15" customHeight="1" x14ac:dyDescent="0.2">
      <c r="A154" s="1">
        <v>8902109677</v>
      </c>
      <c r="B154" s="1">
        <v>890210967</v>
      </c>
      <c r="C154" s="9">
        <v>213268132</v>
      </c>
      <c r="D154" s="10" t="s">
        <v>820</v>
      </c>
      <c r="E154" s="46" t="s">
        <v>1837</v>
      </c>
      <c r="F154" s="21"/>
      <c r="G154" s="50"/>
      <c r="H154" s="21"/>
      <c r="I154" s="50"/>
      <c r="J154" s="21"/>
      <c r="K154" s="21"/>
      <c r="L154" s="50"/>
      <c r="M154" s="51"/>
      <c r="N154" s="21"/>
      <c r="O154" s="50"/>
      <c r="P154" s="21"/>
      <c r="Q154" s="50"/>
      <c r="R154" s="21"/>
      <c r="S154" s="21"/>
      <c r="T154" s="50"/>
      <c r="U154" s="51">
        <f t="shared" si="19"/>
        <v>0</v>
      </c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>
        <v>22708531</v>
      </c>
      <c r="AN154" s="51">
        <f t="shared" si="27"/>
        <v>22708531</v>
      </c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2">
        <f t="shared" si="22"/>
        <v>22708531</v>
      </c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>
        <v>0</v>
      </c>
      <c r="BO154" s="51"/>
      <c r="BP154" s="52">
        <v>22708531</v>
      </c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>
        <v>0</v>
      </c>
      <c r="CD154" s="52"/>
      <c r="CE154" s="52"/>
      <c r="CF154" s="52"/>
      <c r="CG154" s="52">
        <f t="shared" si="23"/>
        <v>22708531</v>
      </c>
      <c r="CH154" s="52"/>
      <c r="CI154" s="52"/>
      <c r="CJ154" s="52"/>
      <c r="CK154" s="52"/>
      <c r="CL154" s="52"/>
      <c r="CM154" s="52"/>
      <c r="CN154" s="52"/>
      <c r="CO154" s="52"/>
      <c r="CP154" s="52"/>
      <c r="CQ154" s="52">
        <v>0</v>
      </c>
      <c r="CR154" s="52"/>
      <c r="CS154" s="52">
        <f t="shared" si="20"/>
        <v>22708531</v>
      </c>
      <c r="CT154" s="53"/>
      <c r="CU154" s="53">
        <f t="shared" si="21"/>
        <v>22708531</v>
      </c>
      <c r="CV154" s="54">
        <f t="shared" si="24"/>
        <v>22708531</v>
      </c>
      <c r="CW154" s="55">
        <f t="shared" si="25"/>
        <v>0</v>
      </c>
      <c r="CX154" s="16"/>
      <c r="CY154" s="16"/>
      <c r="CZ154" s="16"/>
    </row>
    <row r="155" spans="1:108" ht="15" customHeight="1" x14ac:dyDescent="0.2">
      <c r="A155" s="1">
        <v>8903096118</v>
      </c>
      <c r="B155" s="1">
        <v>890309611</v>
      </c>
      <c r="C155" s="9">
        <v>212676126</v>
      </c>
      <c r="D155" s="10" t="s">
        <v>919</v>
      </c>
      <c r="E155" s="46" t="s">
        <v>1980</v>
      </c>
      <c r="F155" s="21"/>
      <c r="G155" s="50"/>
      <c r="H155" s="21"/>
      <c r="I155" s="50"/>
      <c r="J155" s="21"/>
      <c r="K155" s="21"/>
      <c r="L155" s="50"/>
      <c r="M155" s="51"/>
      <c r="N155" s="21"/>
      <c r="O155" s="50"/>
      <c r="P155" s="21"/>
      <c r="Q155" s="50"/>
      <c r="R155" s="21"/>
      <c r="S155" s="21"/>
      <c r="T155" s="50"/>
      <c r="U155" s="51">
        <f t="shared" si="19"/>
        <v>0</v>
      </c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>
        <f>VLOOKUP(B155,[1]Hoja3!J$3:K$674,2,0)</f>
        <v>223741001</v>
      </c>
      <c r="BB155" s="51"/>
      <c r="BC155" s="52">
        <f t="shared" si="22"/>
        <v>223741001</v>
      </c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>
        <v>0</v>
      </c>
      <c r="BO155" s="51"/>
      <c r="BP155" s="52">
        <v>223741001</v>
      </c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>
        <v>0</v>
      </c>
      <c r="CD155" s="52"/>
      <c r="CE155" s="52"/>
      <c r="CF155" s="52"/>
      <c r="CG155" s="52">
        <f t="shared" si="23"/>
        <v>223741001</v>
      </c>
      <c r="CH155" s="52"/>
      <c r="CI155" s="52"/>
      <c r="CJ155" s="52"/>
      <c r="CK155" s="52"/>
      <c r="CL155" s="52"/>
      <c r="CM155" s="52"/>
      <c r="CN155" s="52"/>
      <c r="CO155" s="52"/>
      <c r="CP155" s="52"/>
      <c r="CQ155" s="52">
        <v>0</v>
      </c>
      <c r="CR155" s="52"/>
      <c r="CS155" s="52">
        <f t="shared" si="20"/>
        <v>223741001</v>
      </c>
      <c r="CT155" s="53"/>
      <c r="CU155" s="53">
        <f t="shared" si="21"/>
        <v>223741001</v>
      </c>
      <c r="CV155" s="54">
        <f t="shared" si="24"/>
        <v>223741001</v>
      </c>
      <c r="CW155" s="55">
        <f t="shared" si="25"/>
        <v>0</v>
      </c>
      <c r="CX155" s="16"/>
      <c r="CY155" s="16"/>
      <c r="CZ155" s="16"/>
    </row>
    <row r="156" spans="1:108" ht="15" customHeight="1" x14ac:dyDescent="0.2">
      <c r="A156" s="1">
        <v>8915012927</v>
      </c>
      <c r="B156" s="1">
        <v>891501292</v>
      </c>
      <c r="C156" s="9">
        <v>214219142</v>
      </c>
      <c r="D156" s="10" t="s">
        <v>380</v>
      </c>
      <c r="E156" s="46" t="s">
        <v>1412</v>
      </c>
      <c r="F156" s="21"/>
      <c r="G156" s="50"/>
      <c r="H156" s="21"/>
      <c r="I156" s="50"/>
      <c r="J156" s="21"/>
      <c r="K156" s="21"/>
      <c r="L156" s="50"/>
      <c r="M156" s="51"/>
      <c r="N156" s="21"/>
      <c r="O156" s="50"/>
      <c r="P156" s="21"/>
      <c r="Q156" s="50"/>
      <c r="R156" s="21"/>
      <c r="S156" s="21"/>
      <c r="T156" s="50"/>
      <c r="U156" s="51">
        <f t="shared" si="19"/>
        <v>0</v>
      </c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>
        <f>VLOOKUP(B156,[1]Hoja3!J$3:K$674,2,0)</f>
        <v>367219037</v>
      </c>
      <c r="BB156" s="51"/>
      <c r="BC156" s="52">
        <f t="shared" si="22"/>
        <v>367219037</v>
      </c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>
        <v>0</v>
      </c>
      <c r="BO156" s="51"/>
      <c r="BP156" s="52">
        <v>367219037</v>
      </c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>
        <v>0</v>
      </c>
      <c r="CD156" s="52"/>
      <c r="CE156" s="52"/>
      <c r="CF156" s="52"/>
      <c r="CG156" s="52">
        <f t="shared" si="23"/>
        <v>367219037</v>
      </c>
      <c r="CH156" s="52"/>
      <c r="CI156" s="52"/>
      <c r="CJ156" s="52"/>
      <c r="CK156" s="52"/>
      <c r="CL156" s="52"/>
      <c r="CM156" s="52"/>
      <c r="CN156" s="52"/>
      <c r="CO156" s="52"/>
      <c r="CP156" s="52"/>
      <c r="CQ156" s="52">
        <v>0</v>
      </c>
      <c r="CR156" s="52">
        <v>45448866</v>
      </c>
      <c r="CS156" s="52">
        <f t="shared" si="20"/>
        <v>412667903</v>
      </c>
      <c r="CT156" s="53"/>
      <c r="CU156" s="53">
        <f t="shared" si="21"/>
        <v>412667903</v>
      </c>
      <c r="CV156" s="54">
        <f t="shared" si="24"/>
        <v>412667903</v>
      </c>
      <c r="CW156" s="55">
        <f t="shared" si="25"/>
        <v>0</v>
      </c>
      <c r="CX156" s="16"/>
      <c r="CY156" s="16"/>
      <c r="CZ156" s="16"/>
    </row>
    <row r="157" spans="1:108" ht="15" customHeight="1" x14ac:dyDescent="0.2">
      <c r="A157" s="1">
        <v>8909821476</v>
      </c>
      <c r="B157" s="1">
        <v>890982147</v>
      </c>
      <c r="C157" s="9">
        <v>213405134</v>
      </c>
      <c r="D157" s="10" t="s">
        <v>68</v>
      </c>
      <c r="E157" s="46" t="s">
        <v>1099</v>
      </c>
      <c r="F157" s="21"/>
      <c r="G157" s="50"/>
      <c r="H157" s="21"/>
      <c r="I157" s="50"/>
      <c r="J157" s="21"/>
      <c r="K157" s="21"/>
      <c r="L157" s="50"/>
      <c r="M157" s="51"/>
      <c r="N157" s="21"/>
      <c r="O157" s="50"/>
      <c r="P157" s="21"/>
      <c r="Q157" s="50"/>
      <c r="R157" s="21"/>
      <c r="S157" s="21"/>
      <c r="T157" s="50"/>
      <c r="U157" s="51">
        <f t="shared" si="19"/>
        <v>0</v>
      </c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>
        <v>106404650</v>
      </c>
      <c r="AZ157" s="51"/>
      <c r="BA157" s="51">
        <f>VLOOKUP(B157,[1]Hoja3!J$3:K$674,2,0)</f>
        <v>129878524</v>
      </c>
      <c r="BB157" s="51"/>
      <c r="BC157" s="52">
        <f t="shared" si="22"/>
        <v>236283174</v>
      </c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>
        <v>21280930</v>
      </c>
      <c r="BO157" s="51"/>
      <c r="BP157" s="52">
        <v>257564104</v>
      </c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>
        <v>21280930</v>
      </c>
      <c r="CD157" s="52"/>
      <c r="CE157" s="52"/>
      <c r="CF157" s="52"/>
      <c r="CG157" s="52">
        <f t="shared" si="23"/>
        <v>278845034</v>
      </c>
      <c r="CH157" s="52"/>
      <c r="CI157" s="52"/>
      <c r="CJ157" s="52"/>
      <c r="CK157" s="52"/>
      <c r="CL157" s="52"/>
      <c r="CM157" s="52"/>
      <c r="CN157" s="52"/>
      <c r="CO157" s="52"/>
      <c r="CP157" s="52"/>
      <c r="CQ157" s="52">
        <v>21280930</v>
      </c>
      <c r="CR157" s="52"/>
      <c r="CS157" s="52">
        <f t="shared" si="20"/>
        <v>300125964</v>
      </c>
      <c r="CT157" s="53">
        <v>170247440</v>
      </c>
      <c r="CU157" s="53">
        <f t="shared" si="21"/>
        <v>129878524</v>
      </c>
      <c r="CV157" s="54">
        <f t="shared" si="24"/>
        <v>300125964</v>
      </c>
      <c r="CW157" s="55">
        <f t="shared" si="25"/>
        <v>0</v>
      </c>
      <c r="CX157" s="16"/>
      <c r="CY157" s="16"/>
      <c r="CZ157" s="16"/>
    </row>
    <row r="158" spans="1:108" ht="15" customHeight="1" x14ac:dyDescent="0.2">
      <c r="A158" s="1">
        <v>8000944624</v>
      </c>
      <c r="B158" s="1">
        <v>800094462</v>
      </c>
      <c r="C158" s="9">
        <v>213708137</v>
      </c>
      <c r="D158" s="10" t="s">
        <v>162</v>
      </c>
      <c r="E158" s="46" t="s">
        <v>1190</v>
      </c>
      <c r="F158" s="21"/>
      <c r="G158" s="50"/>
      <c r="H158" s="21"/>
      <c r="I158" s="50"/>
      <c r="J158" s="21"/>
      <c r="K158" s="21"/>
      <c r="L158" s="50"/>
      <c r="M158" s="51"/>
      <c r="N158" s="21"/>
      <c r="O158" s="50"/>
      <c r="P158" s="21"/>
      <c r="Q158" s="50"/>
      <c r="R158" s="21"/>
      <c r="S158" s="21"/>
      <c r="T158" s="50"/>
      <c r="U158" s="51">
        <f t="shared" si="19"/>
        <v>0</v>
      </c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>
        <v>230848555</v>
      </c>
      <c r="AZ158" s="51"/>
      <c r="BA158" s="51">
        <f>VLOOKUP(B158,[1]Hoja3!J$3:K$674,2,0)</f>
        <v>409990608</v>
      </c>
      <c r="BB158" s="51"/>
      <c r="BC158" s="52">
        <f t="shared" si="22"/>
        <v>640839163</v>
      </c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>
        <v>46169711</v>
      </c>
      <c r="BO158" s="51"/>
      <c r="BP158" s="52">
        <v>687008874</v>
      </c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>
        <v>46169711</v>
      </c>
      <c r="CD158" s="52"/>
      <c r="CE158" s="52"/>
      <c r="CF158" s="52"/>
      <c r="CG158" s="52">
        <f t="shared" si="23"/>
        <v>733178585</v>
      </c>
      <c r="CH158" s="52"/>
      <c r="CI158" s="52"/>
      <c r="CJ158" s="52"/>
      <c r="CK158" s="52"/>
      <c r="CL158" s="52"/>
      <c r="CM158" s="52"/>
      <c r="CN158" s="52"/>
      <c r="CO158" s="52"/>
      <c r="CP158" s="52"/>
      <c r="CQ158" s="52">
        <v>46169711</v>
      </c>
      <c r="CR158" s="52"/>
      <c r="CS158" s="52">
        <f t="shared" si="20"/>
        <v>779348296</v>
      </c>
      <c r="CT158" s="53">
        <v>369357688</v>
      </c>
      <c r="CU158" s="53">
        <f t="shared" si="21"/>
        <v>409990608</v>
      </c>
      <c r="CV158" s="54">
        <f t="shared" si="24"/>
        <v>779348296</v>
      </c>
      <c r="CW158" s="55">
        <f t="shared" si="25"/>
        <v>0</v>
      </c>
      <c r="CX158" s="16"/>
      <c r="CY158" s="16"/>
      <c r="CZ158" s="16"/>
    </row>
    <row r="159" spans="1:108" ht="15" customHeight="1" x14ac:dyDescent="0.2">
      <c r="A159" s="1">
        <v>8911181199</v>
      </c>
      <c r="B159" s="1">
        <v>891118119</v>
      </c>
      <c r="C159" s="9">
        <v>213241132</v>
      </c>
      <c r="D159" s="10" t="s">
        <v>599</v>
      </c>
      <c r="E159" s="46" t="s">
        <v>1618</v>
      </c>
      <c r="F159" s="21"/>
      <c r="G159" s="50"/>
      <c r="H159" s="21"/>
      <c r="I159" s="50"/>
      <c r="J159" s="21"/>
      <c r="K159" s="21"/>
      <c r="L159" s="50"/>
      <c r="M159" s="51"/>
      <c r="N159" s="21"/>
      <c r="O159" s="50"/>
      <c r="P159" s="21"/>
      <c r="Q159" s="50"/>
      <c r="R159" s="21"/>
      <c r="S159" s="21"/>
      <c r="T159" s="50"/>
      <c r="U159" s="51">
        <f t="shared" si="19"/>
        <v>0</v>
      </c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>
        <v>387416700</v>
      </c>
      <c r="AN159" s="51">
        <f>SUBTOTAL(9,AC159:AM159)</f>
        <v>387416700</v>
      </c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>
        <v>207600155</v>
      </c>
      <c r="AZ159" s="51"/>
      <c r="BA159" s="51"/>
      <c r="BB159" s="51"/>
      <c r="BC159" s="52">
        <f t="shared" si="22"/>
        <v>595016855</v>
      </c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>
        <v>41520031</v>
      </c>
      <c r="BO159" s="51"/>
      <c r="BP159" s="52">
        <v>636536886</v>
      </c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>
        <v>41520031</v>
      </c>
      <c r="CD159" s="52"/>
      <c r="CE159" s="52"/>
      <c r="CF159" s="52"/>
      <c r="CG159" s="52">
        <f t="shared" si="23"/>
        <v>678056917</v>
      </c>
      <c r="CH159" s="52"/>
      <c r="CI159" s="52"/>
      <c r="CJ159" s="52"/>
      <c r="CK159" s="52"/>
      <c r="CL159" s="52"/>
      <c r="CM159" s="52"/>
      <c r="CN159" s="52"/>
      <c r="CO159" s="52"/>
      <c r="CP159" s="52"/>
      <c r="CQ159" s="52">
        <v>41520031</v>
      </c>
      <c r="CR159" s="52"/>
      <c r="CS159" s="52">
        <f t="shared" si="20"/>
        <v>719576948</v>
      </c>
      <c r="CT159" s="53">
        <v>332160248</v>
      </c>
      <c r="CU159" s="53">
        <f t="shared" si="21"/>
        <v>387416700</v>
      </c>
      <c r="CV159" s="54">
        <f t="shared" si="24"/>
        <v>719576948</v>
      </c>
      <c r="CW159" s="55">
        <f t="shared" si="25"/>
        <v>0</v>
      </c>
      <c r="CX159" s="16"/>
      <c r="CY159" s="16"/>
      <c r="CZ159" s="16"/>
    </row>
    <row r="160" spans="1:108" ht="15" customHeight="1" x14ac:dyDescent="0.2">
      <c r="A160" s="1">
        <v>8000283933</v>
      </c>
      <c r="B160" s="1">
        <v>800028393</v>
      </c>
      <c r="C160" s="9">
        <v>213515135</v>
      </c>
      <c r="D160" s="10" t="s">
        <v>229</v>
      </c>
      <c r="E160" s="46" t="s">
        <v>1265</v>
      </c>
      <c r="F160" s="21"/>
      <c r="G160" s="50"/>
      <c r="H160" s="21"/>
      <c r="I160" s="50"/>
      <c r="J160" s="21"/>
      <c r="K160" s="21"/>
      <c r="L160" s="50"/>
      <c r="M160" s="51"/>
      <c r="N160" s="21"/>
      <c r="O160" s="50"/>
      <c r="P160" s="21"/>
      <c r="Q160" s="50"/>
      <c r="R160" s="21"/>
      <c r="S160" s="21"/>
      <c r="T160" s="50"/>
      <c r="U160" s="51">
        <f t="shared" si="19"/>
        <v>0</v>
      </c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>
        <v>24742295</v>
      </c>
      <c r="AZ160" s="51"/>
      <c r="BA160" s="51">
        <f>VLOOKUP(B160,[1]Hoja3!J$3:K$674,2,0)</f>
        <v>42103318</v>
      </c>
      <c r="BB160" s="51"/>
      <c r="BC160" s="52">
        <f t="shared" si="22"/>
        <v>66845613</v>
      </c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>
        <v>4948459</v>
      </c>
      <c r="BO160" s="51"/>
      <c r="BP160" s="52">
        <v>71794072</v>
      </c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>
        <v>4948459</v>
      </c>
      <c r="CD160" s="52"/>
      <c r="CE160" s="52"/>
      <c r="CF160" s="52"/>
      <c r="CG160" s="52">
        <f t="shared" si="23"/>
        <v>76742531</v>
      </c>
      <c r="CH160" s="52"/>
      <c r="CI160" s="52"/>
      <c r="CJ160" s="52"/>
      <c r="CK160" s="52"/>
      <c r="CL160" s="52"/>
      <c r="CM160" s="52"/>
      <c r="CN160" s="52"/>
      <c r="CO160" s="52"/>
      <c r="CP160" s="52"/>
      <c r="CQ160" s="52">
        <v>4948459</v>
      </c>
      <c r="CR160" s="52"/>
      <c r="CS160" s="52">
        <f t="shared" si="20"/>
        <v>81690990</v>
      </c>
      <c r="CT160" s="53">
        <v>39587672</v>
      </c>
      <c r="CU160" s="53">
        <f t="shared" si="21"/>
        <v>42103318</v>
      </c>
      <c r="CV160" s="54">
        <f t="shared" si="24"/>
        <v>81690990</v>
      </c>
      <c r="CW160" s="55">
        <f t="shared" si="25"/>
        <v>0</v>
      </c>
      <c r="CX160" s="16"/>
      <c r="CY160" s="16"/>
      <c r="CZ160" s="8"/>
      <c r="DA160" s="8"/>
      <c r="DB160" s="8"/>
      <c r="DC160" s="8"/>
      <c r="DD160" s="8"/>
    </row>
    <row r="161" spans="1:108" ht="15" customHeight="1" x14ac:dyDescent="0.2">
      <c r="A161" s="1">
        <v>8000967406</v>
      </c>
      <c r="B161" s="1">
        <v>800096740</v>
      </c>
      <c r="C161" s="9">
        <v>219023090</v>
      </c>
      <c r="D161" s="10" t="s">
        <v>439</v>
      </c>
      <c r="E161" s="46" t="s">
        <v>1466</v>
      </c>
      <c r="F161" s="21"/>
      <c r="G161" s="50"/>
      <c r="H161" s="21"/>
      <c r="I161" s="50"/>
      <c r="J161" s="21"/>
      <c r="K161" s="21"/>
      <c r="L161" s="50"/>
      <c r="M161" s="51"/>
      <c r="N161" s="21"/>
      <c r="O161" s="50"/>
      <c r="P161" s="21"/>
      <c r="Q161" s="50"/>
      <c r="R161" s="21"/>
      <c r="S161" s="21"/>
      <c r="T161" s="50"/>
      <c r="U161" s="51">
        <f t="shared" si="19"/>
        <v>0</v>
      </c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>
        <v>104166149</v>
      </c>
      <c r="AN161" s="51">
        <f>SUBTOTAL(9,AC161:AM161)</f>
        <v>104166149</v>
      </c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>
        <f>VLOOKUP(B161,'[2]anuladas en mayo gratuidad}'!K$2:L$55,2,0)</f>
        <v>104166149</v>
      </c>
      <c r="BC161" s="52">
        <f t="shared" si="22"/>
        <v>0</v>
      </c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>
        <v>0</v>
      </c>
      <c r="BO161" s="51"/>
      <c r="BP161" s="51">
        <v>0</v>
      </c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>
        <v>406983325</v>
      </c>
      <c r="CD161" s="52"/>
      <c r="CE161" s="52"/>
      <c r="CF161" s="52"/>
      <c r="CG161" s="52">
        <f t="shared" si="23"/>
        <v>406983325</v>
      </c>
      <c r="CH161" s="52"/>
      <c r="CI161" s="52"/>
      <c r="CJ161" s="52"/>
      <c r="CK161" s="52"/>
      <c r="CL161" s="52"/>
      <c r="CM161" s="52"/>
      <c r="CN161" s="52"/>
      <c r="CO161" s="52"/>
      <c r="CP161" s="52"/>
      <c r="CQ161" s="52">
        <v>58140475</v>
      </c>
      <c r="CR161" s="52">
        <v>104166149</v>
      </c>
      <c r="CS161" s="52">
        <f t="shared" si="20"/>
        <v>569289949</v>
      </c>
      <c r="CT161" s="53">
        <v>465123800</v>
      </c>
      <c r="CU161" s="53">
        <f t="shared" si="21"/>
        <v>104166149</v>
      </c>
      <c r="CV161" s="54">
        <f t="shared" si="24"/>
        <v>569289949</v>
      </c>
      <c r="CW161" s="55">
        <f t="shared" si="25"/>
        <v>0</v>
      </c>
      <c r="CX161" s="16"/>
      <c r="CY161" s="16"/>
      <c r="CZ161" s="16"/>
    </row>
    <row r="162" spans="1:108" ht="15" customHeight="1" x14ac:dyDescent="0.2">
      <c r="A162" s="1">
        <v>8909822388</v>
      </c>
      <c r="B162" s="1">
        <v>890982238</v>
      </c>
      <c r="C162" s="9">
        <v>213805138</v>
      </c>
      <c r="D162" s="10" t="s">
        <v>69</v>
      </c>
      <c r="E162" s="46" t="s">
        <v>1100</v>
      </c>
      <c r="F162" s="21"/>
      <c r="G162" s="50"/>
      <c r="H162" s="21"/>
      <c r="I162" s="50"/>
      <c r="J162" s="21"/>
      <c r="K162" s="21"/>
      <c r="L162" s="50"/>
      <c r="M162" s="51"/>
      <c r="N162" s="21"/>
      <c r="O162" s="50"/>
      <c r="P162" s="21"/>
      <c r="Q162" s="50"/>
      <c r="R162" s="21"/>
      <c r="S162" s="21"/>
      <c r="T162" s="50"/>
      <c r="U162" s="51">
        <f t="shared" si="19"/>
        <v>0</v>
      </c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>
        <v>24474371</v>
      </c>
      <c r="AN162" s="51">
        <f>SUBTOTAL(9,AC162:AM162)</f>
        <v>24474371</v>
      </c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>
        <v>125484560</v>
      </c>
      <c r="AZ162" s="51"/>
      <c r="BA162" s="51">
        <f>VLOOKUP(B162,[1]Hoja3!J$3:K$674,2,0)</f>
        <v>221475872</v>
      </c>
      <c r="BB162" s="51"/>
      <c r="BC162" s="52">
        <f t="shared" si="22"/>
        <v>371434803</v>
      </c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>
        <v>25096912</v>
      </c>
      <c r="BO162" s="51"/>
      <c r="BP162" s="52">
        <v>396531715</v>
      </c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>
        <v>25096912</v>
      </c>
      <c r="CD162" s="52"/>
      <c r="CE162" s="52"/>
      <c r="CF162" s="52"/>
      <c r="CG162" s="52">
        <f t="shared" si="23"/>
        <v>421628627</v>
      </c>
      <c r="CH162" s="52"/>
      <c r="CI162" s="52"/>
      <c r="CJ162" s="52"/>
      <c r="CK162" s="52"/>
      <c r="CL162" s="52"/>
      <c r="CM162" s="52"/>
      <c r="CN162" s="52"/>
      <c r="CO162" s="52"/>
      <c r="CP162" s="52"/>
      <c r="CQ162" s="52">
        <v>25096912</v>
      </c>
      <c r="CR162" s="52"/>
      <c r="CS162" s="52">
        <f t="shared" si="20"/>
        <v>446725539</v>
      </c>
      <c r="CT162" s="53">
        <v>200775296</v>
      </c>
      <c r="CU162" s="53">
        <f t="shared" si="21"/>
        <v>245950243</v>
      </c>
      <c r="CV162" s="54">
        <f t="shared" si="24"/>
        <v>446725539</v>
      </c>
      <c r="CW162" s="55">
        <f t="shared" si="25"/>
        <v>0</v>
      </c>
      <c r="CX162" s="16"/>
      <c r="CY162" s="16"/>
      <c r="CZ162" s="16"/>
    </row>
    <row r="163" spans="1:108" ht="15" customHeight="1" x14ac:dyDescent="0.2">
      <c r="A163" s="1">
        <v>8000944663</v>
      </c>
      <c r="B163" s="1">
        <v>800094466</v>
      </c>
      <c r="C163" s="9">
        <v>214108141</v>
      </c>
      <c r="D163" s="10" t="s">
        <v>163</v>
      </c>
      <c r="E163" s="46" t="s">
        <v>1191</v>
      </c>
      <c r="F163" s="21"/>
      <c r="G163" s="50"/>
      <c r="H163" s="21"/>
      <c r="I163" s="50"/>
      <c r="J163" s="21"/>
      <c r="K163" s="21"/>
      <c r="L163" s="50"/>
      <c r="M163" s="51"/>
      <c r="N163" s="21"/>
      <c r="O163" s="50"/>
      <c r="P163" s="21"/>
      <c r="Q163" s="50"/>
      <c r="R163" s="21"/>
      <c r="S163" s="21"/>
      <c r="T163" s="50"/>
      <c r="U163" s="51">
        <f t="shared" si="19"/>
        <v>0</v>
      </c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>
        <v>51693028</v>
      </c>
      <c r="AN163" s="51">
        <f>SUBTOTAL(9,AC163:AM163)</f>
        <v>51693028</v>
      </c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>
        <v>177701795</v>
      </c>
      <c r="AZ163" s="51"/>
      <c r="BA163" s="51">
        <f>VLOOKUP(B163,[1]Hoja3!J$3:K$674,2,0)</f>
        <v>187374069</v>
      </c>
      <c r="BB163" s="51"/>
      <c r="BC163" s="52">
        <f t="shared" si="22"/>
        <v>416768892</v>
      </c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>
        <v>35540359</v>
      </c>
      <c r="BO163" s="51"/>
      <c r="BP163" s="52">
        <v>452309251</v>
      </c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>
        <v>35540359</v>
      </c>
      <c r="CD163" s="52"/>
      <c r="CE163" s="52"/>
      <c r="CF163" s="52"/>
      <c r="CG163" s="52">
        <f t="shared" si="23"/>
        <v>487849610</v>
      </c>
      <c r="CH163" s="52"/>
      <c r="CI163" s="52"/>
      <c r="CJ163" s="52"/>
      <c r="CK163" s="52"/>
      <c r="CL163" s="52"/>
      <c r="CM163" s="52"/>
      <c r="CN163" s="52"/>
      <c r="CO163" s="52"/>
      <c r="CP163" s="52"/>
      <c r="CQ163" s="52">
        <v>35540359</v>
      </c>
      <c r="CR163" s="52"/>
      <c r="CS163" s="52">
        <f t="shared" si="20"/>
        <v>523389969</v>
      </c>
      <c r="CT163" s="53">
        <v>284322872</v>
      </c>
      <c r="CU163" s="53">
        <f t="shared" si="21"/>
        <v>239067097</v>
      </c>
      <c r="CV163" s="54">
        <f t="shared" si="24"/>
        <v>523389969</v>
      </c>
      <c r="CW163" s="55">
        <f t="shared" si="25"/>
        <v>0</v>
      </c>
      <c r="CX163" s="16"/>
      <c r="CY163" s="16"/>
      <c r="CZ163" s="16"/>
    </row>
    <row r="164" spans="1:108" ht="15" customHeight="1" x14ac:dyDescent="0.2">
      <c r="A164" s="1">
        <v>8913800381</v>
      </c>
      <c r="B164" s="1">
        <v>891380038</v>
      </c>
      <c r="C164" s="9">
        <v>213076130</v>
      </c>
      <c r="D164" s="10" t="s">
        <v>920</v>
      </c>
      <c r="E164" s="46" t="s">
        <v>2091</v>
      </c>
      <c r="F164" s="21"/>
      <c r="G164" s="50"/>
      <c r="H164" s="21"/>
      <c r="I164" s="50"/>
      <c r="J164" s="21"/>
      <c r="K164" s="21"/>
      <c r="L164" s="50"/>
      <c r="M164" s="51"/>
      <c r="N164" s="21"/>
      <c r="O164" s="50"/>
      <c r="P164" s="21"/>
      <c r="Q164" s="50"/>
      <c r="R164" s="21"/>
      <c r="S164" s="21"/>
      <c r="T164" s="50"/>
      <c r="U164" s="51">
        <f t="shared" si="19"/>
        <v>0</v>
      </c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>
        <v>770889314</v>
      </c>
      <c r="AN164" s="51">
        <f>SUBTOTAL(9,AC164:AM164)</f>
        <v>770889314</v>
      </c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>
        <v>378969340</v>
      </c>
      <c r="AZ164" s="51"/>
      <c r="BA164" s="51">
        <f>VLOOKUP(B164,[1]Hoja3!J$3:K$674,2,0)</f>
        <v>206399806</v>
      </c>
      <c r="BB164" s="51"/>
      <c r="BC164" s="52">
        <f t="shared" si="22"/>
        <v>1356258460</v>
      </c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>
        <v>75793868</v>
      </c>
      <c r="BO164" s="51"/>
      <c r="BP164" s="52">
        <v>1432052328</v>
      </c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>
        <v>75793868</v>
      </c>
      <c r="CD164" s="52"/>
      <c r="CE164" s="52"/>
      <c r="CF164" s="52"/>
      <c r="CG164" s="52">
        <f t="shared" si="23"/>
        <v>1507846196</v>
      </c>
      <c r="CH164" s="52"/>
      <c r="CI164" s="52"/>
      <c r="CJ164" s="52"/>
      <c r="CK164" s="52"/>
      <c r="CL164" s="52"/>
      <c r="CM164" s="52"/>
      <c r="CN164" s="52"/>
      <c r="CO164" s="52"/>
      <c r="CP164" s="52"/>
      <c r="CQ164" s="52">
        <v>75793868</v>
      </c>
      <c r="CR164" s="52"/>
      <c r="CS164" s="52">
        <f t="shared" si="20"/>
        <v>1583640064</v>
      </c>
      <c r="CT164" s="53">
        <v>606350944</v>
      </c>
      <c r="CU164" s="53">
        <f t="shared" si="21"/>
        <v>977289120</v>
      </c>
      <c r="CV164" s="54">
        <f t="shared" si="24"/>
        <v>1583640064</v>
      </c>
      <c r="CW164" s="55">
        <f t="shared" si="25"/>
        <v>0</v>
      </c>
      <c r="CX164" s="16"/>
      <c r="CY164" s="16"/>
      <c r="CZ164" s="8"/>
      <c r="DA164" s="8"/>
      <c r="DB164" s="8"/>
      <c r="DC164" s="8"/>
      <c r="DD164" s="8"/>
    </row>
    <row r="165" spans="1:108" ht="15" customHeight="1" x14ac:dyDescent="0.2">
      <c r="A165" s="1">
        <v>8002535261</v>
      </c>
      <c r="B165" s="1">
        <v>800253526</v>
      </c>
      <c r="C165" s="9">
        <v>216013160</v>
      </c>
      <c r="D165" s="10" t="s">
        <v>187</v>
      </c>
      <c r="E165" s="46" t="s">
        <v>1217</v>
      </c>
      <c r="F165" s="21"/>
      <c r="G165" s="50"/>
      <c r="H165" s="21"/>
      <c r="I165" s="50"/>
      <c r="J165" s="21"/>
      <c r="K165" s="21"/>
      <c r="L165" s="50"/>
      <c r="M165" s="51"/>
      <c r="N165" s="21"/>
      <c r="O165" s="50"/>
      <c r="P165" s="21"/>
      <c r="Q165" s="50"/>
      <c r="R165" s="21"/>
      <c r="S165" s="21"/>
      <c r="T165" s="50"/>
      <c r="U165" s="51">
        <f t="shared" si="19"/>
        <v>0</v>
      </c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>
        <v>100282730</v>
      </c>
      <c r="AZ165" s="51"/>
      <c r="BA165" s="51">
        <f>VLOOKUP(B165,[1]Hoja3!J$3:K$674,2,0)</f>
        <v>103286409</v>
      </c>
      <c r="BB165" s="51"/>
      <c r="BC165" s="52">
        <f t="shared" si="22"/>
        <v>203569139</v>
      </c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>
        <v>20056546</v>
      </c>
      <c r="BO165" s="51"/>
      <c r="BP165" s="52">
        <v>223625685</v>
      </c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>
        <v>20056546</v>
      </c>
      <c r="CD165" s="52"/>
      <c r="CE165" s="52">
        <v>59992746</v>
      </c>
      <c r="CF165" s="52"/>
      <c r="CG165" s="52">
        <f t="shared" si="23"/>
        <v>303674977</v>
      </c>
      <c r="CH165" s="52"/>
      <c r="CI165" s="52"/>
      <c r="CJ165" s="52"/>
      <c r="CK165" s="52"/>
      <c r="CL165" s="52"/>
      <c r="CM165" s="52"/>
      <c r="CN165" s="52"/>
      <c r="CO165" s="52"/>
      <c r="CP165" s="52"/>
      <c r="CQ165" s="52">
        <v>20056546</v>
      </c>
      <c r="CR165" s="52"/>
      <c r="CS165" s="52">
        <f t="shared" si="20"/>
        <v>323731523</v>
      </c>
      <c r="CT165" s="53">
        <v>160452368</v>
      </c>
      <c r="CU165" s="53">
        <f t="shared" si="21"/>
        <v>163279155</v>
      </c>
      <c r="CV165" s="54">
        <f t="shared" si="24"/>
        <v>323731523</v>
      </c>
      <c r="CW165" s="55">
        <f t="shared" si="25"/>
        <v>0</v>
      </c>
      <c r="CX165" s="16"/>
      <c r="CY165" s="16"/>
      <c r="CZ165" s="8"/>
      <c r="DA165" s="8"/>
      <c r="DB165" s="8"/>
      <c r="DC165" s="8"/>
      <c r="DD165" s="8"/>
    </row>
    <row r="166" spans="1:108" ht="15" customHeight="1" x14ac:dyDescent="0.2">
      <c r="A166" s="1">
        <v>8002394145</v>
      </c>
      <c r="B166" s="1">
        <v>800239414</v>
      </c>
      <c r="C166" s="9">
        <v>213527135</v>
      </c>
      <c r="D166" s="10" t="s">
        <v>574</v>
      </c>
      <c r="E166" s="46" t="s">
        <v>1594</v>
      </c>
      <c r="F166" s="21"/>
      <c r="G166" s="50"/>
      <c r="H166" s="21"/>
      <c r="I166" s="50"/>
      <c r="J166" s="21"/>
      <c r="K166" s="21"/>
      <c r="L166" s="50"/>
      <c r="M166" s="51"/>
      <c r="N166" s="21"/>
      <c r="O166" s="50"/>
      <c r="P166" s="21"/>
      <c r="Q166" s="50"/>
      <c r="R166" s="21"/>
      <c r="S166" s="21"/>
      <c r="T166" s="50"/>
      <c r="U166" s="51">
        <f t="shared" si="19"/>
        <v>0</v>
      </c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>
        <v>113439136</v>
      </c>
      <c r="AN166" s="51">
        <f>SUBTOTAL(9,AC166:AM166)</f>
        <v>113439136</v>
      </c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>
        <v>67523330</v>
      </c>
      <c r="AZ166" s="51"/>
      <c r="BA166" s="51"/>
      <c r="BB166" s="51"/>
      <c r="BC166" s="52">
        <f t="shared" si="22"/>
        <v>180962466</v>
      </c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>
        <v>13504666</v>
      </c>
      <c r="BO166" s="51"/>
      <c r="BP166" s="52">
        <v>194467132</v>
      </c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>
        <v>13504666</v>
      </c>
      <c r="CD166" s="52"/>
      <c r="CE166" s="52"/>
      <c r="CF166" s="52"/>
      <c r="CG166" s="52">
        <f t="shared" si="23"/>
        <v>207971798</v>
      </c>
      <c r="CH166" s="52"/>
      <c r="CI166" s="52"/>
      <c r="CJ166" s="52"/>
      <c r="CK166" s="52"/>
      <c r="CL166" s="52"/>
      <c r="CM166" s="52"/>
      <c r="CN166" s="52"/>
      <c r="CO166" s="52"/>
      <c r="CP166" s="52"/>
      <c r="CQ166" s="52">
        <v>13504666</v>
      </c>
      <c r="CR166" s="52"/>
      <c r="CS166" s="52">
        <f t="shared" si="20"/>
        <v>221476464</v>
      </c>
      <c r="CT166" s="53">
        <v>108037328</v>
      </c>
      <c r="CU166" s="53">
        <f t="shared" si="21"/>
        <v>113439136</v>
      </c>
      <c r="CV166" s="54">
        <f t="shared" si="24"/>
        <v>221476464</v>
      </c>
      <c r="CW166" s="55">
        <f t="shared" si="25"/>
        <v>0</v>
      </c>
      <c r="CX166" s="16"/>
      <c r="CY166" s="16"/>
      <c r="CZ166" s="16"/>
    </row>
    <row r="167" spans="1:108" ht="15" customHeight="1" x14ac:dyDescent="0.2">
      <c r="A167" s="1">
        <v>8999997100</v>
      </c>
      <c r="B167" s="1">
        <v>899999710</v>
      </c>
      <c r="C167" s="9">
        <v>214825148</v>
      </c>
      <c r="D167" s="10" t="s">
        <v>471</v>
      </c>
      <c r="E167" s="46" t="s">
        <v>1497</v>
      </c>
      <c r="F167" s="21"/>
      <c r="G167" s="50"/>
      <c r="H167" s="21"/>
      <c r="I167" s="50"/>
      <c r="J167" s="21"/>
      <c r="K167" s="21"/>
      <c r="L167" s="50"/>
      <c r="M167" s="51"/>
      <c r="N167" s="21"/>
      <c r="O167" s="50"/>
      <c r="P167" s="21"/>
      <c r="Q167" s="50"/>
      <c r="R167" s="21"/>
      <c r="S167" s="21"/>
      <c r="T167" s="50"/>
      <c r="U167" s="51">
        <f t="shared" si="19"/>
        <v>0</v>
      </c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>
        <v>175048135</v>
      </c>
      <c r="AN167" s="51">
        <f>SUBTOTAL(9,AC167:AM167)</f>
        <v>175048135</v>
      </c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2">
        <f t="shared" si="22"/>
        <v>175048135</v>
      </c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>
        <v>0</v>
      </c>
      <c r="BO167" s="51"/>
      <c r="BP167" s="52">
        <v>175048135</v>
      </c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>
        <v>0</v>
      </c>
      <c r="CD167" s="52"/>
      <c r="CE167" s="52"/>
      <c r="CF167" s="52"/>
      <c r="CG167" s="52">
        <f t="shared" si="23"/>
        <v>175048135</v>
      </c>
      <c r="CH167" s="52"/>
      <c r="CI167" s="52"/>
      <c r="CJ167" s="52"/>
      <c r="CK167" s="52"/>
      <c r="CL167" s="52"/>
      <c r="CM167" s="52"/>
      <c r="CN167" s="52"/>
      <c r="CO167" s="52"/>
      <c r="CP167" s="52"/>
      <c r="CQ167" s="52">
        <v>0</v>
      </c>
      <c r="CR167" s="52"/>
      <c r="CS167" s="52">
        <f t="shared" si="20"/>
        <v>175048135</v>
      </c>
      <c r="CT167" s="53"/>
      <c r="CU167" s="53">
        <f t="shared" si="21"/>
        <v>175048135</v>
      </c>
      <c r="CV167" s="54">
        <f t="shared" si="24"/>
        <v>175048135</v>
      </c>
      <c r="CW167" s="55">
        <f t="shared" si="25"/>
        <v>0</v>
      </c>
      <c r="CX167" s="16"/>
      <c r="CY167" s="16"/>
      <c r="CZ167" s="16"/>
    </row>
    <row r="168" spans="1:108" ht="15" customHeight="1" x14ac:dyDescent="0.2">
      <c r="A168" s="1">
        <v>8902051198</v>
      </c>
      <c r="B168" s="1">
        <v>890205119</v>
      </c>
      <c r="C168" s="9">
        <v>214768147</v>
      </c>
      <c r="D168" s="10" t="s">
        <v>821</v>
      </c>
      <c r="E168" s="71" t="s">
        <v>2278</v>
      </c>
      <c r="F168" s="21"/>
      <c r="G168" s="50"/>
      <c r="H168" s="21"/>
      <c r="I168" s="50"/>
      <c r="J168" s="21"/>
      <c r="K168" s="21"/>
      <c r="L168" s="50"/>
      <c r="M168" s="51"/>
      <c r="N168" s="21"/>
      <c r="O168" s="50"/>
      <c r="P168" s="21"/>
      <c r="Q168" s="50"/>
      <c r="R168" s="21"/>
      <c r="S168" s="21"/>
      <c r="T168" s="50"/>
      <c r="U168" s="51">
        <f t="shared" si="19"/>
        <v>0</v>
      </c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>
        <v>43093370</v>
      </c>
      <c r="AZ168" s="51"/>
      <c r="BA168" s="51">
        <f>VLOOKUP(B168,[1]Hoja3!J$3:K$674,2,0)</f>
        <v>75217651</v>
      </c>
      <c r="BB168" s="51"/>
      <c r="BC168" s="52">
        <f t="shared" si="22"/>
        <v>118311021</v>
      </c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>
        <v>8618674</v>
      </c>
      <c r="BO168" s="51"/>
      <c r="BP168" s="52">
        <v>126929695</v>
      </c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>
        <v>8618674</v>
      </c>
      <c r="CD168" s="52"/>
      <c r="CE168" s="52"/>
      <c r="CF168" s="52"/>
      <c r="CG168" s="52">
        <f t="shared" si="23"/>
        <v>135548369</v>
      </c>
      <c r="CH168" s="52"/>
      <c r="CI168" s="52"/>
      <c r="CJ168" s="52"/>
      <c r="CK168" s="52"/>
      <c r="CL168" s="52"/>
      <c r="CM168" s="52"/>
      <c r="CN168" s="52"/>
      <c r="CO168" s="52"/>
      <c r="CP168" s="52"/>
      <c r="CQ168" s="52">
        <v>8618674</v>
      </c>
      <c r="CR168" s="52"/>
      <c r="CS168" s="52">
        <f t="shared" si="20"/>
        <v>144167043</v>
      </c>
      <c r="CT168" s="53">
        <v>68949392</v>
      </c>
      <c r="CU168" s="53">
        <f t="shared" si="21"/>
        <v>75217651</v>
      </c>
      <c r="CV168" s="54">
        <f t="shared" si="24"/>
        <v>144167043</v>
      </c>
      <c r="CW168" s="55">
        <f t="shared" si="25"/>
        <v>0</v>
      </c>
      <c r="CX168" s="16"/>
      <c r="CY168" s="16"/>
      <c r="CZ168" s="16"/>
    </row>
    <row r="169" spans="1:108" ht="15" customHeight="1" x14ac:dyDescent="0.2">
      <c r="A169" s="1">
        <v>8999994629</v>
      </c>
      <c r="B169" s="1">
        <v>899999462</v>
      </c>
      <c r="C169" s="9">
        <v>215125151</v>
      </c>
      <c r="D169" s="10" t="s">
        <v>472</v>
      </c>
      <c r="E169" s="46" t="s">
        <v>1498</v>
      </c>
      <c r="F169" s="21"/>
      <c r="G169" s="50"/>
      <c r="H169" s="21"/>
      <c r="I169" s="50"/>
      <c r="J169" s="21"/>
      <c r="K169" s="21"/>
      <c r="L169" s="50"/>
      <c r="M169" s="51"/>
      <c r="N169" s="21"/>
      <c r="O169" s="50"/>
      <c r="P169" s="21"/>
      <c r="Q169" s="50"/>
      <c r="R169" s="21"/>
      <c r="S169" s="21"/>
      <c r="T169" s="50"/>
      <c r="U169" s="51">
        <f t="shared" si="19"/>
        <v>0</v>
      </c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>
        <v>114631388</v>
      </c>
      <c r="AN169" s="51">
        <f>SUBTOTAL(9,AC169:AM169)</f>
        <v>114631388</v>
      </c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>
        <v>108099630</v>
      </c>
      <c r="AZ169" s="51"/>
      <c r="BA169" s="51">
        <f>VLOOKUP(B169,[1]Hoja3!J$3:K$674,2,0)</f>
        <v>122808416</v>
      </c>
      <c r="BB169" s="51"/>
      <c r="BC169" s="52">
        <f t="shared" si="22"/>
        <v>345539434</v>
      </c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>
        <v>21619926</v>
      </c>
      <c r="BO169" s="51"/>
      <c r="BP169" s="52">
        <v>367159360</v>
      </c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>
        <v>21619926</v>
      </c>
      <c r="CD169" s="52"/>
      <c r="CE169" s="52"/>
      <c r="CF169" s="52"/>
      <c r="CG169" s="52">
        <f t="shared" si="23"/>
        <v>388779286</v>
      </c>
      <c r="CH169" s="52"/>
      <c r="CI169" s="52"/>
      <c r="CJ169" s="52"/>
      <c r="CK169" s="52"/>
      <c r="CL169" s="52"/>
      <c r="CM169" s="52"/>
      <c r="CN169" s="52"/>
      <c r="CO169" s="52"/>
      <c r="CP169" s="52"/>
      <c r="CQ169" s="52">
        <v>21619926</v>
      </c>
      <c r="CR169" s="52"/>
      <c r="CS169" s="52">
        <f t="shared" si="20"/>
        <v>410399212</v>
      </c>
      <c r="CT169" s="53">
        <v>172959408</v>
      </c>
      <c r="CU169" s="53">
        <f t="shared" si="21"/>
        <v>237439804</v>
      </c>
      <c r="CV169" s="54">
        <f t="shared" si="24"/>
        <v>410399212</v>
      </c>
      <c r="CW169" s="55">
        <f t="shared" si="25"/>
        <v>0</v>
      </c>
      <c r="CX169" s="16"/>
      <c r="CY169" s="16"/>
      <c r="CZ169" s="16"/>
    </row>
    <row r="170" spans="1:108" ht="15" customHeight="1" x14ac:dyDescent="0.2">
      <c r="A170" s="1">
        <v>8909811077</v>
      </c>
      <c r="B170" s="1">
        <v>890981107</v>
      </c>
      <c r="C170" s="9">
        <v>214205142</v>
      </c>
      <c r="D170" s="10" t="s">
        <v>70</v>
      </c>
      <c r="E170" s="46" t="s">
        <v>1101</v>
      </c>
      <c r="F170" s="21"/>
      <c r="G170" s="50"/>
      <c r="H170" s="21"/>
      <c r="I170" s="50"/>
      <c r="J170" s="21"/>
      <c r="K170" s="21"/>
      <c r="L170" s="50"/>
      <c r="M170" s="51"/>
      <c r="N170" s="21"/>
      <c r="O170" s="50"/>
      <c r="P170" s="21"/>
      <c r="Q170" s="50"/>
      <c r="R170" s="21"/>
      <c r="S170" s="21"/>
      <c r="T170" s="50"/>
      <c r="U170" s="51">
        <f t="shared" si="19"/>
        <v>0</v>
      </c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>
        <f>VLOOKUP(B170,[1]Hoja3!J$3:K$674,2,0)</f>
        <v>49089568</v>
      </c>
      <c r="BB170" s="51"/>
      <c r="BC170" s="52">
        <f t="shared" si="22"/>
        <v>49089568</v>
      </c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>
        <v>6630746</v>
      </c>
      <c r="BO170" s="51"/>
      <c r="BP170" s="52">
        <v>55720314</v>
      </c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>
        <v>6630746</v>
      </c>
      <c r="CD170" s="52">
        <v>33153730</v>
      </c>
      <c r="CE170" s="52"/>
      <c r="CF170" s="52"/>
      <c r="CG170" s="52">
        <f t="shared" si="23"/>
        <v>95504790</v>
      </c>
      <c r="CH170" s="52"/>
      <c r="CI170" s="52"/>
      <c r="CJ170" s="52"/>
      <c r="CK170" s="52"/>
      <c r="CL170" s="52"/>
      <c r="CM170" s="52"/>
      <c r="CN170" s="52"/>
      <c r="CO170" s="52"/>
      <c r="CP170" s="52"/>
      <c r="CQ170" s="52">
        <v>6630746</v>
      </c>
      <c r="CR170" s="52"/>
      <c r="CS170" s="52">
        <f t="shared" si="20"/>
        <v>102135536</v>
      </c>
      <c r="CT170" s="53">
        <v>53045968</v>
      </c>
      <c r="CU170" s="53">
        <f t="shared" si="21"/>
        <v>49089568</v>
      </c>
      <c r="CV170" s="54">
        <f t="shared" si="24"/>
        <v>102135536</v>
      </c>
      <c r="CW170" s="55">
        <f t="shared" si="25"/>
        <v>0</v>
      </c>
      <c r="CX170" s="16"/>
      <c r="CY170" s="16"/>
      <c r="CZ170" s="16"/>
    </row>
    <row r="171" spans="1:108" ht="15" customHeight="1" x14ac:dyDescent="0.2">
      <c r="A171" s="1">
        <v>8909841325</v>
      </c>
      <c r="B171" s="1">
        <v>890984132</v>
      </c>
      <c r="C171" s="9">
        <v>214505145</v>
      </c>
      <c r="D171" s="10" t="s">
        <v>71</v>
      </c>
      <c r="E171" s="46" t="s">
        <v>1102</v>
      </c>
      <c r="F171" s="21"/>
      <c r="G171" s="50"/>
      <c r="H171" s="21"/>
      <c r="I171" s="50"/>
      <c r="J171" s="21"/>
      <c r="K171" s="21"/>
      <c r="L171" s="50"/>
      <c r="M171" s="51"/>
      <c r="N171" s="21"/>
      <c r="O171" s="50"/>
      <c r="P171" s="21"/>
      <c r="Q171" s="50"/>
      <c r="R171" s="21"/>
      <c r="S171" s="21"/>
      <c r="T171" s="50"/>
      <c r="U171" s="51">
        <f t="shared" si="19"/>
        <v>0</v>
      </c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>
        <v>33815125</v>
      </c>
      <c r="AZ171" s="51"/>
      <c r="BA171" s="51">
        <f>VLOOKUP(B171,[1]Hoja3!J$3:K$674,2,0)</f>
        <v>63100575</v>
      </c>
      <c r="BB171" s="51"/>
      <c r="BC171" s="52">
        <f t="shared" si="22"/>
        <v>96915700</v>
      </c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>
        <v>6763025</v>
      </c>
      <c r="BO171" s="51"/>
      <c r="BP171" s="52">
        <v>103678725</v>
      </c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>
        <v>6763025</v>
      </c>
      <c r="CD171" s="52"/>
      <c r="CE171" s="52"/>
      <c r="CF171" s="52"/>
      <c r="CG171" s="52">
        <f t="shared" si="23"/>
        <v>110441750</v>
      </c>
      <c r="CH171" s="52"/>
      <c r="CI171" s="52"/>
      <c r="CJ171" s="52"/>
      <c r="CK171" s="52"/>
      <c r="CL171" s="52"/>
      <c r="CM171" s="52"/>
      <c r="CN171" s="52"/>
      <c r="CO171" s="52"/>
      <c r="CP171" s="52"/>
      <c r="CQ171" s="52">
        <v>6763025</v>
      </c>
      <c r="CR171" s="52"/>
      <c r="CS171" s="52">
        <f t="shared" si="20"/>
        <v>117204775</v>
      </c>
      <c r="CT171" s="53">
        <v>54104200</v>
      </c>
      <c r="CU171" s="53">
        <f t="shared" si="21"/>
        <v>63100575</v>
      </c>
      <c r="CV171" s="54">
        <f t="shared" si="24"/>
        <v>117204775</v>
      </c>
      <c r="CW171" s="55">
        <f t="shared" si="25"/>
        <v>0</v>
      </c>
      <c r="CX171" s="16"/>
      <c r="CY171" s="16"/>
      <c r="CZ171" s="16"/>
    </row>
    <row r="172" spans="1:108" ht="15" customHeight="1" x14ac:dyDescent="0.2">
      <c r="A172" s="1">
        <v>8902109337</v>
      </c>
      <c r="B172" s="1">
        <v>890210933</v>
      </c>
      <c r="C172" s="9">
        <v>215268152</v>
      </c>
      <c r="D172" s="10" t="s">
        <v>822</v>
      </c>
      <c r="E172" s="46" t="s">
        <v>1838</v>
      </c>
      <c r="F172" s="21"/>
      <c r="G172" s="50"/>
      <c r="H172" s="21"/>
      <c r="I172" s="50"/>
      <c r="J172" s="21"/>
      <c r="K172" s="21"/>
      <c r="L172" s="50"/>
      <c r="M172" s="51"/>
      <c r="N172" s="21"/>
      <c r="O172" s="50"/>
      <c r="P172" s="21"/>
      <c r="Q172" s="50"/>
      <c r="R172" s="21"/>
      <c r="S172" s="21"/>
      <c r="T172" s="50"/>
      <c r="U172" s="51">
        <f t="shared" si="19"/>
        <v>0</v>
      </c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>
        <v>74371193</v>
      </c>
      <c r="AN172" s="51">
        <f t="shared" ref="AN172:AN177" si="29">SUBTOTAL(9,AC172:AM172)</f>
        <v>74371193</v>
      </c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>
        <v>44325770</v>
      </c>
      <c r="AZ172" s="51"/>
      <c r="BA172" s="51"/>
      <c r="BB172" s="51"/>
      <c r="BC172" s="52">
        <f t="shared" si="22"/>
        <v>118696963</v>
      </c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>
        <v>8865154</v>
      </c>
      <c r="BO172" s="51"/>
      <c r="BP172" s="52">
        <v>127562117</v>
      </c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>
        <v>8865154</v>
      </c>
      <c r="CD172" s="52"/>
      <c r="CE172" s="52"/>
      <c r="CF172" s="52"/>
      <c r="CG172" s="52">
        <f t="shared" si="23"/>
        <v>136427271</v>
      </c>
      <c r="CH172" s="52"/>
      <c r="CI172" s="52"/>
      <c r="CJ172" s="52"/>
      <c r="CK172" s="52"/>
      <c r="CL172" s="52"/>
      <c r="CM172" s="52"/>
      <c r="CN172" s="52"/>
      <c r="CO172" s="52"/>
      <c r="CP172" s="52"/>
      <c r="CQ172" s="52">
        <v>8865154</v>
      </c>
      <c r="CR172" s="52"/>
      <c r="CS172" s="52">
        <f t="shared" si="20"/>
        <v>145292425</v>
      </c>
      <c r="CT172" s="53">
        <v>70921232</v>
      </c>
      <c r="CU172" s="53">
        <f t="shared" si="21"/>
        <v>74371193</v>
      </c>
      <c r="CV172" s="54">
        <f t="shared" si="24"/>
        <v>145292425</v>
      </c>
      <c r="CW172" s="55">
        <f t="shared" si="25"/>
        <v>0</v>
      </c>
      <c r="CX172" s="16"/>
      <c r="CY172" s="16"/>
      <c r="CZ172" s="16"/>
    </row>
    <row r="173" spans="1:108" ht="15" customHeight="1" x14ac:dyDescent="0.2">
      <c r="A173" s="1">
        <v>8909853168</v>
      </c>
      <c r="B173" s="1">
        <v>890985316</v>
      </c>
      <c r="C173" s="9">
        <v>214705147</v>
      </c>
      <c r="D173" s="10" t="s">
        <v>72</v>
      </c>
      <c r="E173" s="46" t="s">
        <v>1103</v>
      </c>
      <c r="F173" s="21"/>
      <c r="G173" s="50"/>
      <c r="H173" s="21"/>
      <c r="I173" s="50"/>
      <c r="J173" s="21"/>
      <c r="K173" s="21"/>
      <c r="L173" s="50"/>
      <c r="M173" s="51"/>
      <c r="N173" s="21"/>
      <c r="O173" s="50"/>
      <c r="P173" s="21"/>
      <c r="Q173" s="50"/>
      <c r="R173" s="21"/>
      <c r="S173" s="21"/>
      <c r="T173" s="50"/>
      <c r="U173" s="51">
        <f t="shared" si="19"/>
        <v>0</v>
      </c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>
        <v>667447437</v>
      </c>
      <c r="AN173" s="51">
        <f t="shared" si="29"/>
        <v>667447437</v>
      </c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>
        <v>431824740</v>
      </c>
      <c r="AZ173" s="51"/>
      <c r="BA173" s="51"/>
      <c r="BB173" s="51"/>
      <c r="BC173" s="52">
        <f t="shared" si="22"/>
        <v>1099272177</v>
      </c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>
        <v>86364948</v>
      </c>
      <c r="BO173" s="51"/>
      <c r="BP173" s="52">
        <v>1185637125</v>
      </c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>
        <v>86364948</v>
      </c>
      <c r="CD173" s="52"/>
      <c r="CE173" s="52"/>
      <c r="CF173" s="52"/>
      <c r="CG173" s="52">
        <f t="shared" si="23"/>
        <v>1272002073</v>
      </c>
      <c r="CH173" s="52"/>
      <c r="CI173" s="52"/>
      <c r="CJ173" s="52"/>
      <c r="CK173" s="52"/>
      <c r="CL173" s="52"/>
      <c r="CM173" s="52"/>
      <c r="CN173" s="52"/>
      <c r="CO173" s="52"/>
      <c r="CP173" s="52"/>
      <c r="CQ173" s="52">
        <v>86364948</v>
      </c>
      <c r="CR173" s="52"/>
      <c r="CS173" s="52">
        <f t="shared" si="20"/>
        <v>1358367021</v>
      </c>
      <c r="CT173" s="53">
        <v>690919584</v>
      </c>
      <c r="CU173" s="53">
        <f t="shared" si="21"/>
        <v>667447437</v>
      </c>
      <c r="CV173" s="54">
        <f t="shared" si="24"/>
        <v>1358367021</v>
      </c>
      <c r="CW173" s="55">
        <f t="shared" si="25"/>
        <v>0</v>
      </c>
      <c r="CX173" s="16"/>
      <c r="CY173" s="16"/>
      <c r="CZ173" s="16"/>
    </row>
    <row r="174" spans="1:108" ht="15" customHeight="1" x14ac:dyDescent="0.2">
      <c r="A174" s="1">
        <v>8001000501</v>
      </c>
      <c r="B174" s="1">
        <v>800100050</v>
      </c>
      <c r="C174" s="9">
        <v>214873148</v>
      </c>
      <c r="D174" s="10" t="s">
        <v>2247</v>
      </c>
      <c r="E174" s="46" t="s">
        <v>1935</v>
      </c>
      <c r="F174" s="21"/>
      <c r="G174" s="50"/>
      <c r="H174" s="21"/>
      <c r="I174" s="50"/>
      <c r="J174" s="21"/>
      <c r="K174" s="21"/>
      <c r="L174" s="50"/>
      <c r="M174" s="51"/>
      <c r="N174" s="21"/>
      <c r="O174" s="50"/>
      <c r="P174" s="21"/>
      <c r="Q174" s="50"/>
      <c r="R174" s="21"/>
      <c r="S174" s="21"/>
      <c r="T174" s="50"/>
      <c r="U174" s="51">
        <f t="shared" si="19"/>
        <v>0</v>
      </c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>
        <v>155836139</v>
      </c>
      <c r="AN174" s="51">
        <f t="shared" si="29"/>
        <v>155836139</v>
      </c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>
        <v>51522170</v>
      </c>
      <c r="AZ174" s="51"/>
      <c r="BA174" s="51"/>
      <c r="BB174" s="51"/>
      <c r="BC174" s="52">
        <f t="shared" si="22"/>
        <v>207358309</v>
      </c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>
        <v>10304434</v>
      </c>
      <c r="BO174" s="51"/>
      <c r="BP174" s="52">
        <v>217662743</v>
      </c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>
        <v>10304434</v>
      </c>
      <c r="CD174" s="52"/>
      <c r="CE174" s="52"/>
      <c r="CF174" s="52"/>
      <c r="CG174" s="52">
        <f t="shared" si="23"/>
        <v>227967177</v>
      </c>
      <c r="CH174" s="52"/>
      <c r="CI174" s="52"/>
      <c r="CJ174" s="52"/>
      <c r="CK174" s="52"/>
      <c r="CL174" s="52"/>
      <c r="CM174" s="52"/>
      <c r="CN174" s="52"/>
      <c r="CO174" s="52"/>
      <c r="CP174" s="52"/>
      <c r="CQ174" s="52">
        <v>10304434</v>
      </c>
      <c r="CR174" s="52"/>
      <c r="CS174" s="52">
        <f t="shared" si="20"/>
        <v>238271611</v>
      </c>
      <c r="CT174" s="53">
        <v>82435472</v>
      </c>
      <c r="CU174" s="53">
        <f t="shared" si="21"/>
        <v>155836139</v>
      </c>
      <c r="CV174" s="54">
        <f t="shared" si="24"/>
        <v>238271611</v>
      </c>
      <c r="CW174" s="55">
        <f t="shared" si="25"/>
        <v>0</v>
      </c>
      <c r="CX174" s="16"/>
      <c r="CY174" s="16"/>
      <c r="CZ174" s="16"/>
    </row>
    <row r="175" spans="1:108" ht="15" customHeight="1" x14ac:dyDescent="0.2">
      <c r="A175" s="1">
        <v>8999993677</v>
      </c>
      <c r="B175" s="1">
        <v>899999367</v>
      </c>
      <c r="C175" s="9">
        <v>215425154</v>
      </c>
      <c r="D175" s="10" t="s">
        <v>473</v>
      </c>
      <c r="E175" s="46" t="s">
        <v>1499</v>
      </c>
      <c r="F175" s="21"/>
      <c r="G175" s="50"/>
      <c r="H175" s="21"/>
      <c r="I175" s="50"/>
      <c r="J175" s="21"/>
      <c r="K175" s="21"/>
      <c r="L175" s="50"/>
      <c r="M175" s="51"/>
      <c r="N175" s="21"/>
      <c r="O175" s="50"/>
      <c r="P175" s="21"/>
      <c r="Q175" s="50"/>
      <c r="R175" s="21"/>
      <c r="S175" s="21"/>
      <c r="T175" s="50"/>
      <c r="U175" s="51">
        <f t="shared" si="19"/>
        <v>0</v>
      </c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>
        <v>103222291</v>
      </c>
      <c r="AN175" s="51">
        <f t="shared" si="29"/>
        <v>103222291</v>
      </c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2">
        <f t="shared" si="22"/>
        <v>103222291</v>
      </c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>
        <v>0</v>
      </c>
      <c r="BO175" s="51"/>
      <c r="BP175" s="52">
        <v>103222291</v>
      </c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>
        <v>0</v>
      </c>
      <c r="CD175" s="52"/>
      <c r="CE175" s="52"/>
      <c r="CF175" s="52"/>
      <c r="CG175" s="52">
        <f t="shared" si="23"/>
        <v>103222291</v>
      </c>
      <c r="CH175" s="52"/>
      <c r="CI175" s="52"/>
      <c r="CJ175" s="52"/>
      <c r="CK175" s="52"/>
      <c r="CL175" s="52"/>
      <c r="CM175" s="52"/>
      <c r="CN175" s="52"/>
      <c r="CO175" s="52"/>
      <c r="CP175" s="52"/>
      <c r="CQ175" s="52">
        <v>0</v>
      </c>
      <c r="CR175" s="52"/>
      <c r="CS175" s="52">
        <f t="shared" si="20"/>
        <v>103222291</v>
      </c>
      <c r="CT175" s="53"/>
      <c r="CU175" s="53">
        <f t="shared" si="21"/>
        <v>103222291</v>
      </c>
      <c r="CV175" s="54">
        <f t="shared" si="24"/>
        <v>103222291</v>
      </c>
      <c r="CW175" s="55">
        <f t="shared" si="25"/>
        <v>0</v>
      </c>
      <c r="CX175" s="16"/>
      <c r="CY175" s="16"/>
      <c r="CZ175" s="16"/>
    </row>
    <row r="176" spans="1:108" ht="15" customHeight="1" x14ac:dyDescent="0.2">
      <c r="A176" s="1">
        <v>8909826169</v>
      </c>
      <c r="B176" s="1">
        <v>890982616</v>
      </c>
      <c r="C176" s="9">
        <v>214805148</v>
      </c>
      <c r="D176" s="10" t="s">
        <v>73</v>
      </c>
      <c r="E176" s="46" t="s">
        <v>1104</v>
      </c>
      <c r="F176" s="21"/>
      <c r="G176" s="50"/>
      <c r="H176" s="21"/>
      <c r="I176" s="50"/>
      <c r="J176" s="21"/>
      <c r="K176" s="21"/>
      <c r="L176" s="50"/>
      <c r="M176" s="51"/>
      <c r="N176" s="21"/>
      <c r="O176" s="50"/>
      <c r="P176" s="21"/>
      <c r="Q176" s="50"/>
      <c r="R176" s="21"/>
      <c r="S176" s="21"/>
      <c r="T176" s="50"/>
      <c r="U176" s="51">
        <f t="shared" si="19"/>
        <v>0</v>
      </c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>
        <v>654419945</v>
      </c>
      <c r="AN176" s="51">
        <f t="shared" si="29"/>
        <v>654419945</v>
      </c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>
        <v>241289830</v>
      </c>
      <c r="AZ176" s="51"/>
      <c r="BA176" s="51">
        <f>VLOOKUP(B176,[1]Hoja3!J$3:K$674,2,0)</f>
        <v>49914936</v>
      </c>
      <c r="BB176" s="51"/>
      <c r="BC176" s="52">
        <f t="shared" si="22"/>
        <v>945624711</v>
      </c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>
        <v>48257966</v>
      </c>
      <c r="BO176" s="51"/>
      <c r="BP176" s="52">
        <v>993882677</v>
      </c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>
        <v>48257966</v>
      </c>
      <c r="CD176" s="52"/>
      <c r="CE176" s="52"/>
      <c r="CF176" s="52"/>
      <c r="CG176" s="52">
        <f t="shared" si="23"/>
        <v>1042140643</v>
      </c>
      <c r="CH176" s="52"/>
      <c r="CI176" s="52"/>
      <c r="CJ176" s="52"/>
      <c r="CK176" s="52"/>
      <c r="CL176" s="52"/>
      <c r="CM176" s="52"/>
      <c r="CN176" s="52"/>
      <c r="CO176" s="52"/>
      <c r="CP176" s="52"/>
      <c r="CQ176" s="52">
        <v>48257966</v>
      </c>
      <c r="CR176" s="52"/>
      <c r="CS176" s="52">
        <f t="shared" si="20"/>
        <v>1090398609</v>
      </c>
      <c r="CT176" s="53">
        <v>386063728</v>
      </c>
      <c r="CU176" s="53">
        <f t="shared" si="21"/>
        <v>704334881</v>
      </c>
      <c r="CV176" s="54">
        <f t="shared" si="24"/>
        <v>1090398609</v>
      </c>
      <c r="CW176" s="55">
        <f t="shared" si="25"/>
        <v>0</v>
      </c>
      <c r="CX176" s="16"/>
      <c r="CY176" s="16"/>
      <c r="CZ176" s="16"/>
    </row>
    <row r="177" spans="1:108" ht="15" customHeight="1" x14ac:dyDescent="0.2">
      <c r="A177" s="1">
        <v>8180013419</v>
      </c>
      <c r="B177" s="1">
        <v>818001341</v>
      </c>
      <c r="C177" s="9">
        <v>215027150</v>
      </c>
      <c r="D177" s="10" t="s">
        <v>575</v>
      </c>
      <c r="E177" s="46" t="s">
        <v>1595</v>
      </c>
      <c r="F177" s="21"/>
      <c r="G177" s="50"/>
      <c r="H177" s="21"/>
      <c r="I177" s="50"/>
      <c r="J177" s="21"/>
      <c r="K177" s="21"/>
      <c r="L177" s="50"/>
      <c r="M177" s="51"/>
      <c r="N177" s="21"/>
      <c r="O177" s="50"/>
      <c r="P177" s="21"/>
      <c r="Q177" s="50"/>
      <c r="R177" s="21"/>
      <c r="S177" s="21"/>
      <c r="T177" s="50"/>
      <c r="U177" s="51">
        <f t="shared" si="19"/>
        <v>0</v>
      </c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>
        <v>191705515</v>
      </c>
      <c r="AN177" s="51">
        <f t="shared" si="29"/>
        <v>191705515</v>
      </c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>
        <v>204017960</v>
      </c>
      <c r="AZ177" s="51"/>
      <c r="BA177" s="51"/>
      <c r="BB177" s="51"/>
      <c r="BC177" s="52">
        <f t="shared" si="22"/>
        <v>395723475</v>
      </c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>
        <v>40803592</v>
      </c>
      <c r="BO177" s="51"/>
      <c r="BP177" s="52">
        <v>436527067</v>
      </c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>
        <v>40803592</v>
      </c>
      <c r="CD177" s="52"/>
      <c r="CE177" s="52"/>
      <c r="CF177" s="52"/>
      <c r="CG177" s="52">
        <f t="shared" si="23"/>
        <v>477330659</v>
      </c>
      <c r="CH177" s="52"/>
      <c r="CI177" s="52"/>
      <c r="CJ177" s="52"/>
      <c r="CK177" s="52"/>
      <c r="CL177" s="52"/>
      <c r="CM177" s="52"/>
      <c r="CN177" s="52"/>
      <c r="CO177" s="52"/>
      <c r="CP177" s="52"/>
      <c r="CQ177" s="52">
        <v>40803592</v>
      </c>
      <c r="CR177" s="52"/>
      <c r="CS177" s="52">
        <f t="shared" si="20"/>
        <v>518134251</v>
      </c>
      <c r="CT177" s="53">
        <v>326428736</v>
      </c>
      <c r="CU177" s="53">
        <f t="shared" si="21"/>
        <v>191705515</v>
      </c>
      <c r="CV177" s="54">
        <f t="shared" si="24"/>
        <v>518134251</v>
      </c>
      <c r="CW177" s="55">
        <f t="shared" si="25"/>
        <v>0</v>
      </c>
      <c r="CX177" s="16"/>
      <c r="CY177" s="16"/>
      <c r="CZ177" s="16"/>
    </row>
    <row r="178" spans="1:108" ht="15" customHeight="1" x14ac:dyDescent="0.2">
      <c r="A178" s="1">
        <v>8909840681</v>
      </c>
      <c r="B178" s="1">
        <v>890984068</v>
      </c>
      <c r="C178" s="9">
        <v>215005150</v>
      </c>
      <c r="D178" s="10" t="s">
        <v>74</v>
      </c>
      <c r="E178" s="46" t="s">
        <v>1105</v>
      </c>
      <c r="F178" s="21"/>
      <c r="G178" s="50"/>
      <c r="H178" s="21"/>
      <c r="I178" s="50"/>
      <c r="J178" s="21"/>
      <c r="K178" s="21"/>
      <c r="L178" s="50"/>
      <c r="M178" s="51"/>
      <c r="N178" s="21"/>
      <c r="O178" s="50"/>
      <c r="P178" s="21"/>
      <c r="Q178" s="50"/>
      <c r="R178" s="21"/>
      <c r="S178" s="21"/>
      <c r="T178" s="50"/>
      <c r="U178" s="51">
        <f t="shared" si="19"/>
        <v>0</v>
      </c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>
        <v>31847275</v>
      </c>
      <c r="AZ178" s="51"/>
      <c r="BA178" s="51">
        <f>VLOOKUP(B178,[1]Hoja3!J$3:K$674,2,0)</f>
        <v>52266030</v>
      </c>
      <c r="BB178" s="51"/>
      <c r="BC178" s="52">
        <f t="shared" si="22"/>
        <v>84113305</v>
      </c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>
        <v>6369455</v>
      </c>
      <c r="BO178" s="51"/>
      <c r="BP178" s="52">
        <v>90482760</v>
      </c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>
        <v>6369455</v>
      </c>
      <c r="CD178" s="52"/>
      <c r="CE178" s="52"/>
      <c r="CF178" s="52"/>
      <c r="CG178" s="52">
        <f t="shared" si="23"/>
        <v>96852215</v>
      </c>
      <c r="CH178" s="52"/>
      <c r="CI178" s="52"/>
      <c r="CJ178" s="52"/>
      <c r="CK178" s="52"/>
      <c r="CL178" s="52"/>
      <c r="CM178" s="52"/>
      <c r="CN178" s="52"/>
      <c r="CO178" s="52"/>
      <c r="CP178" s="52"/>
      <c r="CQ178" s="52">
        <v>6369455</v>
      </c>
      <c r="CR178" s="52"/>
      <c r="CS178" s="52">
        <f t="shared" si="20"/>
        <v>103221670</v>
      </c>
      <c r="CT178" s="53">
        <v>50955640</v>
      </c>
      <c r="CU178" s="53">
        <f t="shared" si="21"/>
        <v>52266030</v>
      </c>
      <c r="CV178" s="54">
        <f t="shared" si="24"/>
        <v>103221670</v>
      </c>
      <c r="CW178" s="55">
        <f t="shared" si="25"/>
        <v>0</v>
      </c>
      <c r="CX178" s="16"/>
      <c r="CY178" s="16"/>
      <c r="CZ178" s="16"/>
    </row>
    <row r="179" spans="1:108" ht="15" customHeight="1" x14ac:dyDescent="0.2">
      <c r="A179" s="1">
        <v>8000957544</v>
      </c>
      <c r="B179" s="1">
        <v>800095754</v>
      </c>
      <c r="C179" s="9">
        <v>215018150</v>
      </c>
      <c r="D179" s="10" t="s">
        <v>363</v>
      </c>
      <c r="E179" s="46" t="s">
        <v>1393</v>
      </c>
      <c r="F179" s="21"/>
      <c r="G179" s="50"/>
      <c r="H179" s="21"/>
      <c r="I179" s="50"/>
      <c r="J179" s="21"/>
      <c r="K179" s="21"/>
      <c r="L179" s="50"/>
      <c r="M179" s="51"/>
      <c r="N179" s="21"/>
      <c r="O179" s="50"/>
      <c r="P179" s="21"/>
      <c r="Q179" s="50"/>
      <c r="R179" s="21"/>
      <c r="S179" s="21"/>
      <c r="T179" s="50"/>
      <c r="U179" s="51">
        <f t="shared" si="19"/>
        <v>0</v>
      </c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>
        <v>423093706</v>
      </c>
      <c r="AN179" s="51">
        <f>SUBTOTAL(9,AC179:AM179)</f>
        <v>423093706</v>
      </c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>
        <v>341691635</v>
      </c>
      <c r="AZ179" s="51"/>
      <c r="BA179" s="51">
        <f>VLOOKUP(B179,[1]Hoja3!J$3:K$674,2,0)</f>
        <v>201464621</v>
      </c>
      <c r="BB179" s="51"/>
      <c r="BC179" s="52">
        <f t="shared" si="22"/>
        <v>966249962</v>
      </c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>
        <v>68338327</v>
      </c>
      <c r="BO179" s="51"/>
      <c r="BP179" s="52">
        <v>1034588289</v>
      </c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>
        <v>68338327</v>
      </c>
      <c r="CD179" s="52"/>
      <c r="CE179" s="52"/>
      <c r="CF179" s="52"/>
      <c r="CG179" s="52">
        <f t="shared" si="23"/>
        <v>1102926616</v>
      </c>
      <c r="CH179" s="52"/>
      <c r="CI179" s="52"/>
      <c r="CJ179" s="52"/>
      <c r="CK179" s="52"/>
      <c r="CL179" s="52"/>
      <c r="CM179" s="52"/>
      <c r="CN179" s="52"/>
      <c r="CO179" s="52"/>
      <c r="CP179" s="52"/>
      <c r="CQ179" s="52">
        <v>68338327</v>
      </c>
      <c r="CR179" s="52"/>
      <c r="CS179" s="52">
        <f t="shared" si="20"/>
        <v>1171264943</v>
      </c>
      <c r="CT179" s="53">
        <v>546706616</v>
      </c>
      <c r="CU179" s="53">
        <f t="shared" si="21"/>
        <v>624558327</v>
      </c>
      <c r="CV179" s="54">
        <f t="shared" si="24"/>
        <v>1171264943</v>
      </c>
      <c r="CW179" s="55">
        <f t="shared" si="25"/>
        <v>0</v>
      </c>
      <c r="CX179" s="16"/>
      <c r="CY179" s="16"/>
      <c r="CZ179" s="16"/>
    </row>
    <row r="180" spans="1:108" ht="15" customHeight="1" x14ac:dyDescent="0.2">
      <c r="A180" s="1">
        <v>8919004932</v>
      </c>
      <c r="B180" s="1">
        <v>891900493</v>
      </c>
      <c r="C180" s="9">
        <v>214776147</v>
      </c>
      <c r="D180" s="10" t="s">
        <v>2149</v>
      </c>
      <c r="E180" s="47" t="s">
        <v>1065</v>
      </c>
      <c r="F180" s="21"/>
      <c r="G180" s="50"/>
      <c r="H180" s="21"/>
      <c r="I180" s="50">
        <f>2824622000+103426709</f>
        <v>2928048709</v>
      </c>
      <c r="J180" s="21">
        <v>183364802</v>
      </c>
      <c r="K180" s="21">
        <v>363713178</v>
      </c>
      <c r="L180" s="50"/>
      <c r="M180" s="52">
        <f>SUM(F180:L180)</f>
        <v>3475126689</v>
      </c>
      <c r="N180" s="21"/>
      <c r="O180" s="50"/>
      <c r="P180" s="21"/>
      <c r="Q180" s="50">
        <f>2694835856+47012140</f>
        <v>2741847996</v>
      </c>
      <c r="R180" s="21">
        <v>183364802</v>
      </c>
      <c r="S180" s="21">
        <f>180348376+183364802</f>
        <v>363713178</v>
      </c>
      <c r="T180" s="50"/>
      <c r="U180" s="51">
        <f t="shared" si="19"/>
        <v>6764052665</v>
      </c>
      <c r="V180" s="51"/>
      <c r="W180" s="51"/>
      <c r="X180" s="51"/>
      <c r="Y180" s="51">
        <v>3366740741</v>
      </c>
      <c r="Z180" s="51">
        <v>182454413</v>
      </c>
      <c r="AA180" s="51">
        <v>427775363</v>
      </c>
      <c r="AB180" s="51"/>
      <c r="AC180" s="51">
        <f t="shared" si="28"/>
        <v>10741023182</v>
      </c>
      <c r="AD180" s="51"/>
      <c r="AE180" s="51"/>
      <c r="AF180" s="51"/>
      <c r="AG180" s="51"/>
      <c r="AH180" s="51">
        <v>2753936592</v>
      </c>
      <c r="AI180" s="51">
        <v>473260650</v>
      </c>
      <c r="AJ180" s="51">
        <v>189408933</v>
      </c>
      <c r="AK180" s="51">
        <v>477371880</v>
      </c>
      <c r="AL180" s="51"/>
      <c r="AM180" s="51">
        <v>1233573225</v>
      </c>
      <c r="AN180" s="51">
        <f>SUBTOTAL(9,AC180:AM180)</f>
        <v>15868574462</v>
      </c>
      <c r="AO180" s="51"/>
      <c r="AP180" s="51"/>
      <c r="AQ180" s="51">
        <v>489338300</v>
      </c>
      <c r="AR180" s="51"/>
      <c r="AS180" s="51"/>
      <c r="AT180" s="51">
        <v>2753936592</v>
      </c>
      <c r="AU180" s="51"/>
      <c r="AV180" s="51">
        <v>189408933</v>
      </c>
      <c r="AW180" s="51">
        <v>323337738</v>
      </c>
      <c r="AX180" s="51"/>
      <c r="AY180" s="51"/>
      <c r="AZ180" s="51"/>
      <c r="BA180" s="51"/>
      <c r="BB180" s="51"/>
      <c r="BC180" s="52">
        <f t="shared" si="22"/>
        <v>19624596025</v>
      </c>
      <c r="BD180" s="51"/>
      <c r="BE180" s="51"/>
      <c r="BF180" s="51">
        <v>97867660</v>
      </c>
      <c r="BG180" s="51"/>
      <c r="BH180" s="51"/>
      <c r="BI180" s="51">
        <v>2751861883</v>
      </c>
      <c r="BJ180" s="51">
        <v>160798750</v>
      </c>
      <c r="BK180" s="51">
        <v>167618319</v>
      </c>
      <c r="BL180" s="51">
        <v>355888195</v>
      </c>
      <c r="BM180" s="51"/>
      <c r="BN180" s="51"/>
      <c r="BO180" s="51"/>
      <c r="BP180" s="52">
        <v>23158630832</v>
      </c>
      <c r="BQ180" s="52"/>
      <c r="BR180" s="52"/>
      <c r="BS180" s="52">
        <v>97867660</v>
      </c>
      <c r="BT180" s="52"/>
      <c r="BU180" s="52"/>
      <c r="BV180" s="52"/>
      <c r="BW180" s="52">
        <v>2801474208</v>
      </c>
      <c r="BX180" s="52"/>
      <c r="BY180" s="52">
        <v>1204052983</v>
      </c>
      <c r="BZ180" s="52">
        <v>184824300</v>
      </c>
      <c r="CA180" s="52">
        <v>486218471</v>
      </c>
      <c r="CB180" s="52"/>
      <c r="CC180" s="52"/>
      <c r="CD180" s="52"/>
      <c r="CE180" s="52">
        <v>45428107</v>
      </c>
      <c r="CF180" s="52"/>
      <c r="CG180" s="52">
        <f t="shared" si="23"/>
        <v>27978496561</v>
      </c>
      <c r="CH180" s="52"/>
      <c r="CI180" s="52"/>
      <c r="CJ180" s="52">
        <v>97867660</v>
      </c>
      <c r="CK180" s="52"/>
      <c r="CL180" s="52">
        <v>2786294576</v>
      </c>
      <c r="CM180" s="52">
        <v>27664595</v>
      </c>
      <c r="CN180" s="52">
        <v>184412985</v>
      </c>
      <c r="CO180" s="52">
        <v>333555114</v>
      </c>
      <c r="CP180" s="52"/>
      <c r="CQ180" s="52"/>
      <c r="CR180" s="52"/>
      <c r="CS180" s="52">
        <f t="shared" si="20"/>
        <v>31408291491</v>
      </c>
      <c r="CT180" s="53">
        <v>30129290159</v>
      </c>
      <c r="CU180" s="53">
        <f t="shared" si="21"/>
        <v>1279001332</v>
      </c>
      <c r="CV180" s="54">
        <f t="shared" si="24"/>
        <v>31408291491</v>
      </c>
      <c r="CW180" s="55">
        <f t="shared" si="25"/>
        <v>0</v>
      </c>
      <c r="CX180" s="16"/>
      <c r="CY180" s="16"/>
      <c r="CZ180" s="16"/>
    </row>
    <row r="181" spans="1:108" ht="15" customHeight="1" x14ac:dyDescent="0.2">
      <c r="A181" s="1">
        <v>8320006054</v>
      </c>
      <c r="B181" s="1">
        <v>832000605</v>
      </c>
      <c r="C181" s="9">
        <v>216197161</v>
      </c>
      <c r="D181" s="10" t="s">
        <v>995</v>
      </c>
      <c r="E181" s="27" t="s">
        <v>2052</v>
      </c>
      <c r="F181" s="21"/>
      <c r="G181" s="50"/>
      <c r="H181" s="21"/>
      <c r="I181" s="50"/>
      <c r="J181" s="21"/>
      <c r="K181" s="21"/>
      <c r="L181" s="50"/>
      <c r="M181" s="51"/>
      <c r="N181" s="21"/>
      <c r="O181" s="50"/>
      <c r="P181" s="21"/>
      <c r="Q181" s="50"/>
      <c r="R181" s="21"/>
      <c r="S181" s="21"/>
      <c r="T181" s="50"/>
      <c r="U181" s="51">
        <f t="shared" si="19"/>
        <v>0</v>
      </c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2">
        <f t="shared" si="22"/>
        <v>0</v>
      </c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>
        <v>0</v>
      </c>
      <c r="BO181" s="51"/>
      <c r="BP181" s="51">
        <v>0</v>
      </c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>
        <v>0</v>
      </c>
      <c r="CD181" s="52"/>
      <c r="CE181" s="52"/>
      <c r="CF181" s="52"/>
      <c r="CG181" s="52">
        <f t="shared" si="23"/>
        <v>0</v>
      </c>
      <c r="CH181" s="52"/>
      <c r="CI181" s="52"/>
      <c r="CJ181" s="52"/>
      <c r="CK181" s="52"/>
      <c r="CL181" s="52"/>
      <c r="CM181" s="52"/>
      <c r="CN181" s="52"/>
      <c r="CO181" s="52"/>
      <c r="CP181" s="52"/>
      <c r="CQ181" s="52">
        <v>0</v>
      </c>
      <c r="CR181" s="52"/>
      <c r="CS181" s="52">
        <f t="shared" si="20"/>
        <v>0</v>
      </c>
      <c r="CT181" s="53"/>
      <c r="CU181" s="53">
        <f t="shared" si="21"/>
        <v>0</v>
      </c>
      <c r="CV181" s="54">
        <f t="shared" si="24"/>
        <v>0</v>
      </c>
      <c r="CW181" s="55">
        <f t="shared" si="25"/>
        <v>0</v>
      </c>
      <c r="CX181" s="16"/>
      <c r="CY181" s="16"/>
      <c r="CZ181" s="8"/>
      <c r="DA181" s="8"/>
      <c r="DB181" s="8"/>
      <c r="DC181" s="8"/>
      <c r="DD181" s="8"/>
    </row>
    <row r="182" spans="1:108" ht="15" customHeight="1" x14ac:dyDescent="0.2">
      <c r="A182" s="1">
        <v>8907020217</v>
      </c>
      <c r="B182" s="1">
        <v>890702021</v>
      </c>
      <c r="C182" s="9">
        <v>215273152</v>
      </c>
      <c r="D182" s="10" t="s">
        <v>2209</v>
      </c>
      <c r="E182" s="46" t="s">
        <v>1936</v>
      </c>
      <c r="F182" s="21"/>
      <c r="G182" s="50"/>
      <c r="H182" s="21"/>
      <c r="I182" s="50"/>
      <c r="J182" s="21"/>
      <c r="K182" s="21"/>
      <c r="L182" s="50"/>
      <c r="M182" s="51"/>
      <c r="N182" s="21"/>
      <c r="O182" s="50"/>
      <c r="P182" s="21"/>
      <c r="Q182" s="50"/>
      <c r="R182" s="21"/>
      <c r="S182" s="21"/>
      <c r="T182" s="50"/>
      <c r="U182" s="51">
        <f t="shared" si="19"/>
        <v>0</v>
      </c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>
        <v>43858880</v>
      </c>
      <c r="AZ182" s="51"/>
      <c r="BA182" s="51">
        <f>VLOOKUP(B182,[1]Hoja3!J$3:K$674,2,0)</f>
        <v>106709090</v>
      </c>
      <c r="BB182" s="51"/>
      <c r="BC182" s="52">
        <f t="shared" si="22"/>
        <v>150567970</v>
      </c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>
        <v>8771776</v>
      </c>
      <c r="BO182" s="51"/>
      <c r="BP182" s="52">
        <v>159339746</v>
      </c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>
        <v>8771776</v>
      </c>
      <c r="CD182" s="52"/>
      <c r="CE182" s="52"/>
      <c r="CF182" s="52"/>
      <c r="CG182" s="52">
        <f t="shared" si="23"/>
        <v>168111522</v>
      </c>
      <c r="CH182" s="52"/>
      <c r="CI182" s="52"/>
      <c r="CJ182" s="52"/>
      <c r="CK182" s="52"/>
      <c r="CL182" s="52"/>
      <c r="CM182" s="52"/>
      <c r="CN182" s="52"/>
      <c r="CO182" s="52"/>
      <c r="CP182" s="52"/>
      <c r="CQ182" s="52">
        <v>8771776</v>
      </c>
      <c r="CR182" s="52"/>
      <c r="CS182" s="52">
        <f t="shared" si="20"/>
        <v>176883298</v>
      </c>
      <c r="CT182" s="53">
        <v>70174208</v>
      </c>
      <c r="CU182" s="53">
        <f t="shared" si="21"/>
        <v>106709090</v>
      </c>
      <c r="CV182" s="54">
        <f t="shared" si="24"/>
        <v>176883298</v>
      </c>
      <c r="CW182" s="55">
        <f t="shared" si="25"/>
        <v>0</v>
      </c>
      <c r="CX182" s="16"/>
      <c r="CY182" s="16"/>
      <c r="CZ182" s="16"/>
    </row>
    <row r="183" spans="1:108" ht="15" customHeight="1" x14ac:dyDescent="0.2">
      <c r="A183" s="1">
        <v>8000981904</v>
      </c>
      <c r="B183" s="1">
        <v>800098190</v>
      </c>
      <c r="C183" s="9">
        <v>215050150</v>
      </c>
      <c r="D183" s="10" t="s">
        <v>2130</v>
      </c>
      <c r="E183" s="46" t="s">
        <v>1689</v>
      </c>
      <c r="F183" s="21"/>
      <c r="G183" s="50"/>
      <c r="H183" s="21"/>
      <c r="I183" s="50"/>
      <c r="J183" s="21"/>
      <c r="K183" s="21"/>
      <c r="L183" s="50"/>
      <c r="M183" s="51"/>
      <c r="N183" s="21"/>
      <c r="O183" s="50"/>
      <c r="P183" s="21"/>
      <c r="Q183" s="50"/>
      <c r="R183" s="21"/>
      <c r="S183" s="21"/>
      <c r="T183" s="50"/>
      <c r="U183" s="51">
        <f t="shared" si="19"/>
        <v>0</v>
      </c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>
        <v>171303804</v>
      </c>
      <c r="AN183" s="51">
        <f>SUBTOTAL(9,AC183:AM183)</f>
        <v>171303804</v>
      </c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>
        <v>75583530</v>
      </c>
      <c r="AZ183" s="51"/>
      <c r="BA183" s="51"/>
      <c r="BB183" s="51"/>
      <c r="BC183" s="52">
        <f t="shared" si="22"/>
        <v>246887334</v>
      </c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>
        <v>15116706</v>
      </c>
      <c r="BO183" s="51"/>
      <c r="BP183" s="52">
        <v>262004040</v>
      </c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>
        <v>15116706</v>
      </c>
      <c r="CD183" s="52"/>
      <c r="CE183" s="52">
        <v>65356133</v>
      </c>
      <c r="CF183" s="52"/>
      <c r="CG183" s="52">
        <f t="shared" si="23"/>
        <v>342476879</v>
      </c>
      <c r="CH183" s="52"/>
      <c r="CI183" s="52"/>
      <c r="CJ183" s="52"/>
      <c r="CK183" s="52"/>
      <c r="CL183" s="52"/>
      <c r="CM183" s="52"/>
      <c r="CN183" s="52"/>
      <c r="CO183" s="52"/>
      <c r="CP183" s="52"/>
      <c r="CQ183" s="52">
        <v>15116706</v>
      </c>
      <c r="CR183" s="52"/>
      <c r="CS183" s="52">
        <f t="shared" si="20"/>
        <v>357593585</v>
      </c>
      <c r="CT183" s="53">
        <v>120933648</v>
      </c>
      <c r="CU183" s="53">
        <f t="shared" si="21"/>
        <v>236659937</v>
      </c>
      <c r="CV183" s="54">
        <f t="shared" si="24"/>
        <v>357593585</v>
      </c>
      <c r="CW183" s="55">
        <f t="shared" si="25"/>
        <v>0</v>
      </c>
      <c r="CX183" s="16"/>
      <c r="CY183" s="16"/>
      <c r="CZ183" s="16"/>
    </row>
    <row r="184" spans="1:108" ht="15" customHeight="1" x14ac:dyDescent="0.2">
      <c r="A184" s="1">
        <v>8909064452</v>
      </c>
      <c r="B184" s="1">
        <v>890906445</v>
      </c>
      <c r="C184" s="9">
        <v>215405154</v>
      </c>
      <c r="D184" s="10" t="s">
        <v>75</v>
      </c>
      <c r="E184" s="46" t="s">
        <v>1106</v>
      </c>
      <c r="F184" s="21"/>
      <c r="G184" s="50"/>
      <c r="H184" s="21"/>
      <c r="I184" s="50"/>
      <c r="J184" s="21"/>
      <c r="K184" s="21"/>
      <c r="L184" s="50"/>
      <c r="M184" s="51"/>
      <c r="N184" s="21"/>
      <c r="O184" s="50"/>
      <c r="P184" s="21"/>
      <c r="Q184" s="50"/>
      <c r="R184" s="21"/>
      <c r="S184" s="21"/>
      <c r="T184" s="50"/>
      <c r="U184" s="51">
        <f t="shared" si="19"/>
        <v>0</v>
      </c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>
        <v>1371710927</v>
      </c>
      <c r="AN184" s="51">
        <f>SUBTOTAL(9,AC184:AM184)</f>
        <v>1371710927</v>
      </c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>
        <v>860071855</v>
      </c>
      <c r="AZ184" s="51"/>
      <c r="BA184" s="51"/>
      <c r="BB184" s="51">
        <f>VLOOKUP(B184,'[2]anuladas en mayo gratuidad}'!K$2:L$55,2,0)</f>
        <v>622448293</v>
      </c>
      <c r="BC184" s="52">
        <f t="shared" si="22"/>
        <v>1609334489</v>
      </c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>
        <v>172014371</v>
      </c>
      <c r="BO184" s="51"/>
      <c r="BP184" s="52">
        <v>1781348860</v>
      </c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>
        <v>172014371</v>
      </c>
      <c r="CD184" s="52"/>
      <c r="CE184" s="52"/>
      <c r="CF184" s="52"/>
      <c r="CG184" s="52">
        <f t="shared" si="23"/>
        <v>1953363231</v>
      </c>
      <c r="CH184" s="52"/>
      <c r="CI184" s="52"/>
      <c r="CJ184" s="52"/>
      <c r="CK184" s="52"/>
      <c r="CL184" s="52"/>
      <c r="CM184" s="52"/>
      <c r="CN184" s="52"/>
      <c r="CO184" s="52"/>
      <c r="CP184" s="52"/>
      <c r="CQ184" s="52">
        <v>172014371</v>
      </c>
      <c r="CR184" s="52"/>
      <c r="CS184" s="52">
        <f t="shared" si="20"/>
        <v>2125377602</v>
      </c>
      <c r="CT184" s="53">
        <v>1376114968</v>
      </c>
      <c r="CU184" s="53">
        <f t="shared" si="21"/>
        <v>749262634</v>
      </c>
      <c r="CV184" s="54">
        <f t="shared" si="24"/>
        <v>2125377602</v>
      </c>
      <c r="CW184" s="55">
        <f t="shared" si="25"/>
        <v>0</v>
      </c>
      <c r="CX184" s="16"/>
      <c r="CY184" s="16"/>
      <c r="CZ184" s="16"/>
    </row>
    <row r="185" spans="1:108" ht="15" customHeight="1" x14ac:dyDescent="0.2">
      <c r="A185" s="1">
        <v>8902046993</v>
      </c>
      <c r="B185" s="1">
        <v>890204699</v>
      </c>
      <c r="C185" s="9">
        <v>216068160</v>
      </c>
      <c r="D185" s="10" t="s">
        <v>823</v>
      </c>
      <c r="E185" s="46" t="s">
        <v>1839</v>
      </c>
      <c r="F185" s="21"/>
      <c r="G185" s="50"/>
      <c r="H185" s="21"/>
      <c r="I185" s="50"/>
      <c r="J185" s="21"/>
      <c r="K185" s="21"/>
      <c r="L185" s="50"/>
      <c r="M185" s="51"/>
      <c r="N185" s="21"/>
      <c r="O185" s="50"/>
      <c r="P185" s="21"/>
      <c r="Q185" s="50"/>
      <c r="R185" s="21"/>
      <c r="S185" s="21"/>
      <c r="T185" s="50"/>
      <c r="U185" s="51">
        <f t="shared" si="19"/>
        <v>0</v>
      </c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>
        <v>13609135</v>
      </c>
      <c r="AZ185" s="51"/>
      <c r="BA185" s="51">
        <f>VLOOKUP(B185,[1]Hoja3!J$3:K$674,2,0)</f>
        <v>27908081</v>
      </c>
      <c r="BB185" s="51"/>
      <c r="BC185" s="52">
        <f t="shared" si="22"/>
        <v>41517216</v>
      </c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>
        <v>2721827</v>
      </c>
      <c r="BO185" s="51"/>
      <c r="BP185" s="52">
        <v>44239043</v>
      </c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>
        <v>2721827</v>
      </c>
      <c r="CD185" s="52"/>
      <c r="CE185" s="52"/>
      <c r="CF185" s="52"/>
      <c r="CG185" s="52">
        <f t="shared" si="23"/>
        <v>46960870</v>
      </c>
      <c r="CH185" s="52"/>
      <c r="CI185" s="52"/>
      <c r="CJ185" s="52"/>
      <c r="CK185" s="52"/>
      <c r="CL185" s="52"/>
      <c r="CM185" s="52"/>
      <c r="CN185" s="52"/>
      <c r="CO185" s="52"/>
      <c r="CP185" s="52"/>
      <c r="CQ185" s="52">
        <v>2721827</v>
      </c>
      <c r="CR185" s="52"/>
      <c r="CS185" s="52">
        <f t="shared" si="20"/>
        <v>49682697</v>
      </c>
      <c r="CT185" s="53">
        <v>21774616</v>
      </c>
      <c r="CU185" s="53">
        <f t="shared" si="21"/>
        <v>27908081</v>
      </c>
      <c r="CV185" s="54">
        <f t="shared" si="24"/>
        <v>49682697</v>
      </c>
      <c r="CW185" s="55">
        <f t="shared" si="25"/>
        <v>0</v>
      </c>
      <c r="CX185" s="16"/>
      <c r="CY185" s="16"/>
      <c r="CZ185" s="16"/>
    </row>
    <row r="186" spans="1:108" ht="15" customHeight="1" x14ac:dyDescent="0.2">
      <c r="A186" s="1">
        <v>8000967445</v>
      </c>
      <c r="B186" s="1">
        <v>800096744</v>
      </c>
      <c r="C186" s="9">
        <v>216223162</v>
      </c>
      <c r="D186" s="10" t="s">
        <v>440</v>
      </c>
      <c r="E186" s="46" t="s">
        <v>1467</v>
      </c>
      <c r="F186" s="21"/>
      <c r="G186" s="50"/>
      <c r="H186" s="21"/>
      <c r="I186" s="50"/>
      <c r="J186" s="21"/>
      <c r="K186" s="21"/>
      <c r="L186" s="50"/>
      <c r="M186" s="51"/>
      <c r="N186" s="21"/>
      <c r="O186" s="50"/>
      <c r="P186" s="21"/>
      <c r="Q186" s="50"/>
      <c r="R186" s="21"/>
      <c r="S186" s="21"/>
      <c r="T186" s="50"/>
      <c r="U186" s="51">
        <f t="shared" si="19"/>
        <v>0</v>
      </c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>
        <v>1078753198</v>
      </c>
      <c r="AN186" s="51">
        <f>SUBTOTAL(9,AC186:AM186)</f>
        <v>1078753198</v>
      </c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>
        <v>721747760</v>
      </c>
      <c r="AZ186" s="51"/>
      <c r="BA186" s="51">
        <f>VLOOKUP(B186,[1]Hoja3!J$3:K$674,2,0)</f>
        <v>129661901</v>
      </c>
      <c r="BB186" s="51"/>
      <c r="BC186" s="52">
        <f t="shared" si="22"/>
        <v>1930162859</v>
      </c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>
        <v>144349552</v>
      </c>
      <c r="BO186" s="51"/>
      <c r="BP186" s="52">
        <v>2074512411</v>
      </c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>
        <v>144349552</v>
      </c>
      <c r="CD186" s="52"/>
      <c r="CE186" s="52"/>
      <c r="CF186" s="52"/>
      <c r="CG186" s="52">
        <f t="shared" si="23"/>
        <v>2218861963</v>
      </c>
      <c r="CH186" s="52"/>
      <c r="CI186" s="52"/>
      <c r="CJ186" s="52"/>
      <c r="CK186" s="52"/>
      <c r="CL186" s="52"/>
      <c r="CM186" s="52"/>
      <c r="CN186" s="52"/>
      <c r="CO186" s="52"/>
      <c r="CP186" s="52"/>
      <c r="CQ186" s="52">
        <v>144349552</v>
      </c>
      <c r="CR186" s="52"/>
      <c r="CS186" s="52">
        <f t="shared" si="20"/>
        <v>2363211515</v>
      </c>
      <c r="CT186" s="53">
        <v>1154796416</v>
      </c>
      <c r="CU186" s="53">
        <f t="shared" si="21"/>
        <v>1208415099</v>
      </c>
      <c r="CV186" s="54">
        <f t="shared" si="24"/>
        <v>2363211515</v>
      </c>
      <c r="CW186" s="55">
        <f t="shared" si="25"/>
        <v>0</v>
      </c>
      <c r="CX186" s="16"/>
      <c r="CY186" s="16"/>
      <c r="CZ186" s="16"/>
    </row>
    <row r="187" spans="1:108" ht="15" customHeight="1" x14ac:dyDescent="0.2">
      <c r="A187" s="1">
        <v>8918578053</v>
      </c>
      <c r="B187" s="1">
        <v>891857805</v>
      </c>
      <c r="C187" s="9">
        <v>216215162</v>
      </c>
      <c r="D187" s="10" t="s">
        <v>230</v>
      </c>
      <c r="E187" s="46" t="s">
        <v>1266</v>
      </c>
      <c r="F187" s="21"/>
      <c r="G187" s="50"/>
      <c r="H187" s="21"/>
      <c r="I187" s="50"/>
      <c r="J187" s="21"/>
      <c r="K187" s="21"/>
      <c r="L187" s="50"/>
      <c r="M187" s="51"/>
      <c r="N187" s="21"/>
      <c r="O187" s="50"/>
      <c r="P187" s="21"/>
      <c r="Q187" s="50"/>
      <c r="R187" s="21"/>
      <c r="S187" s="21"/>
      <c r="T187" s="50"/>
      <c r="U187" s="51">
        <f t="shared" si="19"/>
        <v>0</v>
      </c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>
        <v>26679215</v>
      </c>
      <c r="AZ187" s="51"/>
      <c r="BA187" s="51">
        <f>VLOOKUP(B187,[1]Hoja3!J$3:K$674,2,0)</f>
        <v>47203553</v>
      </c>
      <c r="BB187" s="51"/>
      <c r="BC187" s="52">
        <f t="shared" si="22"/>
        <v>73882768</v>
      </c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>
        <v>5335843</v>
      </c>
      <c r="BO187" s="51"/>
      <c r="BP187" s="52">
        <v>79218611</v>
      </c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>
        <v>5335843</v>
      </c>
      <c r="CD187" s="52"/>
      <c r="CE187" s="52"/>
      <c r="CF187" s="52"/>
      <c r="CG187" s="52">
        <f t="shared" si="23"/>
        <v>84554454</v>
      </c>
      <c r="CH187" s="52"/>
      <c r="CI187" s="52"/>
      <c r="CJ187" s="52"/>
      <c r="CK187" s="52"/>
      <c r="CL187" s="52"/>
      <c r="CM187" s="52"/>
      <c r="CN187" s="52"/>
      <c r="CO187" s="52"/>
      <c r="CP187" s="52"/>
      <c r="CQ187" s="52">
        <v>5335843</v>
      </c>
      <c r="CR187" s="52"/>
      <c r="CS187" s="52">
        <f t="shared" si="20"/>
        <v>89890297</v>
      </c>
      <c r="CT187" s="53">
        <v>42686744</v>
      </c>
      <c r="CU187" s="53">
        <f t="shared" si="21"/>
        <v>47203553</v>
      </c>
      <c r="CV187" s="54">
        <f t="shared" si="24"/>
        <v>89890297</v>
      </c>
      <c r="CW187" s="55">
        <f t="shared" si="25"/>
        <v>0</v>
      </c>
      <c r="CX187" s="16"/>
      <c r="CY187" s="16"/>
      <c r="CZ187" s="8"/>
      <c r="DA187" s="8"/>
      <c r="DB187" s="8"/>
      <c r="DC187" s="8"/>
      <c r="DD187" s="8"/>
    </row>
    <row r="188" spans="1:108" ht="15" customHeight="1" x14ac:dyDescent="0.2">
      <c r="A188" s="1">
        <v>8902098899</v>
      </c>
      <c r="B188" s="1">
        <v>890209889</v>
      </c>
      <c r="C188" s="9">
        <v>216268162</v>
      </c>
      <c r="D188" s="10" t="s">
        <v>824</v>
      </c>
      <c r="E188" s="46" t="s">
        <v>1840</v>
      </c>
      <c r="F188" s="21"/>
      <c r="G188" s="50"/>
      <c r="H188" s="21"/>
      <c r="I188" s="50"/>
      <c r="J188" s="21"/>
      <c r="K188" s="21"/>
      <c r="L188" s="50"/>
      <c r="M188" s="51"/>
      <c r="N188" s="21"/>
      <c r="O188" s="50"/>
      <c r="P188" s="21"/>
      <c r="Q188" s="50"/>
      <c r="R188" s="21"/>
      <c r="S188" s="21"/>
      <c r="T188" s="50"/>
      <c r="U188" s="51">
        <f t="shared" si="19"/>
        <v>0</v>
      </c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>
        <v>44601005</v>
      </c>
      <c r="AZ188" s="51"/>
      <c r="BA188" s="51">
        <f>VLOOKUP(B188,[1]Hoja3!J$3:K$674,2,0)</f>
        <v>92371264</v>
      </c>
      <c r="BB188" s="51"/>
      <c r="BC188" s="52">
        <f t="shared" si="22"/>
        <v>136972269</v>
      </c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>
        <v>8920201</v>
      </c>
      <c r="BO188" s="51"/>
      <c r="BP188" s="52">
        <v>145892470</v>
      </c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>
        <v>8920201</v>
      </c>
      <c r="CD188" s="52"/>
      <c r="CE188" s="52"/>
      <c r="CF188" s="52"/>
      <c r="CG188" s="52">
        <f t="shared" si="23"/>
        <v>154812671</v>
      </c>
      <c r="CH188" s="52"/>
      <c r="CI188" s="52"/>
      <c r="CJ188" s="52"/>
      <c r="CK188" s="52"/>
      <c r="CL188" s="52"/>
      <c r="CM188" s="52"/>
      <c r="CN188" s="52"/>
      <c r="CO188" s="52"/>
      <c r="CP188" s="52"/>
      <c r="CQ188" s="52">
        <v>8920201</v>
      </c>
      <c r="CR188" s="52"/>
      <c r="CS188" s="52">
        <f t="shared" si="20"/>
        <v>163732872</v>
      </c>
      <c r="CT188" s="53">
        <v>71361608</v>
      </c>
      <c r="CU188" s="53">
        <f t="shared" si="21"/>
        <v>92371264</v>
      </c>
      <c r="CV188" s="54">
        <f t="shared" si="24"/>
        <v>163732872</v>
      </c>
      <c r="CW188" s="55">
        <f t="shared" si="25"/>
        <v>0</v>
      </c>
      <c r="CX188" s="16"/>
      <c r="CY188" s="16"/>
      <c r="CZ188" s="16"/>
    </row>
    <row r="189" spans="1:108" ht="15" customHeight="1" x14ac:dyDescent="0.2">
      <c r="A189" s="1">
        <v>8917800428</v>
      </c>
      <c r="B189" s="1">
        <v>891780042</v>
      </c>
      <c r="C189" s="9">
        <v>216147161</v>
      </c>
      <c r="D189" s="10" t="s">
        <v>2126</v>
      </c>
      <c r="E189" s="46" t="s">
        <v>1662</v>
      </c>
      <c r="F189" s="21"/>
      <c r="G189" s="50"/>
      <c r="H189" s="21"/>
      <c r="I189" s="50"/>
      <c r="J189" s="21"/>
      <c r="K189" s="21"/>
      <c r="L189" s="50"/>
      <c r="M189" s="51"/>
      <c r="N189" s="21"/>
      <c r="O189" s="50"/>
      <c r="P189" s="21"/>
      <c r="Q189" s="50"/>
      <c r="R189" s="21"/>
      <c r="S189" s="21"/>
      <c r="T189" s="50"/>
      <c r="U189" s="51">
        <f t="shared" si="19"/>
        <v>0</v>
      </c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>
        <v>104164490</v>
      </c>
      <c r="AZ189" s="51"/>
      <c r="BA189" s="51">
        <f>VLOOKUP(B189,[1]Hoja3!J$3:K$674,2,0)</f>
        <v>150942913</v>
      </c>
      <c r="BB189" s="51"/>
      <c r="BC189" s="52">
        <f t="shared" si="22"/>
        <v>255107403</v>
      </c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>
        <v>20832898</v>
      </c>
      <c r="BO189" s="51"/>
      <c r="BP189" s="52">
        <v>275940301</v>
      </c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>
        <v>20832898</v>
      </c>
      <c r="CD189" s="52"/>
      <c r="CE189" s="52"/>
      <c r="CF189" s="52"/>
      <c r="CG189" s="52">
        <f t="shared" si="23"/>
        <v>296773199</v>
      </c>
      <c r="CH189" s="52"/>
      <c r="CI189" s="52"/>
      <c r="CJ189" s="52"/>
      <c r="CK189" s="52"/>
      <c r="CL189" s="52"/>
      <c r="CM189" s="52"/>
      <c r="CN189" s="52"/>
      <c r="CO189" s="52"/>
      <c r="CP189" s="52"/>
      <c r="CQ189" s="52">
        <v>20832898</v>
      </c>
      <c r="CR189" s="52"/>
      <c r="CS189" s="52">
        <f t="shared" si="20"/>
        <v>317606097</v>
      </c>
      <c r="CT189" s="53">
        <v>166663184</v>
      </c>
      <c r="CU189" s="53">
        <f t="shared" si="21"/>
        <v>150942913</v>
      </c>
      <c r="CV189" s="54">
        <f t="shared" si="24"/>
        <v>317606097</v>
      </c>
      <c r="CW189" s="55">
        <f t="shared" si="25"/>
        <v>0</v>
      </c>
      <c r="CX189" s="16"/>
      <c r="CY189" s="16"/>
      <c r="CZ189" s="16"/>
    </row>
    <row r="190" spans="1:108" ht="15" customHeight="1" x14ac:dyDescent="0.2">
      <c r="A190" s="1">
        <v>8180012023</v>
      </c>
      <c r="B190" s="1">
        <v>818001202</v>
      </c>
      <c r="C190" s="9">
        <v>216027160</v>
      </c>
      <c r="D190" s="10" t="s">
        <v>576</v>
      </c>
      <c r="E190" s="46" t="s">
        <v>1596</v>
      </c>
      <c r="F190" s="21"/>
      <c r="G190" s="50"/>
      <c r="H190" s="21"/>
      <c r="I190" s="50"/>
      <c r="J190" s="21"/>
      <c r="K190" s="21"/>
      <c r="L190" s="50"/>
      <c r="M190" s="51"/>
      <c r="N190" s="21"/>
      <c r="O190" s="50"/>
      <c r="P190" s="21"/>
      <c r="Q190" s="50"/>
      <c r="R190" s="21"/>
      <c r="S190" s="21"/>
      <c r="T190" s="50"/>
      <c r="U190" s="51">
        <f t="shared" si="19"/>
        <v>0</v>
      </c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>
        <v>88876138</v>
      </c>
      <c r="AN190" s="51">
        <f t="shared" ref="AN190:AN201" si="30">SUBTOTAL(9,AC190:AM190)</f>
        <v>88876138</v>
      </c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>
        <v>67650620</v>
      </c>
      <c r="AZ190" s="51"/>
      <c r="BA190" s="51"/>
      <c r="BB190" s="51"/>
      <c r="BC190" s="52">
        <f t="shared" si="22"/>
        <v>156526758</v>
      </c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>
        <v>13530124</v>
      </c>
      <c r="BO190" s="51"/>
      <c r="BP190" s="52">
        <v>170056882</v>
      </c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>
        <v>13530124</v>
      </c>
      <c r="CD190" s="52"/>
      <c r="CE190" s="52"/>
      <c r="CF190" s="52"/>
      <c r="CG190" s="52">
        <f t="shared" si="23"/>
        <v>183587006</v>
      </c>
      <c r="CH190" s="52"/>
      <c r="CI190" s="52"/>
      <c r="CJ190" s="52"/>
      <c r="CK190" s="52"/>
      <c r="CL190" s="52"/>
      <c r="CM190" s="52"/>
      <c r="CN190" s="52"/>
      <c r="CO190" s="52"/>
      <c r="CP190" s="52"/>
      <c r="CQ190" s="52">
        <v>13530124</v>
      </c>
      <c r="CR190" s="52">
        <v>344905242</v>
      </c>
      <c r="CS190" s="52">
        <f t="shared" si="20"/>
        <v>542022372</v>
      </c>
      <c r="CT190" s="53">
        <v>108240992</v>
      </c>
      <c r="CU190" s="53">
        <f t="shared" si="21"/>
        <v>433781380</v>
      </c>
      <c r="CV190" s="54">
        <f t="shared" si="24"/>
        <v>542022372</v>
      </c>
      <c r="CW190" s="55">
        <f t="shared" si="25"/>
        <v>0</v>
      </c>
      <c r="CX190" s="16"/>
      <c r="CY190" s="16"/>
      <c r="CZ190" s="16"/>
    </row>
    <row r="191" spans="1:108" ht="15" customHeight="1" x14ac:dyDescent="0.2">
      <c r="A191" s="1">
        <v>8001999594</v>
      </c>
      <c r="B191" s="1">
        <v>800199959</v>
      </c>
      <c r="C191" s="9">
        <v>214052240</v>
      </c>
      <c r="D191" s="10" t="s">
        <v>705</v>
      </c>
      <c r="E191" s="46" t="s">
        <v>1727</v>
      </c>
      <c r="F191" s="21"/>
      <c r="G191" s="50"/>
      <c r="H191" s="21"/>
      <c r="I191" s="50"/>
      <c r="J191" s="21"/>
      <c r="K191" s="21"/>
      <c r="L191" s="50"/>
      <c r="M191" s="51"/>
      <c r="N191" s="21"/>
      <c r="O191" s="50"/>
      <c r="P191" s="21"/>
      <c r="Q191" s="50"/>
      <c r="R191" s="21"/>
      <c r="S191" s="21"/>
      <c r="T191" s="50"/>
      <c r="U191" s="51">
        <f t="shared" si="19"/>
        <v>0</v>
      </c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>
        <v>173468575</v>
      </c>
      <c r="AN191" s="51">
        <f t="shared" si="30"/>
        <v>173468575</v>
      </c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>
        <v>78351635</v>
      </c>
      <c r="AZ191" s="51"/>
      <c r="BA191" s="51"/>
      <c r="BB191" s="51"/>
      <c r="BC191" s="52">
        <f t="shared" si="22"/>
        <v>251820210</v>
      </c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>
        <v>15670327</v>
      </c>
      <c r="BO191" s="51"/>
      <c r="BP191" s="52">
        <v>267490537</v>
      </c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>
        <v>15670327</v>
      </c>
      <c r="CD191" s="52"/>
      <c r="CE191" s="52"/>
      <c r="CF191" s="52"/>
      <c r="CG191" s="52">
        <f t="shared" si="23"/>
        <v>283160864</v>
      </c>
      <c r="CH191" s="52"/>
      <c r="CI191" s="52"/>
      <c r="CJ191" s="52"/>
      <c r="CK191" s="52"/>
      <c r="CL191" s="52"/>
      <c r="CM191" s="52"/>
      <c r="CN191" s="52"/>
      <c r="CO191" s="52"/>
      <c r="CP191" s="52"/>
      <c r="CQ191" s="52">
        <v>15670327</v>
      </c>
      <c r="CR191" s="52"/>
      <c r="CS191" s="52">
        <f t="shared" si="20"/>
        <v>298831191</v>
      </c>
      <c r="CT191" s="53">
        <v>125362616</v>
      </c>
      <c r="CU191" s="53">
        <f t="shared" si="21"/>
        <v>173468575</v>
      </c>
      <c r="CV191" s="54">
        <f t="shared" si="24"/>
        <v>298831191</v>
      </c>
      <c r="CW191" s="55">
        <f t="shared" si="25"/>
        <v>0</v>
      </c>
      <c r="CX191" s="16"/>
      <c r="CY191" s="16"/>
      <c r="CZ191" s="16"/>
    </row>
    <row r="192" spans="1:108" s="14" customFormat="1" ht="15" customHeight="1" x14ac:dyDescent="0.2">
      <c r="A192" s="1">
        <v>8999994002</v>
      </c>
      <c r="B192" s="1">
        <v>899999400</v>
      </c>
      <c r="C192" s="9">
        <v>216825168</v>
      </c>
      <c r="D192" s="10" t="s">
        <v>474</v>
      </c>
      <c r="E192" s="46" t="s">
        <v>1500</v>
      </c>
      <c r="F192" s="21"/>
      <c r="G192" s="50"/>
      <c r="H192" s="21"/>
      <c r="I192" s="50"/>
      <c r="J192" s="21"/>
      <c r="K192" s="21"/>
      <c r="L192" s="50"/>
      <c r="M192" s="51"/>
      <c r="N192" s="21"/>
      <c r="O192" s="50"/>
      <c r="P192" s="21"/>
      <c r="Q192" s="50"/>
      <c r="R192" s="21"/>
      <c r="S192" s="21"/>
      <c r="T192" s="50"/>
      <c r="U192" s="51">
        <f t="shared" si="19"/>
        <v>0</v>
      </c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>
        <v>38350065</v>
      </c>
      <c r="AN192" s="51">
        <f t="shared" si="30"/>
        <v>38350065</v>
      </c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>
        <v>24927365</v>
      </c>
      <c r="AZ192" s="51"/>
      <c r="BA192" s="51"/>
      <c r="BB192" s="51"/>
      <c r="BC192" s="52">
        <f t="shared" si="22"/>
        <v>63277430</v>
      </c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>
        <v>4985473</v>
      </c>
      <c r="BO192" s="51"/>
      <c r="BP192" s="52">
        <v>68262903</v>
      </c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>
        <v>4985473</v>
      </c>
      <c r="CD192" s="52"/>
      <c r="CE192" s="52"/>
      <c r="CF192" s="52"/>
      <c r="CG192" s="52">
        <f t="shared" si="23"/>
        <v>73248376</v>
      </c>
      <c r="CH192" s="52"/>
      <c r="CI192" s="52"/>
      <c r="CJ192" s="52"/>
      <c r="CK192" s="52"/>
      <c r="CL192" s="52"/>
      <c r="CM192" s="52"/>
      <c r="CN192" s="52"/>
      <c r="CO192" s="52"/>
      <c r="CP192" s="52"/>
      <c r="CQ192" s="52">
        <v>4985473</v>
      </c>
      <c r="CR192" s="52"/>
      <c r="CS192" s="52">
        <f t="shared" si="20"/>
        <v>78233849</v>
      </c>
      <c r="CT192" s="53">
        <v>39883784</v>
      </c>
      <c r="CU192" s="53">
        <f t="shared" si="21"/>
        <v>38350065</v>
      </c>
      <c r="CV192" s="54">
        <f t="shared" si="24"/>
        <v>78233849</v>
      </c>
      <c r="CW192" s="55">
        <f t="shared" si="25"/>
        <v>0</v>
      </c>
      <c r="CX192" s="16"/>
      <c r="CY192" s="16"/>
      <c r="CZ192" s="16"/>
      <c r="DA192" s="6"/>
      <c r="DB192" s="6"/>
      <c r="DC192" s="6"/>
      <c r="DD192" s="6"/>
    </row>
    <row r="193" spans="1:108" ht="15" customHeight="1" x14ac:dyDescent="0.2">
      <c r="A193" s="1">
        <v>8922007407</v>
      </c>
      <c r="B193" s="1">
        <v>892200740</v>
      </c>
      <c r="C193" s="9">
        <v>213070230</v>
      </c>
      <c r="D193" s="10" t="s">
        <v>895</v>
      </c>
      <c r="E193" s="46" t="s">
        <v>1908</v>
      </c>
      <c r="F193" s="21"/>
      <c r="G193" s="50"/>
      <c r="H193" s="21"/>
      <c r="I193" s="50"/>
      <c r="J193" s="21"/>
      <c r="K193" s="21"/>
      <c r="L193" s="50"/>
      <c r="M193" s="51"/>
      <c r="N193" s="21"/>
      <c r="O193" s="50"/>
      <c r="P193" s="21"/>
      <c r="Q193" s="50"/>
      <c r="R193" s="21"/>
      <c r="S193" s="21"/>
      <c r="T193" s="50"/>
      <c r="U193" s="51">
        <f t="shared" si="19"/>
        <v>0</v>
      </c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>
        <v>75276683</v>
      </c>
      <c r="AN193" s="51">
        <f t="shared" si="30"/>
        <v>75276683</v>
      </c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>
        <v>54651210</v>
      </c>
      <c r="AZ193" s="51"/>
      <c r="BA193" s="51"/>
      <c r="BB193" s="51"/>
      <c r="BC193" s="52">
        <f t="shared" si="22"/>
        <v>129927893</v>
      </c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>
        <v>10930242</v>
      </c>
      <c r="BO193" s="51"/>
      <c r="BP193" s="52">
        <v>140858135</v>
      </c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>
        <v>10930242</v>
      </c>
      <c r="CD193" s="52"/>
      <c r="CE193" s="52"/>
      <c r="CF193" s="52"/>
      <c r="CG193" s="52">
        <f t="shared" si="23"/>
        <v>151788377</v>
      </c>
      <c r="CH193" s="52"/>
      <c r="CI193" s="52"/>
      <c r="CJ193" s="52"/>
      <c r="CK193" s="52"/>
      <c r="CL193" s="52"/>
      <c r="CM193" s="52"/>
      <c r="CN193" s="52"/>
      <c r="CO193" s="52"/>
      <c r="CP193" s="52"/>
      <c r="CQ193" s="52">
        <v>10930242</v>
      </c>
      <c r="CR193" s="52"/>
      <c r="CS193" s="52">
        <f t="shared" si="20"/>
        <v>162718619</v>
      </c>
      <c r="CT193" s="53">
        <v>87441936</v>
      </c>
      <c r="CU193" s="53">
        <f t="shared" si="21"/>
        <v>75276683</v>
      </c>
      <c r="CV193" s="54">
        <f t="shared" si="24"/>
        <v>162718619</v>
      </c>
      <c r="CW193" s="55">
        <f t="shared" si="25"/>
        <v>0</v>
      </c>
      <c r="CX193" s="16"/>
      <c r="CY193" s="16"/>
      <c r="CZ193" s="16"/>
    </row>
    <row r="194" spans="1:108" ht="15" customHeight="1" x14ac:dyDescent="0.2">
      <c r="A194" s="1">
        <v>8000860176</v>
      </c>
      <c r="B194" s="1">
        <v>800086017</v>
      </c>
      <c r="C194" s="9">
        <v>211585015</v>
      </c>
      <c r="D194" s="10" t="s">
        <v>957</v>
      </c>
      <c r="E194" s="46" t="s">
        <v>2017</v>
      </c>
      <c r="F194" s="21"/>
      <c r="G194" s="50"/>
      <c r="H194" s="21"/>
      <c r="I194" s="50"/>
      <c r="J194" s="21"/>
      <c r="K194" s="21"/>
      <c r="L194" s="50"/>
      <c r="M194" s="51"/>
      <c r="N194" s="21"/>
      <c r="O194" s="50"/>
      <c r="P194" s="21"/>
      <c r="Q194" s="50"/>
      <c r="R194" s="21"/>
      <c r="S194" s="21"/>
      <c r="T194" s="50"/>
      <c r="U194" s="51">
        <f t="shared" si="19"/>
        <v>0</v>
      </c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>
        <v>28037469</v>
      </c>
      <c r="AN194" s="51">
        <f t="shared" si="30"/>
        <v>28037469</v>
      </c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>
        <v>13927565</v>
      </c>
      <c r="AZ194" s="51"/>
      <c r="BA194" s="51"/>
      <c r="BB194" s="51"/>
      <c r="BC194" s="52">
        <f t="shared" si="22"/>
        <v>41965034</v>
      </c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>
        <v>2785513</v>
      </c>
      <c r="BO194" s="51"/>
      <c r="BP194" s="52">
        <v>44750547</v>
      </c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>
        <v>2785513</v>
      </c>
      <c r="CD194" s="52"/>
      <c r="CE194" s="52"/>
      <c r="CF194" s="52"/>
      <c r="CG194" s="52">
        <f t="shared" si="23"/>
        <v>47536060</v>
      </c>
      <c r="CH194" s="52"/>
      <c r="CI194" s="52"/>
      <c r="CJ194" s="52"/>
      <c r="CK194" s="52"/>
      <c r="CL194" s="52"/>
      <c r="CM194" s="52"/>
      <c r="CN194" s="52"/>
      <c r="CO194" s="52"/>
      <c r="CP194" s="52"/>
      <c r="CQ194" s="52">
        <v>2785513</v>
      </c>
      <c r="CR194" s="52"/>
      <c r="CS194" s="52">
        <f t="shared" si="20"/>
        <v>50321573</v>
      </c>
      <c r="CT194" s="53">
        <v>22284104</v>
      </c>
      <c r="CU194" s="53">
        <f t="shared" si="21"/>
        <v>28037469</v>
      </c>
      <c r="CV194" s="54">
        <f t="shared" si="24"/>
        <v>50321573</v>
      </c>
      <c r="CW194" s="55">
        <f t="shared" si="25"/>
        <v>0</v>
      </c>
      <c r="CX194" s="16"/>
      <c r="CY194" s="16"/>
      <c r="CZ194" s="16"/>
    </row>
    <row r="195" spans="1:108" ht="15" customHeight="1" x14ac:dyDescent="0.2">
      <c r="A195" s="1">
        <v>8001000531</v>
      </c>
      <c r="B195" s="1">
        <v>800100053</v>
      </c>
      <c r="C195" s="9">
        <v>216873168</v>
      </c>
      <c r="D195" s="10" t="s">
        <v>2210</v>
      </c>
      <c r="E195" s="46" t="s">
        <v>1937</v>
      </c>
      <c r="F195" s="21"/>
      <c r="G195" s="50"/>
      <c r="H195" s="21"/>
      <c r="I195" s="50"/>
      <c r="J195" s="21"/>
      <c r="K195" s="21"/>
      <c r="L195" s="50"/>
      <c r="M195" s="51"/>
      <c r="N195" s="21"/>
      <c r="O195" s="50"/>
      <c r="P195" s="21"/>
      <c r="Q195" s="50"/>
      <c r="R195" s="21"/>
      <c r="S195" s="21"/>
      <c r="T195" s="50"/>
      <c r="U195" s="51">
        <f t="shared" ref="U195:U258" si="31">SUM(M195:T195)</f>
        <v>0</v>
      </c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>
        <v>819706602</v>
      </c>
      <c r="AN195" s="51">
        <f t="shared" si="30"/>
        <v>819706602</v>
      </c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>
        <v>374790220</v>
      </c>
      <c r="AZ195" s="51"/>
      <c r="BA195" s="51"/>
      <c r="BB195" s="51"/>
      <c r="BC195" s="52">
        <f t="shared" si="22"/>
        <v>1194496822</v>
      </c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>
        <v>74958044</v>
      </c>
      <c r="BO195" s="51"/>
      <c r="BP195" s="52">
        <v>1269454866</v>
      </c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>
        <v>74958044</v>
      </c>
      <c r="CD195" s="52"/>
      <c r="CE195" s="52"/>
      <c r="CF195" s="52"/>
      <c r="CG195" s="52">
        <f t="shared" si="23"/>
        <v>1344412910</v>
      </c>
      <c r="CH195" s="52"/>
      <c r="CI195" s="52"/>
      <c r="CJ195" s="52"/>
      <c r="CK195" s="52"/>
      <c r="CL195" s="52"/>
      <c r="CM195" s="52"/>
      <c r="CN195" s="52"/>
      <c r="CO195" s="52"/>
      <c r="CP195" s="52"/>
      <c r="CQ195" s="52">
        <v>74958044</v>
      </c>
      <c r="CR195" s="52"/>
      <c r="CS195" s="52">
        <f t="shared" ref="CS195:CS258" si="32">SUM(CG195:CR195)</f>
        <v>1419370954</v>
      </c>
      <c r="CT195" s="53">
        <v>599664352</v>
      </c>
      <c r="CU195" s="53">
        <f t="shared" ref="CU195:CU258" si="33">+AM195+BA195-BB195+BO195+CE195+CF195+CR195</f>
        <v>819706602</v>
      </c>
      <c r="CV195" s="54">
        <f t="shared" si="24"/>
        <v>1419370954</v>
      </c>
      <c r="CW195" s="55">
        <f t="shared" si="25"/>
        <v>0</v>
      </c>
      <c r="CX195" s="16"/>
      <c r="CY195" s="16"/>
      <c r="CZ195" s="16"/>
    </row>
    <row r="196" spans="1:108" ht="15" customHeight="1" x14ac:dyDescent="0.2">
      <c r="A196" s="1">
        <v>8902050634</v>
      </c>
      <c r="B196" s="1">
        <v>890205063</v>
      </c>
      <c r="C196" s="9">
        <v>216768167</v>
      </c>
      <c r="D196" s="10" t="s">
        <v>825</v>
      </c>
      <c r="E196" s="46" t="s">
        <v>1841</v>
      </c>
      <c r="F196" s="21"/>
      <c r="G196" s="50"/>
      <c r="H196" s="21"/>
      <c r="I196" s="50"/>
      <c r="J196" s="21"/>
      <c r="K196" s="21"/>
      <c r="L196" s="50"/>
      <c r="M196" s="51"/>
      <c r="N196" s="21"/>
      <c r="O196" s="50"/>
      <c r="P196" s="21"/>
      <c r="Q196" s="50"/>
      <c r="R196" s="21"/>
      <c r="S196" s="21"/>
      <c r="T196" s="50"/>
      <c r="U196" s="51">
        <f t="shared" si="31"/>
        <v>0</v>
      </c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>
        <v>210374381</v>
      </c>
      <c r="AN196" s="51">
        <f t="shared" si="30"/>
        <v>210374381</v>
      </c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>
        <v>89748985</v>
      </c>
      <c r="AZ196" s="51"/>
      <c r="BA196" s="51"/>
      <c r="BB196" s="51"/>
      <c r="BC196" s="52">
        <f t="shared" ref="BC196:BC259" si="34">SUM(AN196:BA196)-BB196</f>
        <v>300123366</v>
      </c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>
        <v>17949797</v>
      </c>
      <c r="BO196" s="51"/>
      <c r="BP196" s="52">
        <v>318073163</v>
      </c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>
        <v>17949797</v>
      </c>
      <c r="CD196" s="52"/>
      <c r="CE196" s="52"/>
      <c r="CF196" s="52"/>
      <c r="CG196" s="52">
        <f t="shared" ref="CG196:CG259" si="35">SUM(BP196:CF196)</f>
        <v>336022960</v>
      </c>
      <c r="CH196" s="52"/>
      <c r="CI196" s="52"/>
      <c r="CJ196" s="52"/>
      <c r="CK196" s="52"/>
      <c r="CL196" s="52"/>
      <c r="CM196" s="52"/>
      <c r="CN196" s="52"/>
      <c r="CO196" s="52"/>
      <c r="CP196" s="52"/>
      <c r="CQ196" s="52">
        <v>17949797</v>
      </c>
      <c r="CR196" s="52"/>
      <c r="CS196" s="52">
        <f t="shared" si="32"/>
        <v>353972757</v>
      </c>
      <c r="CT196" s="53">
        <v>143598376</v>
      </c>
      <c r="CU196" s="53">
        <f t="shared" si="33"/>
        <v>210374381</v>
      </c>
      <c r="CV196" s="54">
        <f t="shared" ref="CV196:CV259" si="36">+CT196+CU196</f>
        <v>353972757</v>
      </c>
      <c r="CW196" s="55">
        <f t="shared" ref="CW196:CW259" si="37">+CS196-CV196</f>
        <v>0</v>
      </c>
      <c r="CX196" s="16"/>
      <c r="CY196" s="16"/>
      <c r="CZ196" s="16"/>
    </row>
    <row r="197" spans="1:108" ht="15" customHeight="1" x14ac:dyDescent="0.2">
      <c r="A197" s="1">
        <v>8902067249</v>
      </c>
      <c r="B197" s="1">
        <v>890206724</v>
      </c>
      <c r="C197" s="9">
        <v>216968169</v>
      </c>
      <c r="D197" s="10" t="s">
        <v>826</v>
      </c>
      <c r="E197" s="46" t="s">
        <v>1834</v>
      </c>
      <c r="F197" s="21"/>
      <c r="G197" s="50"/>
      <c r="H197" s="21"/>
      <c r="I197" s="50"/>
      <c r="J197" s="21"/>
      <c r="K197" s="21"/>
      <c r="L197" s="50"/>
      <c r="M197" s="51"/>
      <c r="N197" s="21"/>
      <c r="O197" s="50"/>
      <c r="P197" s="21"/>
      <c r="Q197" s="50"/>
      <c r="R197" s="21"/>
      <c r="S197" s="21"/>
      <c r="T197" s="50"/>
      <c r="U197" s="51">
        <f t="shared" si="31"/>
        <v>0</v>
      </c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>
        <v>32624395</v>
      </c>
      <c r="AN197" s="51">
        <f t="shared" si="30"/>
        <v>32624395</v>
      </c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>
        <v>14335655</v>
      </c>
      <c r="AZ197" s="51"/>
      <c r="BA197" s="51"/>
      <c r="BB197" s="51"/>
      <c r="BC197" s="52">
        <f t="shared" si="34"/>
        <v>46960050</v>
      </c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>
        <v>2867131</v>
      </c>
      <c r="BO197" s="51"/>
      <c r="BP197" s="52">
        <v>49827181</v>
      </c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>
        <v>2867131</v>
      </c>
      <c r="CD197" s="52"/>
      <c r="CE197" s="52"/>
      <c r="CF197" s="52"/>
      <c r="CG197" s="52">
        <f t="shared" si="35"/>
        <v>52694312</v>
      </c>
      <c r="CH197" s="52"/>
      <c r="CI197" s="52"/>
      <c r="CJ197" s="52"/>
      <c r="CK197" s="52"/>
      <c r="CL197" s="52"/>
      <c r="CM197" s="52"/>
      <c r="CN197" s="52"/>
      <c r="CO197" s="52"/>
      <c r="CP197" s="52"/>
      <c r="CQ197" s="52">
        <v>2867131</v>
      </c>
      <c r="CR197" s="52"/>
      <c r="CS197" s="52">
        <f t="shared" si="32"/>
        <v>55561443</v>
      </c>
      <c r="CT197" s="53">
        <v>22937048</v>
      </c>
      <c r="CU197" s="53">
        <f t="shared" si="33"/>
        <v>32624395</v>
      </c>
      <c r="CV197" s="54">
        <f t="shared" si="36"/>
        <v>55561443</v>
      </c>
      <c r="CW197" s="55">
        <f t="shared" si="37"/>
        <v>0</v>
      </c>
      <c r="CX197" s="16"/>
      <c r="CY197" s="16"/>
      <c r="CZ197" s="16"/>
    </row>
    <row r="198" spans="1:108" ht="15" customHeight="1" x14ac:dyDescent="0.2">
      <c r="A198" s="1">
        <v>8999991728</v>
      </c>
      <c r="B198" s="1">
        <v>899999172</v>
      </c>
      <c r="C198" s="9">
        <v>217525175</v>
      </c>
      <c r="D198" s="10" t="s">
        <v>475</v>
      </c>
      <c r="E198" s="47" t="s">
        <v>1501</v>
      </c>
      <c r="F198" s="21"/>
      <c r="G198" s="50"/>
      <c r="H198" s="21"/>
      <c r="I198" s="50">
        <f>1976842938+31199206</f>
        <v>2008042144</v>
      </c>
      <c r="J198" s="21">
        <v>141955494</v>
      </c>
      <c r="K198" s="21">
        <v>281233233</v>
      </c>
      <c r="L198" s="50"/>
      <c r="M198" s="52">
        <f>SUM(F198:L198)</f>
        <v>2431230871</v>
      </c>
      <c r="N198" s="21"/>
      <c r="O198" s="50"/>
      <c r="P198" s="21"/>
      <c r="Q198" s="50">
        <f>1901572966+14181457</f>
        <v>1915754423</v>
      </c>
      <c r="R198" s="21">
        <v>141955494</v>
      </c>
      <c r="S198" s="21">
        <f>139277739+141955494</f>
        <v>281233233</v>
      </c>
      <c r="T198" s="50"/>
      <c r="U198" s="51">
        <f t="shared" si="31"/>
        <v>4770174021</v>
      </c>
      <c r="V198" s="51"/>
      <c r="W198" s="51"/>
      <c r="X198" s="51"/>
      <c r="Y198" s="51">
        <v>2579634458</v>
      </c>
      <c r="Z198" s="51">
        <v>136083445</v>
      </c>
      <c r="AA198" s="51">
        <v>320452417</v>
      </c>
      <c r="AB198" s="51"/>
      <c r="AC198" s="51">
        <f t="shared" ref="AC198:AC222" si="38">SUM(U198:AB198)</f>
        <v>7806344341</v>
      </c>
      <c r="AD198" s="51"/>
      <c r="AE198" s="51"/>
      <c r="AF198" s="51"/>
      <c r="AG198" s="51"/>
      <c r="AH198" s="51">
        <v>1949772554</v>
      </c>
      <c r="AI198" s="51">
        <v>188801174</v>
      </c>
      <c r="AJ198" s="51">
        <v>146905879</v>
      </c>
      <c r="AK198" s="51">
        <v>370055352</v>
      </c>
      <c r="AL198" s="51"/>
      <c r="AM198" s="51">
        <v>1134376682</v>
      </c>
      <c r="AN198" s="51">
        <f t="shared" si="30"/>
        <v>11596255982</v>
      </c>
      <c r="AO198" s="51"/>
      <c r="AP198" s="51"/>
      <c r="AQ198" s="51">
        <v>412637245</v>
      </c>
      <c r="AR198" s="51"/>
      <c r="AS198" s="51"/>
      <c r="AT198" s="51">
        <v>1949772554</v>
      </c>
      <c r="AU198" s="51"/>
      <c r="AV198" s="51">
        <v>146905879</v>
      </c>
      <c r="AW198" s="51">
        <v>250637604</v>
      </c>
      <c r="AX198" s="51"/>
      <c r="AY198" s="51"/>
      <c r="AZ198" s="51">
        <v>144107200</v>
      </c>
      <c r="BA198" s="51"/>
      <c r="BB198" s="51"/>
      <c r="BC198" s="52">
        <f t="shared" si="34"/>
        <v>14500316464</v>
      </c>
      <c r="BD198" s="51"/>
      <c r="BE198" s="51"/>
      <c r="BF198" s="51">
        <v>82527449</v>
      </c>
      <c r="BG198" s="51"/>
      <c r="BH198" s="51"/>
      <c r="BI198" s="51">
        <v>2047464723</v>
      </c>
      <c r="BJ198" s="51">
        <v>170810679</v>
      </c>
      <c r="BK198" s="51">
        <v>173207069</v>
      </c>
      <c r="BL198" s="51">
        <v>428879979</v>
      </c>
      <c r="BM198" s="51"/>
      <c r="BN198" s="51"/>
      <c r="BO198" s="51"/>
      <c r="BP198" s="52">
        <v>17403206363</v>
      </c>
      <c r="BQ198" s="52"/>
      <c r="BR198" s="52"/>
      <c r="BS198" s="52">
        <v>82527449</v>
      </c>
      <c r="BT198" s="52"/>
      <c r="BU198" s="52"/>
      <c r="BV198" s="52"/>
      <c r="BW198" s="52">
        <v>2057389104</v>
      </c>
      <c r="BX198" s="52"/>
      <c r="BY198" s="52">
        <v>904687470</v>
      </c>
      <c r="BZ198" s="52">
        <v>170046456</v>
      </c>
      <c r="CA198" s="52">
        <v>412783209</v>
      </c>
      <c r="CB198" s="52"/>
      <c r="CC198" s="52"/>
      <c r="CD198" s="52"/>
      <c r="CE198" s="52"/>
      <c r="CF198" s="52"/>
      <c r="CG198" s="52">
        <f t="shared" si="35"/>
        <v>21030640051</v>
      </c>
      <c r="CH198" s="52"/>
      <c r="CI198" s="52"/>
      <c r="CJ198" s="52">
        <v>82527449</v>
      </c>
      <c r="CK198" s="52"/>
      <c r="CL198" s="52">
        <v>2053271179</v>
      </c>
      <c r="CM198" s="52">
        <v>0</v>
      </c>
      <c r="CN198" s="52">
        <v>151963263</v>
      </c>
      <c r="CO198" s="52">
        <v>274408697</v>
      </c>
      <c r="CP198" s="52"/>
      <c r="CQ198" s="52"/>
      <c r="CR198" s="52"/>
      <c r="CS198" s="52">
        <f t="shared" si="32"/>
        <v>23592810639</v>
      </c>
      <c r="CT198" s="53">
        <v>22458433957</v>
      </c>
      <c r="CU198" s="53">
        <f t="shared" si="33"/>
        <v>1134376682</v>
      </c>
      <c r="CV198" s="54">
        <f t="shared" si="36"/>
        <v>23592810639</v>
      </c>
      <c r="CW198" s="55">
        <f t="shared" si="37"/>
        <v>0</v>
      </c>
      <c r="CX198" s="16"/>
      <c r="CY198" s="16"/>
      <c r="CZ198" s="16"/>
    </row>
    <row r="199" spans="1:108" ht="15" customHeight="1" x14ac:dyDescent="0.2">
      <c r="A199" s="1">
        <v>8000719341</v>
      </c>
      <c r="B199" s="1">
        <v>800071934</v>
      </c>
      <c r="C199" s="9">
        <v>217047170</v>
      </c>
      <c r="D199" s="10" t="s">
        <v>643</v>
      </c>
      <c r="E199" s="46" t="s">
        <v>1663</v>
      </c>
      <c r="F199" s="21"/>
      <c r="G199" s="50"/>
      <c r="H199" s="21"/>
      <c r="I199" s="50"/>
      <c r="J199" s="21"/>
      <c r="K199" s="21"/>
      <c r="L199" s="50"/>
      <c r="M199" s="51"/>
      <c r="N199" s="21"/>
      <c r="O199" s="50"/>
      <c r="P199" s="21"/>
      <c r="Q199" s="50"/>
      <c r="R199" s="21"/>
      <c r="S199" s="21"/>
      <c r="T199" s="50"/>
      <c r="U199" s="51">
        <f t="shared" si="31"/>
        <v>0</v>
      </c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>
        <v>85107461</v>
      </c>
      <c r="AN199" s="51">
        <f t="shared" si="30"/>
        <v>85107461</v>
      </c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>
        <v>268386710</v>
      </c>
      <c r="AZ199" s="51"/>
      <c r="BA199" s="51">
        <f>VLOOKUP(B199,[1]Hoja3!J$3:K$674,2,0)</f>
        <v>328735892</v>
      </c>
      <c r="BB199" s="51"/>
      <c r="BC199" s="52">
        <f t="shared" si="34"/>
        <v>682230063</v>
      </c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>
        <v>53677342</v>
      </c>
      <c r="BO199" s="51"/>
      <c r="BP199" s="52">
        <v>735907405</v>
      </c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>
        <v>53677342</v>
      </c>
      <c r="CD199" s="52"/>
      <c r="CE199" s="52"/>
      <c r="CF199" s="52"/>
      <c r="CG199" s="52">
        <f t="shared" si="35"/>
        <v>789584747</v>
      </c>
      <c r="CH199" s="52"/>
      <c r="CI199" s="52"/>
      <c r="CJ199" s="52"/>
      <c r="CK199" s="52"/>
      <c r="CL199" s="52"/>
      <c r="CM199" s="52"/>
      <c r="CN199" s="52"/>
      <c r="CO199" s="52"/>
      <c r="CP199" s="52"/>
      <c r="CQ199" s="52">
        <v>53677342</v>
      </c>
      <c r="CR199" s="52"/>
      <c r="CS199" s="52">
        <f t="shared" si="32"/>
        <v>843262089</v>
      </c>
      <c r="CT199" s="53">
        <v>429418736</v>
      </c>
      <c r="CU199" s="53">
        <f t="shared" si="33"/>
        <v>413843353</v>
      </c>
      <c r="CV199" s="54">
        <f t="shared" si="36"/>
        <v>843262089</v>
      </c>
      <c r="CW199" s="55">
        <f t="shared" si="37"/>
        <v>0</v>
      </c>
      <c r="CX199" s="16"/>
      <c r="CY199" s="16"/>
      <c r="CZ199" s="16"/>
    </row>
    <row r="200" spans="1:108" ht="15" customHeight="1" x14ac:dyDescent="0.2">
      <c r="A200" s="1">
        <v>8909809988</v>
      </c>
      <c r="B200" s="1">
        <v>890980998</v>
      </c>
      <c r="C200" s="9">
        <v>217205172</v>
      </c>
      <c r="D200" s="10" t="s">
        <v>76</v>
      </c>
      <c r="E200" s="46" t="s">
        <v>1107</v>
      </c>
      <c r="F200" s="21"/>
      <c r="G200" s="50"/>
      <c r="H200" s="21"/>
      <c r="I200" s="50"/>
      <c r="J200" s="21"/>
      <c r="K200" s="21"/>
      <c r="L200" s="50"/>
      <c r="M200" s="51"/>
      <c r="N200" s="21"/>
      <c r="O200" s="50"/>
      <c r="P200" s="21"/>
      <c r="Q200" s="50"/>
      <c r="R200" s="21"/>
      <c r="S200" s="21"/>
      <c r="T200" s="50"/>
      <c r="U200" s="51">
        <f t="shared" si="31"/>
        <v>0</v>
      </c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>
        <v>523538138</v>
      </c>
      <c r="AN200" s="51">
        <f t="shared" si="30"/>
        <v>523538138</v>
      </c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>
        <v>491573520</v>
      </c>
      <c r="AZ200" s="51"/>
      <c r="BA200" s="51">
        <f>VLOOKUP(B200,[1]Hoja3!J$3:K$674,2,0)</f>
        <v>355637368</v>
      </c>
      <c r="BB200" s="51"/>
      <c r="BC200" s="52">
        <f t="shared" si="34"/>
        <v>1370749026</v>
      </c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>
        <v>98314704</v>
      </c>
      <c r="BO200" s="51"/>
      <c r="BP200" s="52">
        <v>1469063730</v>
      </c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>
        <v>98314704</v>
      </c>
      <c r="CD200" s="52"/>
      <c r="CE200" s="52"/>
      <c r="CF200" s="52"/>
      <c r="CG200" s="52">
        <f t="shared" si="35"/>
        <v>1567378434</v>
      </c>
      <c r="CH200" s="52"/>
      <c r="CI200" s="52"/>
      <c r="CJ200" s="52"/>
      <c r="CK200" s="52"/>
      <c r="CL200" s="52"/>
      <c r="CM200" s="52"/>
      <c r="CN200" s="52"/>
      <c r="CO200" s="52"/>
      <c r="CP200" s="52"/>
      <c r="CQ200" s="52">
        <v>98314704</v>
      </c>
      <c r="CR200" s="52">
        <v>60657485</v>
      </c>
      <c r="CS200" s="52">
        <f t="shared" si="32"/>
        <v>1726350623</v>
      </c>
      <c r="CT200" s="53">
        <v>786517632</v>
      </c>
      <c r="CU200" s="53">
        <f t="shared" si="33"/>
        <v>939832991</v>
      </c>
      <c r="CV200" s="54">
        <f t="shared" si="36"/>
        <v>1726350623</v>
      </c>
      <c r="CW200" s="55">
        <f t="shared" si="37"/>
        <v>0</v>
      </c>
      <c r="CX200" s="16"/>
      <c r="CY200" s="16"/>
      <c r="CZ200" s="16"/>
    </row>
    <row r="201" spans="1:108" ht="15" customHeight="1" x14ac:dyDescent="0.2">
      <c r="A201" s="1">
        <v>8000967501</v>
      </c>
      <c r="B201" s="1">
        <v>800096750</v>
      </c>
      <c r="C201" s="9">
        <v>216823168</v>
      </c>
      <c r="D201" s="10" t="s">
        <v>441</v>
      </c>
      <c r="E201" s="46" t="s">
        <v>1468</v>
      </c>
      <c r="F201" s="21"/>
      <c r="G201" s="50"/>
      <c r="H201" s="21"/>
      <c r="I201" s="50"/>
      <c r="J201" s="21"/>
      <c r="K201" s="21"/>
      <c r="L201" s="50"/>
      <c r="M201" s="51"/>
      <c r="N201" s="21"/>
      <c r="O201" s="50"/>
      <c r="P201" s="21"/>
      <c r="Q201" s="50"/>
      <c r="R201" s="21"/>
      <c r="S201" s="21"/>
      <c r="T201" s="50"/>
      <c r="U201" s="51">
        <f t="shared" si="31"/>
        <v>0</v>
      </c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>
        <v>244684888</v>
      </c>
      <c r="AN201" s="51">
        <f t="shared" si="30"/>
        <v>244684888</v>
      </c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>
        <v>153264680</v>
      </c>
      <c r="AZ201" s="51"/>
      <c r="BA201" s="51"/>
      <c r="BB201" s="51"/>
      <c r="BC201" s="52">
        <f t="shared" si="34"/>
        <v>397949568</v>
      </c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>
        <v>30652936</v>
      </c>
      <c r="BO201" s="51"/>
      <c r="BP201" s="52">
        <v>428602504</v>
      </c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>
        <v>30652936</v>
      </c>
      <c r="CD201" s="52"/>
      <c r="CE201" s="52"/>
      <c r="CF201" s="52"/>
      <c r="CG201" s="52">
        <f t="shared" si="35"/>
        <v>459255440</v>
      </c>
      <c r="CH201" s="52"/>
      <c r="CI201" s="52"/>
      <c r="CJ201" s="52"/>
      <c r="CK201" s="52"/>
      <c r="CL201" s="52"/>
      <c r="CM201" s="52"/>
      <c r="CN201" s="52"/>
      <c r="CO201" s="52"/>
      <c r="CP201" s="52"/>
      <c r="CQ201" s="52">
        <v>30652936</v>
      </c>
      <c r="CR201" s="52"/>
      <c r="CS201" s="52">
        <f t="shared" si="32"/>
        <v>489908376</v>
      </c>
      <c r="CT201" s="53">
        <v>245223488</v>
      </c>
      <c r="CU201" s="53">
        <f t="shared" si="33"/>
        <v>244684888</v>
      </c>
      <c r="CV201" s="54">
        <f t="shared" si="36"/>
        <v>489908376</v>
      </c>
      <c r="CW201" s="55">
        <f t="shared" si="37"/>
        <v>0</v>
      </c>
      <c r="CX201" s="16"/>
      <c r="CY201" s="16"/>
      <c r="CZ201" s="16"/>
    </row>
    <row r="202" spans="1:108" ht="15" customHeight="1" x14ac:dyDescent="0.2">
      <c r="A202" s="1">
        <v>8902062904</v>
      </c>
      <c r="B202" s="1">
        <v>890206290</v>
      </c>
      <c r="C202" s="9">
        <v>217668176</v>
      </c>
      <c r="D202" s="10" t="s">
        <v>827</v>
      </c>
      <c r="E202" s="46" t="s">
        <v>1842</v>
      </c>
      <c r="F202" s="21"/>
      <c r="G202" s="50"/>
      <c r="H202" s="21"/>
      <c r="I202" s="50"/>
      <c r="J202" s="21"/>
      <c r="K202" s="21"/>
      <c r="L202" s="50"/>
      <c r="M202" s="51"/>
      <c r="N202" s="21"/>
      <c r="O202" s="50"/>
      <c r="P202" s="21"/>
      <c r="Q202" s="50"/>
      <c r="R202" s="21"/>
      <c r="S202" s="21"/>
      <c r="T202" s="50"/>
      <c r="U202" s="51">
        <f t="shared" si="31"/>
        <v>0</v>
      </c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>
        <v>19147230</v>
      </c>
      <c r="AZ202" s="51"/>
      <c r="BA202" s="51">
        <f>VLOOKUP(B202,[1]Hoja3!J$3:K$674,2,0)</f>
        <v>35092485</v>
      </c>
      <c r="BB202" s="51"/>
      <c r="BC202" s="52">
        <f t="shared" si="34"/>
        <v>54239715</v>
      </c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>
        <v>3829446</v>
      </c>
      <c r="BO202" s="51"/>
      <c r="BP202" s="52">
        <v>58069161</v>
      </c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>
        <v>3829446</v>
      </c>
      <c r="CD202" s="52"/>
      <c r="CE202" s="52"/>
      <c r="CF202" s="52"/>
      <c r="CG202" s="52">
        <f t="shared" si="35"/>
        <v>61898607</v>
      </c>
      <c r="CH202" s="52"/>
      <c r="CI202" s="52"/>
      <c r="CJ202" s="52"/>
      <c r="CK202" s="52"/>
      <c r="CL202" s="52"/>
      <c r="CM202" s="52"/>
      <c r="CN202" s="52"/>
      <c r="CO202" s="52"/>
      <c r="CP202" s="52"/>
      <c r="CQ202" s="52">
        <v>3829446</v>
      </c>
      <c r="CR202" s="52"/>
      <c r="CS202" s="52">
        <f t="shared" si="32"/>
        <v>65728053</v>
      </c>
      <c r="CT202" s="53">
        <v>30635568</v>
      </c>
      <c r="CU202" s="53">
        <f t="shared" si="33"/>
        <v>35092485</v>
      </c>
      <c r="CV202" s="54">
        <f t="shared" si="36"/>
        <v>65728053</v>
      </c>
      <c r="CW202" s="55">
        <f t="shared" si="37"/>
        <v>0</v>
      </c>
      <c r="CX202" s="16"/>
      <c r="CY202" s="16"/>
      <c r="CZ202" s="8"/>
      <c r="DA202" s="8"/>
      <c r="DB202" s="8"/>
      <c r="DC202" s="8"/>
      <c r="DD202" s="8"/>
    </row>
    <row r="203" spans="1:108" ht="15" customHeight="1" x14ac:dyDescent="0.2">
      <c r="A203" s="1">
        <v>8923008151</v>
      </c>
      <c r="B203" s="1">
        <v>892300815</v>
      </c>
      <c r="C203" s="9">
        <v>217520175</v>
      </c>
      <c r="D203" s="10" t="s">
        <v>418</v>
      </c>
      <c r="E203" s="46" t="s">
        <v>1446</v>
      </c>
      <c r="F203" s="21"/>
      <c r="G203" s="50"/>
      <c r="H203" s="21"/>
      <c r="I203" s="50"/>
      <c r="J203" s="21"/>
      <c r="K203" s="21"/>
      <c r="L203" s="50"/>
      <c r="M203" s="51"/>
      <c r="N203" s="21"/>
      <c r="O203" s="50"/>
      <c r="P203" s="21"/>
      <c r="Q203" s="50"/>
      <c r="R203" s="21"/>
      <c r="S203" s="21"/>
      <c r="T203" s="50"/>
      <c r="U203" s="51">
        <f t="shared" si="31"/>
        <v>0</v>
      </c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>
        <v>433336935</v>
      </c>
      <c r="AZ203" s="51"/>
      <c r="BA203" s="51">
        <f>VLOOKUP(B203,[1]Hoja3!J$3:K$674,2,0)</f>
        <v>748431557</v>
      </c>
      <c r="BB203" s="51"/>
      <c r="BC203" s="52">
        <f t="shared" si="34"/>
        <v>1181768492</v>
      </c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>
        <v>86667387</v>
      </c>
      <c r="BO203" s="51"/>
      <c r="BP203" s="52">
        <v>1268435879</v>
      </c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>
        <v>86667387</v>
      </c>
      <c r="CD203" s="52"/>
      <c r="CE203" s="52"/>
      <c r="CF203" s="52"/>
      <c r="CG203" s="52">
        <f t="shared" si="35"/>
        <v>1355103266</v>
      </c>
      <c r="CH203" s="52"/>
      <c r="CI203" s="52"/>
      <c r="CJ203" s="52"/>
      <c r="CK203" s="52"/>
      <c r="CL203" s="52"/>
      <c r="CM203" s="52"/>
      <c r="CN203" s="52"/>
      <c r="CO203" s="52"/>
      <c r="CP203" s="52"/>
      <c r="CQ203" s="52">
        <v>86667387</v>
      </c>
      <c r="CR203" s="52"/>
      <c r="CS203" s="52">
        <f t="shared" si="32"/>
        <v>1441770653</v>
      </c>
      <c r="CT203" s="53">
        <v>693339096</v>
      </c>
      <c r="CU203" s="53">
        <f t="shared" si="33"/>
        <v>748431557</v>
      </c>
      <c r="CV203" s="54">
        <f t="shared" si="36"/>
        <v>1441770653</v>
      </c>
      <c r="CW203" s="55">
        <f t="shared" si="37"/>
        <v>0</v>
      </c>
      <c r="CX203" s="16"/>
      <c r="CY203" s="16"/>
      <c r="CZ203" s="16"/>
    </row>
    <row r="204" spans="1:108" ht="15" customHeight="1" x14ac:dyDescent="0.2">
      <c r="A204" s="1">
        <v>8905031060</v>
      </c>
      <c r="B204" s="1">
        <v>890503106</v>
      </c>
      <c r="C204" s="9">
        <v>217254172</v>
      </c>
      <c r="D204" s="10" t="s">
        <v>757</v>
      </c>
      <c r="E204" s="46" t="s">
        <v>1775</v>
      </c>
      <c r="F204" s="21"/>
      <c r="G204" s="50"/>
      <c r="H204" s="21"/>
      <c r="I204" s="50"/>
      <c r="J204" s="21"/>
      <c r="K204" s="21"/>
      <c r="L204" s="50"/>
      <c r="M204" s="51"/>
      <c r="N204" s="21"/>
      <c r="O204" s="50"/>
      <c r="P204" s="21"/>
      <c r="Q204" s="50"/>
      <c r="R204" s="21"/>
      <c r="S204" s="21"/>
      <c r="T204" s="50"/>
      <c r="U204" s="51">
        <f t="shared" si="31"/>
        <v>0</v>
      </c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>
        <v>90393645</v>
      </c>
      <c r="AZ204" s="51"/>
      <c r="BA204" s="51">
        <f>VLOOKUP(B204,[1]Hoja3!J$3:K$674,2,0)</f>
        <v>243011424</v>
      </c>
      <c r="BB204" s="51"/>
      <c r="BC204" s="52">
        <f t="shared" si="34"/>
        <v>333405069</v>
      </c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>
        <v>18078729</v>
      </c>
      <c r="BO204" s="51"/>
      <c r="BP204" s="52">
        <v>351483798</v>
      </c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>
        <v>18078729</v>
      </c>
      <c r="CD204" s="52"/>
      <c r="CE204" s="52"/>
      <c r="CF204" s="52"/>
      <c r="CG204" s="52">
        <f t="shared" si="35"/>
        <v>369562527</v>
      </c>
      <c r="CH204" s="52"/>
      <c r="CI204" s="52"/>
      <c r="CJ204" s="52"/>
      <c r="CK204" s="52"/>
      <c r="CL204" s="52"/>
      <c r="CM204" s="52"/>
      <c r="CN204" s="52"/>
      <c r="CO204" s="52"/>
      <c r="CP204" s="52"/>
      <c r="CQ204" s="52">
        <v>18078729</v>
      </c>
      <c r="CR204" s="52"/>
      <c r="CS204" s="52">
        <f t="shared" si="32"/>
        <v>387641256</v>
      </c>
      <c r="CT204" s="53">
        <v>144629832</v>
      </c>
      <c r="CU204" s="53">
        <f t="shared" si="33"/>
        <v>243011424</v>
      </c>
      <c r="CV204" s="54">
        <f t="shared" si="36"/>
        <v>387641256</v>
      </c>
      <c r="CW204" s="55">
        <f t="shared" si="37"/>
        <v>0</v>
      </c>
      <c r="CX204" s="16"/>
      <c r="CY204" s="16"/>
      <c r="CZ204" s="16"/>
    </row>
    <row r="205" spans="1:108" ht="15" customHeight="1" x14ac:dyDescent="0.2">
      <c r="A205" s="1">
        <v>8918013574</v>
      </c>
      <c r="B205" s="1">
        <v>891801357</v>
      </c>
      <c r="C205" s="9">
        <v>217215172</v>
      </c>
      <c r="D205" s="10" t="s">
        <v>231</v>
      </c>
      <c r="E205" s="46" t="s">
        <v>1267</v>
      </c>
      <c r="F205" s="21"/>
      <c r="G205" s="50"/>
      <c r="H205" s="21"/>
      <c r="I205" s="50"/>
      <c r="J205" s="21"/>
      <c r="K205" s="21"/>
      <c r="L205" s="50"/>
      <c r="M205" s="51"/>
      <c r="N205" s="21"/>
      <c r="O205" s="50"/>
      <c r="P205" s="21"/>
      <c r="Q205" s="50"/>
      <c r="R205" s="21"/>
      <c r="S205" s="21"/>
      <c r="T205" s="50"/>
      <c r="U205" s="51">
        <f t="shared" si="31"/>
        <v>0</v>
      </c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>
        <v>23591040</v>
      </c>
      <c r="AZ205" s="51"/>
      <c r="BA205" s="51">
        <f>VLOOKUP(B205,[1]Hoja3!J$3:K$674,2,0)</f>
        <v>43766281</v>
      </c>
      <c r="BB205" s="51"/>
      <c r="BC205" s="52">
        <f t="shared" si="34"/>
        <v>67357321</v>
      </c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>
        <v>4718208</v>
      </c>
      <c r="BO205" s="51"/>
      <c r="BP205" s="52">
        <v>72075529</v>
      </c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>
        <v>4718208</v>
      </c>
      <c r="CD205" s="52"/>
      <c r="CE205" s="52"/>
      <c r="CF205" s="52"/>
      <c r="CG205" s="52">
        <f t="shared" si="35"/>
        <v>76793737</v>
      </c>
      <c r="CH205" s="52"/>
      <c r="CI205" s="52"/>
      <c r="CJ205" s="52"/>
      <c r="CK205" s="52"/>
      <c r="CL205" s="52"/>
      <c r="CM205" s="52"/>
      <c r="CN205" s="52"/>
      <c r="CO205" s="52"/>
      <c r="CP205" s="52"/>
      <c r="CQ205" s="52">
        <v>4718208</v>
      </c>
      <c r="CR205" s="52"/>
      <c r="CS205" s="52">
        <f t="shared" si="32"/>
        <v>81511945</v>
      </c>
      <c r="CT205" s="53">
        <v>37745664</v>
      </c>
      <c r="CU205" s="53">
        <f t="shared" si="33"/>
        <v>43766281</v>
      </c>
      <c r="CV205" s="54">
        <f t="shared" si="36"/>
        <v>81511945</v>
      </c>
      <c r="CW205" s="55">
        <f t="shared" si="37"/>
        <v>0</v>
      </c>
      <c r="CX205" s="16"/>
      <c r="CY205" s="16"/>
      <c r="CZ205" s="8"/>
      <c r="DA205" s="8"/>
      <c r="DB205" s="8"/>
      <c r="DC205" s="8"/>
      <c r="DD205" s="8"/>
    </row>
    <row r="206" spans="1:108" ht="15" customHeight="1" x14ac:dyDescent="0.2">
      <c r="A206" s="1">
        <v>8908011338</v>
      </c>
      <c r="B206" s="1">
        <v>890801133</v>
      </c>
      <c r="C206" s="9">
        <v>217417174</v>
      </c>
      <c r="D206" s="10" t="s">
        <v>340</v>
      </c>
      <c r="E206" s="46" t="s">
        <v>1371</v>
      </c>
      <c r="F206" s="21"/>
      <c r="G206" s="50"/>
      <c r="H206" s="21"/>
      <c r="I206" s="50"/>
      <c r="J206" s="21"/>
      <c r="K206" s="21"/>
      <c r="L206" s="50"/>
      <c r="M206" s="51"/>
      <c r="N206" s="21"/>
      <c r="O206" s="50"/>
      <c r="P206" s="21"/>
      <c r="Q206" s="50"/>
      <c r="R206" s="21"/>
      <c r="S206" s="21"/>
      <c r="T206" s="50"/>
      <c r="U206" s="51">
        <f t="shared" si="31"/>
        <v>0</v>
      </c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>
        <v>601237849</v>
      </c>
      <c r="AN206" s="51">
        <f>SUBTOTAL(9,AC206:AM206)</f>
        <v>601237849</v>
      </c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>
        <v>308574615</v>
      </c>
      <c r="AZ206" s="51"/>
      <c r="BA206" s="51"/>
      <c r="BB206" s="51"/>
      <c r="BC206" s="52">
        <f t="shared" si="34"/>
        <v>909812464</v>
      </c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>
        <v>61714923</v>
      </c>
      <c r="BO206" s="51"/>
      <c r="BP206" s="52">
        <v>971527387</v>
      </c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>
        <v>61714923</v>
      </c>
      <c r="CD206" s="52"/>
      <c r="CE206" s="52"/>
      <c r="CF206" s="52"/>
      <c r="CG206" s="52">
        <f t="shared" si="35"/>
        <v>1033242310</v>
      </c>
      <c r="CH206" s="52"/>
      <c r="CI206" s="52"/>
      <c r="CJ206" s="52"/>
      <c r="CK206" s="52"/>
      <c r="CL206" s="52"/>
      <c r="CM206" s="52"/>
      <c r="CN206" s="52"/>
      <c r="CO206" s="52"/>
      <c r="CP206" s="52"/>
      <c r="CQ206" s="52">
        <v>61714923</v>
      </c>
      <c r="CR206" s="52"/>
      <c r="CS206" s="52">
        <f t="shared" si="32"/>
        <v>1094957233</v>
      </c>
      <c r="CT206" s="53">
        <v>493719384</v>
      </c>
      <c r="CU206" s="53">
        <f t="shared" si="33"/>
        <v>601237849</v>
      </c>
      <c r="CV206" s="54">
        <f t="shared" si="36"/>
        <v>1094957233</v>
      </c>
      <c r="CW206" s="55">
        <f t="shared" si="37"/>
        <v>0</v>
      </c>
      <c r="CX206" s="16"/>
      <c r="CY206" s="16"/>
      <c r="CZ206" s="16"/>
    </row>
    <row r="207" spans="1:108" ht="15" customHeight="1" x14ac:dyDescent="0.2">
      <c r="A207" s="1">
        <v>8000967531</v>
      </c>
      <c r="B207" s="1">
        <v>800096753</v>
      </c>
      <c r="C207" s="9">
        <v>218223182</v>
      </c>
      <c r="D207" s="10" t="s">
        <v>442</v>
      </c>
      <c r="E207" s="46" t="s">
        <v>1469</v>
      </c>
      <c r="F207" s="21"/>
      <c r="G207" s="50"/>
      <c r="H207" s="21"/>
      <c r="I207" s="50"/>
      <c r="J207" s="21"/>
      <c r="K207" s="21"/>
      <c r="L207" s="50"/>
      <c r="M207" s="51"/>
      <c r="N207" s="21"/>
      <c r="O207" s="50"/>
      <c r="P207" s="21"/>
      <c r="Q207" s="50"/>
      <c r="R207" s="21"/>
      <c r="S207" s="21"/>
      <c r="T207" s="50"/>
      <c r="U207" s="51">
        <f t="shared" si="31"/>
        <v>0</v>
      </c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>
        <v>340789518</v>
      </c>
      <c r="AN207" s="51">
        <f>SUBTOTAL(9,AC207:AM207)</f>
        <v>340789518</v>
      </c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>
        <f>VLOOKUP(B207,[1]Hoja3!J$3:K$674,2,0)</f>
        <v>109089339</v>
      </c>
      <c r="BB207" s="51"/>
      <c r="BC207" s="52">
        <f t="shared" si="34"/>
        <v>449878857</v>
      </c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>
        <v>79072324</v>
      </c>
      <c r="BO207" s="51"/>
      <c r="BP207" s="52">
        <v>528951181</v>
      </c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>
        <v>79072324</v>
      </c>
      <c r="CD207" s="52">
        <v>395361620</v>
      </c>
      <c r="CE207" s="52"/>
      <c r="CF207" s="52"/>
      <c r="CG207" s="52">
        <f t="shared" si="35"/>
        <v>1003385125</v>
      </c>
      <c r="CH207" s="52"/>
      <c r="CI207" s="52"/>
      <c r="CJ207" s="52"/>
      <c r="CK207" s="52"/>
      <c r="CL207" s="52"/>
      <c r="CM207" s="52"/>
      <c r="CN207" s="52"/>
      <c r="CO207" s="52"/>
      <c r="CP207" s="52"/>
      <c r="CQ207" s="52">
        <v>79072324</v>
      </c>
      <c r="CR207" s="52"/>
      <c r="CS207" s="52">
        <f t="shared" si="32"/>
        <v>1082457449</v>
      </c>
      <c r="CT207" s="53">
        <v>632578592</v>
      </c>
      <c r="CU207" s="53">
        <f t="shared" si="33"/>
        <v>449878857</v>
      </c>
      <c r="CV207" s="54">
        <f t="shared" si="36"/>
        <v>1082457449</v>
      </c>
      <c r="CW207" s="55">
        <f t="shared" si="37"/>
        <v>0</v>
      </c>
      <c r="CX207" s="16"/>
      <c r="CY207" s="16"/>
      <c r="CZ207" s="16"/>
    </row>
    <row r="208" spans="1:108" ht="15" customHeight="1" x14ac:dyDescent="0.2">
      <c r="A208" s="1">
        <v>8999994675</v>
      </c>
      <c r="B208" s="1">
        <v>899999467</v>
      </c>
      <c r="C208" s="9">
        <v>217825178</v>
      </c>
      <c r="D208" s="10" t="s">
        <v>476</v>
      </c>
      <c r="E208" s="46" t="s">
        <v>1502</v>
      </c>
      <c r="F208" s="21"/>
      <c r="G208" s="50"/>
      <c r="H208" s="21"/>
      <c r="I208" s="50"/>
      <c r="J208" s="21"/>
      <c r="K208" s="21"/>
      <c r="L208" s="50"/>
      <c r="M208" s="51"/>
      <c r="N208" s="21"/>
      <c r="O208" s="50"/>
      <c r="P208" s="21"/>
      <c r="Q208" s="50"/>
      <c r="R208" s="21"/>
      <c r="S208" s="21"/>
      <c r="T208" s="50"/>
      <c r="U208" s="51">
        <f t="shared" si="31"/>
        <v>0</v>
      </c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>
        <v>148037076</v>
      </c>
      <c r="AN208" s="51">
        <f>SUBTOTAL(9,AC208:AM208)</f>
        <v>148037076</v>
      </c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>
        <v>52863030</v>
      </c>
      <c r="AZ208" s="51"/>
      <c r="BA208" s="51"/>
      <c r="BB208" s="51"/>
      <c r="BC208" s="52">
        <f t="shared" si="34"/>
        <v>200900106</v>
      </c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>
        <v>10572606</v>
      </c>
      <c r="BO208" s="51"/>
      <c r="BP208" s="52">
        <v>211472712</v>
      </c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>
        <v>10572606</v>
      </c>
      <c r="CD208" s="52"/>
      <c r="CE208" s="52"/>
      <c r="CF208" s="52"/>
      <c r="CG208" s="52">
        <f t="shared" si="35"/>
        <v>222045318</v>
      </c>
      <c r="CH208" s="52"/>
      <c r="CI208" s="52"/>
      <c r="CJ208" s="52"/>
      <c r="CK208" s="52"/>
      <c r="CL208" s="52"/>
      <c r="CM208" s="52"/>
      <c r="CN208" s="52"/>
      <c r="CO208" s="52"/>
      <c r="CP208" s="52"/>
      <c r="CQ208" s="52">
        <v>10572606</v>
      </c>
      <c r="CR208" s="52"/>
      <c r="CS208" s="52">
        <f t="shared" si="32"/>
        <v>232617924</v>
      </c>
      <c r="CT208" s="53">
        <v>84580848</v>
      </c>
      <c r="CU208" s="53">
        <f t="shared" si="33"/>
        <v>148037076</v>
      </c>
      <c r="CV208" s="54">
        <f t="shared" si="36"/>
        <v>232617924</v>
      </c>
      <c r="CW208" s="55">
        <f t="shared" si="37"/>
        <v>0</v>
      </c>
      <c r="CX208" s="16"/>
      <c r="CY208" s="16"/>
      <c r="CZ208" s="16"/>
    </row>
    <row r="209" spans="1:108" ht="15" customHeight="1" x14ac:dyDescent="0.2">
      <c r="A209" s="1">
        <v>8902080985</v>
      </c>
      <c r="B209" s="1">
        <v>890208098</v>
      </c>
      <c r="C209" s="9">
        <v>217968179</v>
      </c>
      <c r="D209" s="10" t="s">
        <v>828</v>
      </c>
      <c r="E209" s="46" t="s">
        <v>1843</v>
      </c>
      <c r="F209" s="21"/>
      <c r="G209" s="50"/>
      <c r="H209" s="21"/>
      <c r="I209" s="50"/>
      <c r="J209" s="21"/>
      <c r="K209" s="21"/>
      <c r="L209" s="50"/>
      <c r="M209" s="51"/>
      <c r="N209" s="21"/>
      <c r="O209" s="50"/>
      <c r="P209" s="21"/>
      <c r="Q209" s="50"/>
      <c r="R209" s="21"/>
      <c r="S209" s="21"/>
      <c r="T209" s="50"/>
      <c r="U209" s="51">
        <f t="shared" si="31"/>
        <v>0</v>
      </c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>
        <v>26967200</v>
      </c>
      <c r="AZ209" s="51"/>
      <c r="BA209" s="51">
        <f>VLOOKUP(B209,[1]Hoja3!J$3:K$674,2,0)</f>
        <v>59174324</v>
      </c>
      <c r="BB209" s="51"/>
      <c r="BC209" s="52">
        <f t="shared" si="34"/>
        <v>86141524</v>
      </c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>
        <v>5393440</v>
      </c>
      <c r="BO209" s="51"/>
      <c r="BP209" s="52">
        <v>91534964</v>
      </c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>
        <v>5393440</v>
      </c>
      <c r="CD209" s="52"/>
      <c r="CE209" s="52"/>
      <c r="CF209" s="52"/>
      <c r="CG209" s="52">
        <f t="shared" si="35"/>
        <v>96928404</v>
      </c>
      <c r="CH209" s="52"/>
      <c r="CI209" s="52"/>
      <c r="CJ209" s="52"/>
      <c r="CK209" s="52"/>
      <c r="CL209" s="52"/>
      <c r="CM209" s="52"/>
      <c r="CN209" s="52"/>
      <c r="CO209" s="52"/>
      <c r="CP209" s="52"/>
      <c r="CQ209" s="52">
        <v>5393440</v>
      </c>
      <c r="CR209" s="52"/>
      <c r="CS209" s="52">
        <f t="shared" si="32"/>
        <v>102321844</v>
      </c>
      <c r="CT209" s="53">
        <v>43147520</v>
      </c>
      <c r="CU209" s="53">
        <f t="shared" si="33"/>
        <v>59174324</v>
      </c>
      <c r="CV209" s="54">
        <f t="shared" si="36"/>
        <v>102321844</v>
      </c>
      <c r="CW209" s="55">
        <f t="shared" si="37"/>
        <v>0</v>
      </c>
      <c r="CX209" s="16"/>
      <c r="CY209" s="16"/>
      <c r="CZ209" s="16"/>
    </row>
    <row r="210" spans="1:108" ht="15" customHeight="1" x14ac:dyDescent="0.2">
      <c r="A210" s="1">
        <v>8918004750</v>
      </c>
      <c r="B210" s="1">
        <v>891800475</v>
      </c>
      <c r="C210" s="9">
        <v>217615176</v>
      </c>
      <c r="D210" s="10" t="s">
        <v>232</v>
      </c>
      <c r="E210" s="46" t="s">
        <v>1268</v>
      </c>
      <c r="F210" s="21"/>
      <c r="G210" s="50"/>
      <c r="H210" s="21"/>
      <c r="I210" s="50"/>
      <c r="J210" s="21"/>
      <c r="K210" s="21"/>
      <c r="L210" s="50"/>
      <c r="M210" s="51"/>
      <c r="N210" s="21"/>
      <c r="O210" s="50"/>
      <c r="P210" s="21"/>
      <c r="Q210" s="50"/>
      <c r="R210" s="21"/>
      <c r="S210" s="21"/>
      <c r="T210" s="50"/>
      <c r="U210" s="51">
        <f t="shared" si="31"/>
        <v>0</v>
      </c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>
        <v>769196030</v>
      </c>
      <c r="AN210" s="51">
        <f>SUBTOTAL(9,AC210:AM210)</f>
        <v>769196030</v>
      </c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>
        <v>367168025</v>
      </c>
      <c r="AZ210" s="51"/>
      <c r="BA210" s="51"/>
      <c r="BB210" s="51"/>
      <c r="BC210" s="52">
        <f t="shared" si="34"/>
        <v>1136364055</v>
      </c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>
        <v>73433605</v>
      </c>
      <c r="BO210" s="51"/>
      <c r="BP210" s="52">
        <v>1209797660</v>
      </c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>
        <v>73433605</v>
      </c>
      <c r="CD210" s="52"/>
      <c r="CE210" s="52"/>
      <c r="CF210" s="52"/>
      <c r="CG210" s="52">
        <f t="shared" si="35"/>
        <v>1283231265</v>
      </c>
      <c r="CH210" s="52"/>
      <c r="CI210" s="52"/>
      <c r="CJ210" s="52"/>
      <c r="CK210" s="52"/>
      <c r="CL210" s="52"/>
      <c r="CM210" s="52"/>
      <c r="CN210" s="52"/>
      <c r="CO210" s="52"/>
      <c r="CP210" s="52"/>
      <c r="CQ210" s="52">
        <v>73433605</v>
      </c>
      <c r="CR210" s="52"/>
      <c r="CS210" s="52">
        <f t="shared" si="32"/>
        <v>1356664870</v>
      </c>
      <c r="CT210" s="53">
        <v>587468840</v>
      </c>
      <c r="CU210" s="53">
        <f t="shared" si="33"/>
        <v>769196030</v>
      </c>
      <c r="CV210" s="54">
        <f t="shared" si="36"/>
        <v>1356664870</v>
      </c>
      <c r="CW210" s="55">
        <f t="shared" si="37"/>
        <v>0</v>
      </c>
      <c r="CX210" s="16"/>
      <c r="CY210" s="16"/>
      <c r="CZ210" s="8"/>
      <c r="DA210" s="8"/>
      <c r="DB210" s="8"/>
      <c r="DC210" s="8"/>
      <c r="DD210" s="8"/>
    </row>
    <row r="211" spans="1:108" ht="15" customHeight="1" x14ac:dyDescent="0.2">
      <c r="A211" s="1">
        <v>8000997234</v>
      </c>
      <c r="B211" s="1">
        <v>800099723</v>
      </c>
      <c r="C211" s="9">
        <v>213215232</v>
      </c>
      <c r="D211" s="10" t="s">
        <v>245</v>
      </c>
      <c r="E211" s="46" t="s">
        <v>1280</v>
      </c>
      <c r="F211" s="21"/>
      <c r="G211" s="50"/>
      <c r="H211" s="21"/>
      <c r="I211" s="50"/>
      <c r="J211" s="21"/>
      <c r="K211" s="21"/>
      <c r="L211" s="50"/>
      <c r="M211" s="51"/>
      <c r="N211" s="21"/>
      <c r="O211" s="50"/>
      <c r="P211" s="21"/>
      <c r="Q211" s="50"/>
      <c r="R211" s="21"/>
      <c r="S211" s="21"/>
      <c r="T211" s="50"/>
      <c r="U211" s="51">
        <f t="shared" si="31"/>
        <v>0</v>
      </c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>
        <v>77112347</v>
      </c>
      <c r="AN211" s="51">
        <f>SUBTOTAL(9,AC211:AM211)</f>
        <v>77112347</v>
      </c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>
        <v>40431950</v>
      </c>
      <c r="AZ211" s="51"/>
      <c r="BA211" s="51"/>
      <c r="BB211" s="51"/>
      <c r="BC211" s="52">
        <f t="shared" si="34"/>
        <v>117544297</v>
      </c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>
        <v>8086390</v>
      </c>
      <c r="BO211" s="51"/>
      <c r="BP211" s="52">
        <v>125630687</v>
      </c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>
        <v>8086390</v>
      </c>
      <c r="CD211" s="52"/>
      <c r="CE211" s="52"/>
      <c r="CF211" s="52"/>
      <c r="CG211" s="52">
        <f t="shared" si="35"/>
        <v>133717077</v>
      </c>
      <c r="CH211" s="52"/>
      <c r="CI211" s="52"/>
      <c r="CJ211" s="52"/>
      <c r="CK211" s="52"/>
      <c r="CL211" s="52"/>
      <c r="CM211" s="52"/>
      <c r="CN211" s="52"/>
      <c r="CO211" s="52"/>
      <c r="CP211" s="52"/>
      <c r="CQ211" s="52">
        <v>8086390</v>
      </c>
      <c r="CR211" s="52"/>
      <c r="CS211" s="52">
        <f t="shared" si="32"/>
        <v>141803467</v>
      </c>
      <c r="CT211" s="53">
        <v>64691120</v>
      </c>
      <c r="CU211" s="53">
        <f t="shared" si="33"/>
        <v>77112347</v>
      </c>
      <c r="CV211" s="54">
        <f t="shared" si="36"/>
        <v>141803467</v>
      </c>
      <c r="CW211" s="55">
        <f t="shared" si="37"/>
        <v>0</v>
      </c>
      <c r="CX211" s="16"/>
      <c r="CY211" s="16"/>
      <c r="CZ211" s="8"/>
      <c r="DA211" s="8"/>
      <c r="DB211" s="8"/>
      <c r="DC211" s="8"/>
      <c r="DD211" s="8"/>
    </row>
    <row r="212" spans="1:108" ht="15" customHeight="1" x14ac:dyDescent="0.2">
      <c r="A212" s="1">
        <v>8000965850</v>
      </c>
      <c r="B212" s="1">
        <v>800096585</v>
      </c>
      <c r="C212" s="9">
        <v>217820178</v>
      </c>
      <c r="D212" s="10" t="s">
        <v>419</v>
      </c>
      <c r="E212" s="46" t="s">
        <v>1447</v>
      </c>
      <c r="F212" s="21"/>
      <c r="G212" s="50"/>
      <c r="H212" s="21"/>
      <c r="I212" s="50"/>
      <c r="J212" s="21"/>
      <c r="K212" s="21"/>
      <c r="L212" s="50"/>
      <c r="M212" s="51"/>
      <c r="N212" s="21"/>
      <c r="O212" s="50"/>
      <c r="P212" s="21"/>
      <c r="Q212" s="50"/>
      <c r="R212" s="21"/>
      <c r="S212" s="21"/>
      <c r="T212" s="50"/>
      <c r="U212" s="51">
        <f t="shared" si="31"/>
        <v>0</v>
      </c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>
        <f>VLOOKUP(B212,[1]Hoja3!J$3:K$674,2,0)</f>
        <v>496028409</v>
      </c>
      <c r="BB212" s="51"/>
      <c r="BC212" s="52">
        <f t="shared" si="34"/>
        <v>496028409</v>
      </c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>
        <v>0</v>
      </c>
      <c r="BO212" s="51"/>
      <c r="BP212" s="52">
        <v>496028409</v>
      </c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>
        <v>363250349</v>
      </c>
      <c r="CD212" s="52"/>
      <c r="CE212" s="52"/>
      <c r="CF212" s="52"/>
      <c r="CG212" s="52">
        <f t="shared" si="35"/>
        <v>859278758</v>
      </c>
      <c r="CH212" s="52"/>
      <c r="CI212" s="52"/>
      <c r="CJ212" s="52"/>
      <c r="CK212" s="52"/>
      <c r="CL212" s="52"/>
      <c r="CM212" s="52"/>
      <c r="CN212" s="52"/>
      <c r="CO212" s="52"/>
      <c r="CP212" s="52"/>
      <c r="CQ212" s="52">
        <v>51892907</v>
      </c>
      <c r="CR212" s="52"/>
      <c r="CS212" s="52">
        <f t="shared" si="32"/>
        <v>911171665</v>
      </c>
      <c r="CT212" s="53">
        <v>415143256</v>
      </c>
      <c r="CU212" s="53">
        <f t="shared" si="33"/>
        <v>496028409</v>
      </c>
      <c r="CV212" s="54">
        <f t="shared" si="36"/>
        <v>911171665</v>
      </c>
      <c r="CW212" s="55">
        <f t="shared" si="37"/>
        <v>0</v>
      </c>
      <c r="CX212" s="16"/>
      <c r="CY212" s="16"/>
      <c r="CZ212" s="16"/>
    </row>
    <row r="213" spans="1:108" ht="15" customHeight="1" x14ac:dyDescent="0.2">
      <c r="A213" s="1">
        <v>8000748599</v>
      </c>
      <c r="B213" s="1">
        <v>800074859</v>
      </c>
      <c r="C213" s="9">
        <v>218015180</v>
      </c>
      <c r="D213" s="10" t="s">
        <v>233</v>
      </c>
      <c r="E213" s="46" t="s">
        <v>1269</v>
      </c>
      <c r="F213" s="21"/>
      <c r="G213" s="50"/>
      <c r="H213" s="21"/>
      <c r="I213" s="50"/>
      <c r="J213" s="21"/>
      <c r="K213" s="21"/>
      <c r="L213" s="50"/>
      <c r="M213" s="51"/>
      <c r="N213" s="21"/>
      <c r="O213" s="50"/>
      <c r="P213" s="21"/>
      <c r="Q213" s="50"/>
      <c r="R213" s="21"/>
      <c r="S213" s="21"/>
      <c r="T213" s="50"/>
      <c r="U213" s="51">
        <f t="shared" si="31"/>
        <v>0</v>
      </c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>
        <v>38167855</v>
      </c>
      <c r="AZ213" s="51"/>
      <c r="BA213" s="51">
        <f>VLOOKUP(B213,[1]Hoja3!J$3:K$674,2,0)</f>
        <v>60490923</v>
      </c>
      <c r="BB213" s="51"/>
      <c r="BC213" s="52">
        <f t="shared" si="34"/>
        <v>98658778</v>
      </c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>
        <v>7633571</v>
      </c>
      <c r="BO213" s="51"/>
      <c r="BP213" s="52">
        <v>106292349</v>
      </c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>
        <v>7633571</v>
      </c>
      <c r="CD213" s="52"/>
      <c r="CE213" s="52"/>
      <c r="CF213" s="52"/>
      <c r="CG213" s="52">
        <f t="shared" si="35"/>
        <v>113925920</v>
      </c>
      <c r="CH213" s="52"/>
      <c r="CI213" s="52"/>
      <c r="CJ213" s="52"/>
      <c r="CK213" s="52"/>
      <c r="CL213" s="52"/>
      <c r="CM213" s="52"/>
      <c r="CN213" s="52"/>
      <c r="CO213" s="52"/>
      <c r="CP213" s="52"/>
      <c r="CQ213" s="52">
        <v>7633571</v>
      </c>
      <c r="CR213" s="52"/>
      <c r="CS213" s="52">
        <f t="shared" si="32"/>
        <v>121559491</v>
      </c>
      <c r="CT213" s="53">
        <v>61068568</v>
      </c>
      <c r="CU213" s="53">
        <f t="shared" si="33"/>
        <v>60490923</v>
      </c>
      <c r="CV213" s="54">
        <f t="shared" si="36"/>
        <v>121559491</v>
      </c>
      <c r="CW213" s="55">
        <f t="shared" si="37"/>
        <v>0</v>
      </c>
      <c r="CX213" s="16"/>
      <c r="CY213" s="16"/>
      <c r="CZ213" s="8"/>
      <c r="DA213" s="8"/>
      <c r="DB213" s="8"/>
      <c r="DC213" s="8"/>
      <c r="DD213" s="8"/>
    </row>
    <row r="214" spans="1:108" ht="15" customHeight="1" x14ac:dyDescent="0.2">
      <c r="A214" s="1">
        <v>8918019620</v>
      </c>
      <c r="B214" s="1">
        <v>891801962</v>
      </c>
      <c r="C214" s="9">
        <v>218315183</v>
      </c>
      <c r="D214" s="10" t="s">
        <v>234</v>
      </c>
      <c r="E214" s="46" t="s">
        <v>1270</v>
      </c>
      <c r="F214" s="21"/>
      <c r="G214" s="50"/>
      <c r="H214" s="21"/>
      <c r="I214" s="50"/>
      <c r="J214" s="21"/>
      <c r="K214" s="21"/>
      <c r="L214" s="50"/>
      <c r="M214" s="51"/>
      <c r="N214" s="21"/>
      <c r="O214" s="50"/>
      <c r="P214" s="21"/>
      <c r="Q214" s="50"/>
      <c r="R214" s="21"/>
      <c r="S214" s="21"/>
      <c r="T214" s="50"/>
      <c r="U214" s="51">
        <f t="shared" si="31"/>
        <v>0</v>
      </c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>
        <v>131619755</v>
      </c>
      <c r="AZ214" s="51"/>
      <c r="BA214" s="51">
        <f>VLOOKUP(B214,[1]Hoja3!J$3:K$674,2,0)</f>
        <v>163738881</v>
      </c>
      <c r="BB214" s="51"/>
      <c r="BC214" s="52">
        <f t="shared" si="34"/>
        <v>295358636</v>
      </c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>
        <v>26323951</v>
      </c>
      <c r="BO214" s="51"/>
      <c r="BP214" s="52">
        <v>321682587</v>
      </c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>
        <v>26323951</v>
      </c>
      <c r="CD214" s="52"/>
      <c r="CE214" s="52"/>
      <c r="CF214" s="52"/>
      <c r="CG214" s="52">
        <f t="shared" si="35"/>
        <v>348006538</v>
      </c>
      <c r="CH214" s="52"/>
      <c r="CI214" s="52"/>
      <c r="CJ214" s="52"/>
      <c r="CK214" s="52"/>
      <c r="CL214" s="52"/>
      <c r="CM214" s="52"/>
      <c r="CN214" s="52"/>
      <c r="CO214" s="52"/>
      <c r="CP214" s="52"/>
      <c r="CQ214" s="52">
        <v>26323951</v>
      </c>
      <c r="CR214" s="52"/>
      <c r="CS214" s="52">
        <f t="shared" si="32"/>
        <v>374330489</v>
      </c>
      <c r="CT214" s="53">
        <v>210591608</v>
      </c>
      <c r="CU214" s="53">
        <f t="shared" si="33"/>
        <v>163738881</v>
      </c>
      <c r="CV214" s="54">
        <f t="shared" si="36"/>
        <v>374330489</v>
      </c>
      <c r="CW214" s="55">
        <f t="shared" si="37"/>
        <v>0</v>
      </c>
      <c r="CX214" s="16"/>
      <c r="CY214" s="16"/>
      <c r="CZ214" s="8"/>
      <c r="DA214" s="8"/>
      <c r="DB214" s="8"/>
      <c r="DC214" s="8"/>
      <c r="DD214" s="8"/>
    </row>
    <row r="215" spans="1:108" ht="15" customHeight="1" x14ac:dyDescent="0.2">
      <c r="A215" s="1">
        <v>8905014224</v>
      </c>
      <c r="B215" s="1">
        <v>890501422</v>
      </c>
      <c r="C215" s="9">
        <v>217454174</v>
      </c>
      <c r="D215" s="10" t="s">
        <v>758</v>
      </c>
      <c r="E215" s="46" t="s">
        <v>1776</v>
      </c>
      <c r="F215" s="21"/>
      <c r="G215" s="50"/>
      <c r="H215" s="21"/>
      <c r="I215" s="50"/>
      <c r="J215" s="21"/>
      <c r="K215" s="21"/>
      <c r="L215" s="50"/>
      <c r="M215" s="51"/>
      <c r="N215" s="21"/>
      <c r="O215" s="50"/>
      <c r="P215" s="21"/>
      <c r="Q215" s="50"/>
      <c r="R215" s="21"/>
      <c r="S215" s="21"/>
      <c r="T215" s="50"/>
      <c r="U215" s="51">
        <f t="shared" si="31"/>
        <v>0</v>
      </c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>
        <v>86056230</v>
      </c>
      <c r="AZ215" s="51"/>
      <c r="BA215" s="51">
        <f>VLOOKUP(B215,[1]Hoja3!J$3:K$674,2,0)</f>
        <v>154679638</v>
      </c>
      <c r="BB215" s="51"/>
      <c r="BC215" s="52">
        <f t="shared" si="34"/>
        <v>240735868</v>
      </c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>
        <v>17211246</v>
      </c>
      <c r="BO215" s="51"/>
      <c r="BP215" s="52">
        <v>257947114</v>
      </c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>
        <v>17211246</v>
      </c>
      <c r="CD215" s="52"/>
      <c r="CE215" s="52"/>
      <c r="CF215" s="52"/>
      <c r="CG215" s="52">
        <f t="shared" si="35"/>
        <v>275158360</v>
      </c>
      <c r="CH215" s="52"/>
      <c r="CI215" s="52"/>
      <c r="CJ215" s="52"/>
      <c r="CK215" s="52"/>
      <c r="CL215" s="52"/>
      <c r="CM215" s="52"/>
      <c r="CN215" s="52"/>
      <c r="CO215" s="52"/>
      <c r="CP215" s="52"/>
      <c r="CQ215" s="52">
        <v>17211246</v>
      </c>
      <c r="CR215" s="52"/>
      <c r="CS215" s="52">
        <f t="shared" si="32"/>
        <v>292369606</v>
      </c>
      <c r="CT215" s="53">
        <v>137689968</v>
      </c>
      <c r="CU215" s="53">
        <f t="shared" si="33"/>
        <v>154679638</v>
      </c>
      <c r="CV215" s="54">
        <f t="shared" si="36"/>
        <v>292369606</v>
      </c>
      <c r="CW215" s="55">
        <f t="shared" si="37"/>
        <v>0</v>
      </c>
      <c r="CX215" s="16"/>
      <c r="CY215" s="16"/>
      <c r="CZ215" s="16"/>
    </row>
    <row r="216" spans="1:108" ht="15" customHeight="1" x14ac:dyDescent="0.2">
      <c r="A216" s="1">
        <v>8000344760</v>
      </c>
      <c r="B216" s="1">
        <v>800034476</v>
      </c>
      <c r="C216" s="9">
        <v>218515185</v>
      </c>
      <c r="D216" s="10" t="s">
        <v>235</v>
      </c>
      <c r="E216" s="46" t="s">
        <v>1271</v>
      </c>
      <c r="F216" s="21"/>
      <c r="G216" s="50"/>
      <c r="H216" s="21"/>
      <c r="I216" s="50"/>
      <c r="J216" s="21"/>
      <c r="K216" s="21"/>
      <c r="L216" s="50"/>
      <c r="M216" s="51"/>
      <c r="N216" s="21"/>
      <c r="O216" s="50"/>
      <c r="P216" s="21"/>
      <c r="Q216" s="50"/>
      <c r="R216" s="21"/>
      <c r="S216" s="21"/>
      <c r="T216" s="50"/>
      <c r="U216" s="51">
        <f t="shared" si="31"/>
        <v>0</v>
      </c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>
        <f>VLOOKUP(B216,[1]Hoja3!J$3:K$674,2,0)</f>
        <v>78856077</v>
      </c>
      <c r="BB216" s="51"/>
      <c r="BC216" s="52">
        <f t="shared" si="34"/>
        <v>78856077</v>
      </c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>
        <v>10434441</v>
      </c>
      <c r="BO216" s="51"/>
      <c r="BP216" s="52">
        <v>89290518</v>
      </c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>
        <v>10434441</v>
      </c>
      <c r="CD216" s="52">
        <v>52172205</v>
      </c>
      <c r="CE216" s="52"/>
      <c r="CF216" s="52"/>
      <c r="CG216" s="52">
        <f t="shared" si="35"/>
        <v>151897164</v>
      </c>
      <c r="CH216" s="52"/>
      <c r="CI216" s="52"/>
      <c r="CJ216" s="52"/>
      <c r="CK216" s="52"/>
      <c r="CL216" s="52"/>
      <c r="CM216" s="52"/>
      <c r="CN216" s="52"/>
      <c r="CO216" s="52"/>
      <c r="CP216" s="52"/>
      <c r="CQ216" s="52">
        <v>10434441</v>
      </c>
      <c r="CR216" s="52"/>
      <c r="CS216" s="52">
        <f t="shared" si="32"/>
        <v>162331605</v>
      </c>
      <c r="CT216" s="53">
        <v>83475528</v>
      </c>
      <c r="CU216" s="53">
        <f t="shared" si="33"/>
        <v>78856077</v>
      </c>
      <c r="CV216" s="54">
        <f t="shared" si="36"/>
        <v>162331605</v>
      </c>
      <c r="CW216" s="55">
        <f t="shared" si="37"/>
        <v>0</v>
      </c>
      <c r="CX216" s="16"/>
      <c r="CY216" s="16"/>
      <c r="CZ216" s="8"/>
      <c r="DA216" s="8"/>
      <c r="DB216" s="8"/>
      <c r="DC216" s="8"/>
      <c r="DD216" s="8"/>
    </row>
    <row r="217" spans="1:108" ht="15" customHeight="1" x14ac:dyDescent="0.2">
      <c r="A217" s="1">
        <v>8000149891</v>
      </c>
      <c r="B217" s="1">
        <v>800014989</v>
      </c>
      <c r="C217" s="9">
        <v>218715187</v>
      </c>
      <c r="D217" s="10" t="s">
        <v>236</v>
      </c>
      <c r="E217" s="46" t="s">
        <v>1272</v>
      </c>
      <c r="F217" s="21"/>
      <c r="G217" s="50"/>
      <c r="H217" s="21"/>
      <c r="I217" s="50"/>
      <c r="J217" s="21"/>
      <c r="K217" s="21"/>
      <c r="L217" s="50"/>
      <c r="M217" s="51"/>
      <c r="N217" s="21"/>
      <c r="O217" s="50"/>
      <c r="P217" s="21"/>
      <c r="Q217" s="50"/>
      <c r="R217" s="21"/>
      <c r="S217" s="21"/>
      <c r="T217" s="50"/>
      <c r="U217" s="51">
        <f t="shared" si="31"/>
        <v>0</v>
      </c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>
        <v>38628342</v>
      </c>
      <c r="AN217" s="51">
        <f>SUBTOTAL(9,AC217:AM217)</f>
        <v>38628342</v>
      </c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>
        <v>19393845</v>
      </c>
      <c r="AZ217" s="51"/>
      <c r="BA217" s="51"/>
      <c r="BB217" s="51"/>
      <c r="BC217" s="52">
        <f t="shared" si="34"/>
        <v>58022187</v>
      </c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>
        <v>3878769</v>
      </c>
      <c r="BO217" s="51"/>
      <c r="BP217" s="52">
        <v>61900956</v>
      </c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>
        <v>3878769</v>
      </c>
      <c r="CD217" s="52"/>
      <c r="CE217" s="52"/>
      <c r="CF217" s="52"/>
      <c r="CG217" s="52">
        <f t="shared" si="35"/>
        <v>65779725</v>
      </c>
      <c r="CH217" s="52"/>
      <c r="CI217" s="52"/>
      <c r="CJ217" s="52"/>
      <c r="CK217" s="52"/>
      <c r="CL217" s="52"/>
      <c r="CM217" s="52"/>
      <c r="CN217" s="52"/>
      <c r="CO217" s="52"/>
      <c r="CP217" s="52"/>
      <c r="CQ217" s="52">
        <v>3878769</v>
      </c>
      <c r="CR217" s="52"/>
      <c r="CS217" s="52">
        <f t="shared" si="32"/>
        <v>69658494</v>
      </c>
      <c r="CT217" s="53">
        <v>31030152</v>
      </c>
      <c r="CU217" s="53">
        <f t="shared" si="33"/>
        <v>38628342</v>
      </c>
      <c r="CV217" s="54">
        <f t="shared" si="36"/>
        <v>69658494</v>
      </c>
      <c r="CW217" s="55">
        <f t="shared" si="37"/>
        <v>0</v>
      </c>
      <c r="CX217" s="16"/>
      <c r="CY217" s="16"/>
      <c r="CZ217" s="8"/>
      <c r="DA217" s="8"/>
      <c r="DB217" s="8"/>
      <c r="DC217" s="8"/>
      <c r="DD217" s="8"/>
    </row>
    <row r="218" spans="1:108" ht="15" customHeight="1" x14ac:dyDescent="0.2">
      <c r="A218" s="1">
        <v>8001311779</v>
      </c>
      <c r="B218" s="1">
        <v>800131177</v>
      </c>
      <c r="C218" s="9">
        <v>213615236</v>
      </c>
      <c r="D218" s="10" t="s">
        <v>246</v>
      </c>
      <c r="E218" s="46" t="s">
        <v>1281</v>
      </c>
      <c r="F218" s="21"/>
      <c r="G218" s="50"/>
      <c r="H218" s="21"/>
      <c r="I218" s="50"/>
      <c r="J218" s="21"/>
      <c r="K218" s="21"/>
      <c r="L218" s="50"/>
      <c r="M218" s="51"/>
      <c r="N218" s="21"/>
      <c r="O218" s="50"/>
      <c r="P218" s="21"/>
      <c r="Q218" s="50"/>
      <c r="R218" s="21"/>
      <c r="S218" s="21"/>
      <c r="T218" s="50"/>
      <c r="U218" s="51">
        <f t="shared" si="31"/>
        <v>0</v>
      </c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>
        <v>13297055</v>
      </c>
      <c r="AZ218" s="51"/>
      <c r="BA218" s="51">
        <f>VLOOKUP(B218,[1]Hoja3!J$3:K$674,2,0)</f>
        <v>36532003</v>
      </c>
      <c r="BB218" s="51"/>
      <c r="BC218" s="52">
        <f t="shared" si="34"/>
        <v>49829058</v>
      </c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>
        <v>2659411</v>
      </c>
      <c r="BO218" s="51"/>
      <c r="BP218" s="52">
        <v>52488469</v>
      </c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>
        <v>2659411</v>
      </c>
      <c r="CD218" s="52"/>
      <c r="CE218" s="52"/>
      <c r="CF218" s="52"/>
      <c r="CG218" s="52">
        <f t="shared" si="35"/>
        <v>55147880</v>
      </c>
      <c r="CH218" s="52"/>
      <c r="CI218" s="52"/>
      <c r="CJ218" s="52"/>
      <c r="CK218" s="52"/>
      <c r="CL218" s="52"/>
      <c r="CM218" s="52"/>
      <c r="CN218" s="52"/>
      <c r="CO218" s="52"/>
      <c r="CP218" s="52"/>
      <c r="CQ218" s="52">
        <v>2659411</v>
      </c>
      <c r="CR218" s="52"/>
      <c r="CS218" s="52">
        <f t="shared" si="32"/>
        <v>57807291</v>
      </c>
      <c r="CT218" s="53">
        <v>21275288</v>
      </c>
      <c r="CU218" s="53">
        <f t="shared" si="33"/>
        <v>36532003</v>
      </c>
      <c r="CV218" s="54">
        <f t="shared" si="36"/>
        <v>57807291</v>
      </c>
      <c r="CW218" s="55">
        <f t="shared" si="37"/>
        <v>0</v>
      </c>
      <c r="CX218" s="16"/>
      <c r="CY218" s="16"/>
      <c r="CZ218" s="8"/>
      <c r="DA218" s="8"/>
      <c r="DB218" s="8"/>
      <c r="DC218" s="8"/>
      <c r="DD218" s="8"/>
    </row>
    <row r="219" spans="1:108" ht="15" customHeight="1" x14ac:dyDescent="0.2">
      <c r="A219" s="1">
        <v>8999994145</v>
      </c>
      <c r="B219" s="1">
        <v>899999414</v>
      </c>
      <c r="C219" s="9">
        <v>218125181</v>
      </c>
      <c r="D219" s="10" t="s">
        <v>477</v>
      </c>
      <c r="E219" s="46" t="s">
        <v>1503</v>
      </c>
      <c r="F219" s="21"/>
      <c r="G219" s="50"/>
      <c r="H219" s="21"/>
      <c r="I219" s="50"/>
      <c r="J219" s="21"/>
      <c r="K219" s="21"/>
      <c r="L219" s="50"/>
      <c r="M219" s="51"/>
      <c r="N219" s="21"/>
      <c r="O219" s="50"/>
      <c r="P219" s="21"/>
      <c r="Q219" s="50"/>
      <c r="R219" s="21"/>
      <c r="S219" s="21"/>
      <c r="T219" s="50"/>
      <c r="U219" s="51">
        <f t="shared" si="31"/>
        <v>0</v>
      </c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>
        <v>202516784</v>
      </c>
      <c r="AN219" s="51">
        <f t="shared" ref="AN219:AN225" si="39">SUBTOTAL(9,AC219:AM219)</f>
        <v>202516784</v>
      </c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2">
        <f t="shared" si="34"/>
        <v>202516784</v>
      </c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>
        <v>0</v>
      </c>
      <c r="BO219" s="51"/>
      <c r="BP219" s="52">
        <v>202516784</v>
      </c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>
        <v>0</v>
      </c>
      <c r="CD219" s="52"/>
      <c r="CE219" s="52"/>
      <c r="CF219" s="52"/>
      <c r="CG219" s="52">
        <f t="shared" si="35"/>
        <v>202516784</v>
      </c>
      <c r="CH219" s="52"/>
      <c r="CI219" s="52"/>
      <c r="CJ219" s="52"/>
      <c r="CK219" s="52"/>
      <c r="CL219" s="52"/>
      <c r="CM219" s="52"/>
      <c r="CN219" s="52"/>
      <c r="CO219" s="52"/>
      <c r="CP219" s="52"/>
      <c r="CQ219" s="52">
        <v>0</v>
      </c>
      <c r="CR219" s="52"/>
      <c r="CS219" s="52">
        <f t="shared" si="32"/>
        <v>202516784</v>
      </c>
      <c r="CT219" s="53"/>
      <c r="CU219" s="53">
        <f t="shared" si="33"/>
        <v>202516784</v>
      </c>
      <c r="CV219" s="54">
        <f t="shared" si="36"/>
        <v>202516784</v>
      </c>
      <c r="CW219" s="55">
        <f t="shared" si="37"/>
        <v>0</v>
      </c>
      <c r="CX219" s="16"/>
      <c r="CY219" s="16"/>
      <c r="CZ219" s="16"/>
    </row>
    <row r="220" spans="1:108" ht="15" customHeight="1" x14ac:dyDescent="0.2">
      <c r="A220" s="1">
        <v>8999993573</v>
      </c>
      <c r="B220" s="1">
        <v>899999357</v>
      </c>
      <c r="C220" s="9">
        <v>218325183</v>
      </c>
      <c r="D220" s="10" t="s">
        <v>478</v>
      </c>
      <c r="E220" s="46" t="s">
        <v>1504</v>
      </c>
      <c r="F220" s="21"/>
      <c r="G220" s="50"/>
      <c r="H220" s="21"/>
      <c r="I220" s="50"/>
      <c r="J220" s="21"/>
      <c r="K220" s="21"/>
      <c r="L220" s="50"/>
      <c r="M220" s="51"/>
      <c r="N220" s="21"/>
      <c r="O220" s="50"/>
      <c r="P220" s="21"/>
      <c r="Q220" s="50"/>
      <c r="R220" s="21"/>
      <c r="S220" s="21"/>
      <c r="T220" s="50"/>
      <c r="U220" s="51">
        <f t="shared" si="31"/>
        <v>0</v>
      </c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>
        <v>314574221</v>
      </c>
      <c r="AN220" s="51">
        <f t="shared" si="39"/>
        <v>314574221</v>
      </c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>
        <v>133393865</v>
      </c>
      <c r="AZ220" s="51"/>
      <c r="BA220" s="51"/>
      <c r="BB220" s="51"/>
      <c r="BC220" s="52">
        <f t="shared" si="34"/>
        <v>447968086</v>
      </c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>
        <v>26678773</v>
      </c>
      <c r="BO220" s="51"/>
      <c r="BP220" s="52">
        <v>474646859</v>
      </c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>
        <v>26678773</v>
      </c>
      <c r="CD220" s="52"/>
      <c r="CE220" s="52"/>
      <c r="CF220" s="52"/>
      <c r="CG220" s="52">
        <f t="shared" si="35"/>
        <v>501325632</v>
      </c>
      <c r="CH220" s="52"/>
      <c r="CI220" s="52"/>
      <c r="CJ220" s="52"/>
      <c r="CK220" s="52"/>
      <c r="CL220" s="52"/>
      <c r="CM220" s="52"/>
      <c r="CN220" s="52"/>
      <c r="CO220" s="52"/>
      <c r="CP220" s="52"/>
      <c r="CQ220" s="52">
        <v>26678773</v>
      </c>
      <c r="CR220" s="52"/>
      <c r="CS220" s="52">
        <f t="shared" si="32"/>
        <v>528004405</v>
      </c>
      <c r="CT220" s="53">
        <v>213430184</v>
      </c>
      <c r="CU220" s="53">
        <f t="shared" si="33"/>
        <v>314574221</v>
      </c>
      <c r="CV220" s="54">
        <f t="shared" si="36"/>
        <v>528004405</v>
      </c>
      <c r="CW220" s="55">
        <f t="shared" si="37"/>
        <v>0</v>
      </c>
      <c r="CX220" s="16"/>
      <c r="CY220" s="16"/>
      <c r="CZ220" s="16"/>
    </row>
    <row r="221" spans="1:108" ht="15" customHeight="1" x14ac:dyDescent="0.2">
      <c r="A221" s="1">
        <v>8002544811</v>
      </c>
      <c r="B221" s="1">
        <v>800254481</v>
      </c>
      <c r="C221" s="9">
        <v>218813188</v>
      </c>
      <c r="D221" s="10" t="s">
        <v>188</v>
      </c>
      <c r="E221" s="46" t="s">
        <v>1218</v>
      </c>
      <c r="F221" s="21"/>
      <c r="G221" s="50"/>
      <c r="H221" s="21"/>
      <c r="I221" s="50"/>
      <c r="J221" s="21"/>
      <c r="K221" s="21"/>
      <c r="L221" s="50"/>
      <c r="M221" s="51"/>
      <c r="N221" s="21"/>
      <c r="O221" s="50"/>
      <c r="P221" s="21"/>
      <c r="Q221" s="50"/>
      <c r="R221" s="21"/>
      <c r="S221" s="21"/>
      <c r="T221" s="50"/>
      <c r="U221" s="51">
        <f t="shared" si="31"/>
        <v>0</v>
      </c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>
        <v>155965468</v>
      </c>
      <c r="AN221" s="51">
        <f t="shared" si="39"/>
        <v>155965468</v>
      </c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>
        <f>VLOOKUP(B221,[1]Hoja3!J$3:K$674,2,0)</f>
        <v>106110504</v>
      </c>
      <c r="BB221" s="51"/>
      <c r="BC221" s="52">
        <f t="shared" si="34"/>
        <v>262075972</v>
      </c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>
        <v>31338050</v>
      </c>
      <c r="BO221" s="51"/>
      <c r="BP221" s="52">
        <v>293414022</v>
      </c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>
        <v>31338050</v>
      </c>
      <c r="CD221" s="52">
        <v>156690250</v>
      </c>
      <c r="CE221" s="52"/>
      <c r="CF221" s="52"/>
      <c r="CG221" s="52">
        <f t="shared" si="35"/>
        <v>481442322</v>
      </c>
      <c r="CH221" s="52"/>
      <c r="CI221" s="52"/>
      <c r="CJ221" s="52"/>
      <c r="CK221" s="52"/>
      <c r="CL221" s="52"/>
      <c r="CM221" s="52"/>
      <c r="CN221" s="52"/>
      <c r="CO221" s="52"/>
      <c r="CP221" s="52"/>
      <c r="CQ221" s="52">
        <v>31338050</v>
      </c>
      <c r="CR221" s="52"/>
      <c r="CS221" s="52">
        <f t="shared" si="32"/>
        <v>512780372</v>
      </c>
      <c r="CT221" s="53">
        <v>250704400</v>
      </c>
      <c r="CU221" s="53">
        <f t="shared" si="33"/>
        <v>262075972</v>
      </c>
      <c r="CV221" s="54">
        <f t="shared" si="36"/>
        <v>512780372</v>
      </c>
      <c r="CW221" s="55">
        <f t="shared" si="37"/>
        <v>0</v>
      </c>
      <c r="CX221" s="16"/>
      <c r="CY221" s="16"/>
      <c r="CZ221" s="8"/>
      <c r="DA221" s="8"/>
      <c r="DB221" s="8"/>
      <c r="DC221" s="8"/>
      <c r="DD221" s="8"/>
    </row>
    <row r="222" spans="1:108" ht="15" customHeight="1" x14ac:dyDescent="0.2">
      <c r="A222" s="1">
        <v>8917800435</v>
      </c>
      <c r="B222" s="1">
        <v>891780043</v>
      </c>
      <c r="C222" s="9">
        <v>218947189</v>
      </c>
      <c r="D222" s="10" t="s">
        <v>2150</v>
      </c>
      <c r="E222" s="47" t="s">
        <v>1061</v>
      </c>
      <c r="F222" s="21"/>
      <c r="G222" s="50"/>
      <c r="H222" s="21"/>
      <c r="I222" s="50">
        <f>3766205378+75478410</f>
        <v>3841683788</v>
      </c>
      <c r="J222" s="21">
        <v>237697398</v>
      </c>
      <c r="K222" s="21">
        <v>476626249</v>
      </c>
      <c r="L222" s="50"/>
      <c r="M222" s="52">
        <f>SUM(F222:L222)</f>
        <v>4556007435</v>
      </c>
      <c r="N222" s="21"/>
      <c r="O222" s="50"/>
      <c r="P222" s="21"/>
      <c r="Q222" s="50">
        <f>3689113733+375000000</f>
        <v>4064113733</v>
      </c>
      <c r="R222" s="21">
        <v>237697398</v>
      </c>
      <c r="S222" s="21">
        <f>238928851+237697398</f>
        <v>476626249</v>
      </c>
      <c r="T222" s="50"/>
      <c r="U222" s="51">
        <f t="shared" si="31"/>
        <v>9334444815</v>
      </c>
      <c r="V222" s="51"/>
      <c r="W222" s="51"/>
      <c r="X222" s="51"/>
      <c r="Y222" s="51">
        <v>5354291703</v>
      </c>
      <c r="Z222" s="51">
        <v>212752992</v>
      </c>
      <c r="AA222" s="51">
        <v>494236169</v>
      </c>
      <c r="AB222" s="51"/>
      <c r="AC222" s="51">
        <f t="shared" si="38"/>
        <v>15395725679</v>
      </c>
      <c r="AD222" s="51"/>
      <c r="AE222" s="51"/>
      <c r="AF222" s="51"/>
      <c r="AG222" s="51"/>
      <c r="AH222" s="51">
        <v>3957805389</v>
      </c>
      <c r="AI222" s="51">
        <v>437377169</v>
      </c>
      <c r="AJ222" s="51">
        <v>235889117</v>
      </c>
      <c r="AK222" s="51">
        <v>595627967</v>
      </c>
      <c r="AL222" s="51"/>
      <c r="AM222" s="51">
        <v>914334830</v>
      </c>
      <c r="AN222" s="51">
        <f t="shared" si="39"/>
        <v>21536760151</v>
      </c>
      <c r="AO222" s="51"/>
      <c r="AP222" s="51"/>
      <c r="AQ222" s="51">
        <v>872996465</v>
      </c>
      <c r="AR222" s="51"/>
      <c r="AS222" s="51"/>
      <c r="AT222" s="51">
        <v>3957805389</v>
      </c>
      <c r="AU222" s="51"/>
      <c r="AV222" s="51">
        <v>235889117</v>
      </c>
      <c r="AW222" s="51">
        <v>403638985</v>
      </c>
      <c r="AX222" s="51"/>
      <c r="AY222" s="51"/>
      <c r="AZ222" s="51"/>
      <c r="BA222" s="51">
        <f>VLOOKUP(B222,[1]Hoja3!J$3:K$674,2,0)</f>
        <v>614556997</v>
      </c>
      <c r="BB222" s="51"/>
      <c r="BC222" s="52">
        <f t="shared" si="34"/>
        <v>27621647104</v>
      </c>
      <c r="BD222" s="51"/>
      <c r="BE222" s="51"/>
      <c r="BF222" s="51">
        <v>174599293</v>
      </c>
      <c r="BG222" s="51"/>
      <c r="BH222" s="51"/>
      <c r="BI222" s="51">
        <v>4575781390</v>
      </c>
      <c r="BJ222" s="51">
        <v>134320930</v>
      </c>
      <c r="BK222" s="51">
        <v>279276229</v>
      </c>
      <c r="BL222" s="51">
        <v>692335037</v>
      </c>
      <c r="BM222" s="51"/>
      <c r="BN222" s="51"/>
      <c r="BO222" s="51"/>
      <c r="BP222" s="52">
        <v>33477959983</v>
      </c>
      <c r="BQ222" s="52"/>
      <c r="BR222" s="52"/>
      <c r="BS222" s="52">
        <v>174599293</v>
      </c>
      <c r="BT222" s="52"/>
      <c r="BU222" s="52"/>
      <c r="BV222" s="52"/>
      <c r="BW222" s="52">
        <v>3942756189</v>
      </c>
      <c r="BX222" s="52"/>
      <c r="BY222" s="52">
        <v>1624811483</v>
      </c>
      <c r="BZ222" s="52">
        <v>243933623</v>
      </c>
      <c r="CA222" s="52">
        <v>642706139</v>
      </c>
      <c r="CB222" s="52"/>
      <c r="CC222" s="52"/>
      <c r="CD222" s="52"/>
      <c r="CE222" s="52">
        <v>33249776</v>
      </c>
      <c r="CF222" s="52"/>
      <c r="CG222" s="52">
        <f t="shared" si="35"/>
        <v>40140016486</v>
      </c>
      <c r="CH222" s="52"/>
      <c r="CI222" s="52"/>
      <c r="CJ222" s="52">
        <v>0</v>
      </c>
      <c r="CK222" s="52"/>
      <c r="CL222" s="52">
        <v>3980080208</v>
      </c>
      <c r="CM222" s="52">
        <v>100567791</v>
      </c>
      <c r="CN222" s="52">
        <v>243977020</v>
      </c>
      <c r="CO222" s="52">
        <v>445664824</v>
      </c>
      <c r="CP222" s="52"/>
      <c r="CQ222" s="52"/>
      <c r="CR222" s="52"/>
      <c r="CS222" s="52">
        <f t="shared" si="32"/>
        <v>44910306329</v>
      </c>
      <c r="CT222" s="53">
        <v>43348164726</v>
      </c>
      <c r="CU222" s="53">
        <f t="shared" si="33"/>
        <v>1562141603</v>
      </c>
      <c r="CV222" s="54">
        <f t="shared" si="36"/>
        <v>44910306329</v>
      </c>
      <c r="CW222" s="55">
        <f t="shared" si="37"/>
        <v>0</v>
      </c>
      <c r="CX222" s="16"/>
      <c r="CY222" s="16"/>
      <c r="CZ222" s="16"/>
    </row>
    <row r="223" spans="1:108" ht="15" customHeight="1" x14ac:dyDescent="0.2">
      <c r="A223" s="1">
        <v>8000967461</v>
      </c>
      <c r="B223" s="1">
        <v>800096746</v>
      </c>
      <c r="C223" s="9">
        <v>218923189</v>
      </c>
      <c r="D223" s="10" t="s">
        <v>443</v>
      </c>
      <c r="E223" s="46" t="s">
        <v>1470</v>
      </c>
      <c r="F223" s="21"/>
      <c r="G223" s="50"/>
      <c r="H223" s="21"/>
      <c r="I223" s="50"/>
      <c r="J223" s="21"/>
      <c r="K223" s="21"/>
      <c r="L223" s="50"/>
      <c r="M223" s="51"/>
      <c r="N223" s="21"/>
      <c r="O223" s="50"/>
      <c r="P223" s="21"/>
      <c r="Q223" s="50"/>
      <c r="R223" s="21"/>
      <c r="S223" s="21"/>
      <c r="T223" s="50"/>
      <c r="U223" s="51">
        <f t="shared" si="31"/>
        <v>0</v>
      </c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>
        <v>1071656497</v>
      </c>
      <c r="AN223" s="51">
        <f t="shared" si="39"/>
        <v>1071656497</v>
      </c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>
        <v>616066060</v>
      </c>
      <c r="AZ223" s="51"/>
      <c r="BA223" s="51"/>
      <c r="BB223" s="51"/>
      <c r="BC223" s="52">
        <f t="shared" si="34"/>
        <v>1687722557</v>
      </c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>
        <v>123213212</v>
      </c>
      <c r="BO223" s="51"/>
      <c r="BP223" s="52">
        <v>1810935769</v>
      </c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>
        <v>123213212</v>
      </c>
      <c r="CD223" s="52"/>
      <c r="CE223" s="52"/>
      <c r="CF223" s="52"/>
      <c r="CG223" s="52">
        <f t="shared" si="35"/>
        <v>1934148981</v>
      </c>
      <c r="CH223" s="52"/>
      <c r="CI223" s="52"/>
      <c r="CJ223" s="52"/>
      <c r="CK223" s="52"/>
      <c r="CL223" s="52"/>
      <c r="CM223" s="52"/>
      <c r="CN223" s="52"/>
      <c r="CO223" s="52"/>
      <c r="CP223" s="52"/>
      <c r="CQ223" s="52">
        <v>123213212</v>
      </c>
      <c r="CR223" s="52"/>
      <c r="CS223" s="52">
        <f t="shared" si="32"/>
        <v>2057362193</v>
      </c>
      <c r="CT223" s="53">
        <v>985705696</v>
      </c>
      <c r="CU223" s="53">
        <f t="shared" si="33"/>
        <v>1071656497</v>
      </c>
      <c r="CV223" s="54">
        <f t="shared" si="36"/>
        <v>2057362193</v>
      </c>
      <c r="CW223" s="55">
        <f t="shared" si="37"/>
        <v>0</v>
      </c>
      <c r="CX223" s="16"/>
      <c r="CY223" s="16"/>
      <c r="CZ223" s="16"/>
    </row>
    <row r="224" spans="1:108" ht="15" customHeight="1" x14ac:dyDescent="0.2">
      <c r="A224" s="1">
        <v>8918019881</v>
      </c>
      <c r="B224" s="1">
        <v>891801988</v>
      </c>
      <c r="C224" s="9">
        <v>218915189</v>
      </c>
      <c r="D224" s="10" t="s">
        <v>237</v>
      </c>
      <c r="E224" s="46" t="s">
        <v>1260</v>
      </c>
      <c r="F224" s="21"/>
      <c r="G224" s="50"/>
      <c r="H224" s="21"/>
      <c r="I224" s="50"/>
      <c r="J224" s="21"/>
      <c r="K224" s="21"/>
      <c r="L224" s="50"/>
      <c r="M224" s="51"/>
      <c r="N224" s="21"/>
      <c r="O224" s="50"/>
      <c r="P224" s="21"/>
      <c r="Q224" s="50"/>
      <c r="R224" s="21"/>
      <c r="S224" s="21"/>
      <c r="T224" s="50"/>
      <c r="U224" s="51">
        <f t="shared" si="31"/>
        <v>0</v>
      </c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>
        <v>76709125</v>
      </c>
      <c r="AN224" s="51">
        <f t="shared" si="39"/>
        <v>76709125</v>
      </c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>
        <v>29289735</v>
      </c>
      <c r="AZ224" s="51"/>
      <c r="BA224" s="51">
        <f>VLOOKUP(B224,[1]Hoja3!J$3:K$674,2,0)</f>
        <v>16496756</v>
      </c>
      <c r="BB224" s="51"/>
      <c r="BC224" s="52">
        <f t="shared" si="34"/>
        <v>122495616</v>
      </c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>
        <v>5857947</v>
      </c>
      <c r="BO224" s="51"/>
      <c r="BP224" s="52">
        <v>128353563</v>
      </c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>
        <v>5857947</v>
      </c>
      <c r="CD224" s="52"/>
      <c r="CE224" s="52">
        <v>13888682</v>
      </c>
      <c r="CF224" s="52"/>
      <c r="CG224" s="52">
        <f t="shared" si="35"/>
        <v>148100192</v>
      </c>
      <c r="CH224" s="52"/>
      <c r="CI224" s="52"/>
      <c r="CJ224" s="52"/>
      <c r="CK224" s="52"/>
      <c r="CL224" s="52"/>
      <c r="CM224" s="52"/>
      <c r="CN224" s="52"/>
      <c r="CO224" s="52"/>
      <c r="CP224" s="52"/>
      <c r="CQ224" s="52">
        <v>5857947</v>
      </c>
      <c r="CR224" s="52"/>
      <c r="CS224" s="52">
        <f t="shared" si="32"/>
        <v>153958139</v>
      </c>
      <c r="CT224" s="53">
        <v>46863576</v>
      </c>
      <c r="CU224" s="53">
        <f t="shared" si="33"/>
        <v>107094563</v>
      </c>
      <c r="CV224" s="54">
        <f t="shared" si="36"/>
        <v>153958139</v>
      </c>
      <c r="CW224" s="55">
        <f t="shared" si="37"/>
        <v>0</v>
      </c>
      <c r="CX224" s="16"/>
      <c r="CY224" s="16"/>
      <c r="CZ224" s="8"/>
      <c r="DA224" s="8"/>
      <c r="DB224" s="8"/>
      <c r="DC224" s="8"/>
      <c r="DD224" s="8"/>
    </row>
    <row r="225" spans="1:108" ht="15" customHeight="1" x14ac:dyDescent="0.2">
      <c r="A225" s="1">
        <v>8902083632</v>
      </c>
      <c r="B225" s="1">
        <v>890208363</v>
      </c>
      <c r="C225" s="9">
        <v>219068190</v>
      </c>
      <c r="D225" s="10" t="s">
        <v>829</v>
      </c>
      <c r="E225" s="46" t="s">
        <v>1844</v>
      </c>
      <c r="F225" s="21"/>
      <c r="G225" s="50"/>
      <c r="H225" s="21"/>
      <c r="I225" s="50"/>
      <c r="J225" s="21"/>
      <c r="K225" s="21"/>
      <c r="L225" s="50"/>
      <c r="M225" s="51"/>
      <c r="N225" s="21"/>
      <c r="O225" s="50"/>
      <c r="P225" s="21"/>
      <c r="Q225" s="50"/>
      <c r="R225" s="21"/>
      <c r="S225" s="21"/>
      <c r="T225" s="50"/>
      <c r="U225" s="51">
        <f t="shared" si="31"/>
        <v>0</v>
      </c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>
        <v>546666176</v>
      </c>
      <c r="AN225" s="51">
        <f t="shared" si="39"/>
        <v>546666176</v>
      </c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>
        <v>270772760</v>
      </c>
      <c r="AZ225" s="51"/>
      <c r="BA225" s="51">
        <f>VLOOKUP(B225,[1]Hoja3!J$3:K$674,2,0)</f>
        <v>15813138</v>
      </c>
      <c r="BB225" s="51"/>
      <c r="BC225" s="52">
        <f t="shared" si="34"/>
        <v>833252074</v>
      </c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>
        <v>54154552</v>
      </c>
      <c r="BO225" s="51"/>
      <c r="BP225" s="52">
        <v>887406626</v>
      </c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>
        <v>54154552</v>
      </c>
      <c r="CD225" s="52"/>
      <c r="CE225" s="52"/>
      <c r="CF225" s="52"/>
      <c r="CG225" s="52">
        <f t="shared" si="35"/>
        <v>941561178</v>
      </c>
      <c r="CH225" s="52"/>
      <c r="CI225" s="52"/>
      <c r="CJ225" s="52"/>
      <c r="CK225" s="52"/>
      <c r="CL225" s="52"/>
      <c r="CM225" s="52"/>
      <c r="CN225" s="52"/>
      <c r="CO225" s="52"/>
      <c r="CP225" s="52"/>
      <c r="CQ225" s="52">
        <v>54154552</v>
      </c>
      <c r="CR225" s="52"/>
      <c r="CS225" s="52">
        <f t="shared" si="32"/>
        <v>995715730</v>
      </c>
      <c r="CT225" s="53">
        <v>433236416</v>
      </c>
      <c r="CU225" s="53">
        <f t="shared" si="33"/>
        <v>562479314</v>
      </c>
      <c r="CV225" s="54">
        <f t="shared" si="36"/>
        <v>995715730</v>
      </c>
      <c r="CW225" s="55">
        <f t="shared" si="37"/>
        <v>0</v>
      </c>
      <c r="CX225" s="16"/>
      <c r="CY225" s="16"/>
      <c r="CZ225" s="16"/>
    </row>
    <row r="226" spans="1:108" ht="15" customHeight="1" x14ac:dyDescent="0.2">
      <c r="A226" s="1">
        <v>8900010448</v>
      </c>
      <c r="B226" s="1">
        <v>890001044</v>
      </c>
      <c r="C226" s="9">
        <v>219063190</v>
      </c>
      <c r="D226" s="10" t="s">
        <v>791</v>
      </c>
      <c r="E226" s="46" t="s">
        <v>1808</v>
      </c>
      <c r="F226" s="21"/>
      <c r="G226" s="50"/>
      <c r="H226" s="21"/>
      <c r="I226" s="50"/>
      <c r="J226" s="21"/>
      <c r="K226" s="21"/>
      <c r="L226" s="50"/>
      <c r="M226" s="51"/>
      <c r="N226" s="21"/>
      <c r="O226" s="50"/>
      <c r="P226" s="21"/>
      <c r="Q226" s="50"/>
      <c r="R226" s="21"/>
      <c r="S226" s="21"/>
      <c r="T226" s="50"/>
      <c r="U226" s="51">
        <f t="shared" si="31"/>
        <v>0</v>
      </c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>
        <v>172217655</v>
      </c>
      <c r="AZ226" s="51"/>
      <c r="BA226" s="51">
        <f>VLOOKUP(B226,[1]Hoja3!J$3:K$674,2,0)</f>
        <v>318228701</v>
      </c>
      <c r="BB226" s="51"/>
      <c r="BC226" s="52">
        <f t="shared" si="34"/>
        <v>490446356</v>
      </c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>
        <v>34443531</v>
      </c>
      <c r="BO226" s="51"/>
      <c r="BP226" s="52">
        <v>524889887</v>
      </c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>
        <v>34443531</v>
      </c>
      <c r="CD226" s="52"/>
      <c r="CE226" s="52"/>
      <c r="CF226" s="52"/>
      <c r="CG226" s="52">
        <f t="shared" si="35"/>
        <v>559333418</v>
      </c>
      <c r="CH226" s="52"/>
      <c r="CI226" s="52"/>
      <c r="CJ226" s="52"/>
      <c r="CK226" s="52"/>
      <c r="CL226" s="52"/>
      <c r="CM226" s="52"/>
      <c r="CN226" s="52"/>
      <c r="CO226" s="52"/>
      <c r="CP226" s="52"/>
      <c r="CQ226" s="52">
        <v>34443531</v>
      </c>
      <c r="CR226" s="52"/>
      <c r="CS226" s="52">
        <f t="shared" si="32"/>
        <v>593776949</v>
      </c>
      <c r="CT226" s="53">
        <v>275548248</v>
      </c>
      <c r="CU226" s="53">
        <f t="shared" si="33"/>
        <v>318228701</v>
      </c>
      <c r="CV226" s="54">
        <f t="shared" si="36"/>
        <v>593776949</v>
      </c>
      <c r="CW226" s="55">
        <f t="shared" si="37"/>
        <v>0</v>
      </c>
      <c r="CX226" s="16"/>
      <c r="CY226" s="16"/>
      <c r="CZ226" s="16"/>
    </row>
    <row r="227" spans="1:108" ht="15" customHeight="1" x14ac:dyDescent="0.2">
      <c r="A227" s="1">
        <v>8909109133</v>
      </c>
      <c r="B227" s="1">
        <v>890910913</v>
      </c>
      <c r="C227" s="9">
        <v>219005190</v>
      </c>
      <c r="D227" s="10" t="s">
        <v>77</v>
      </c>
      <c r="E227" s="46" t="s">
        <v>1108</v>
      </c>
      <c r="F227" s="21"/>
      <c r="G227" s="50"/>
      <c r="H227" s="21"/>
      <c r="I227" s="50"/>
      <c r="J227" s="21"/>
      <c r="K227" s="21"/>
      <c r="L227" s="50"/>
      <c r="M227" s="51"/>
      <c r="N227" s="21"/>
      <c r="O227" s="50"/>
      <c r="P227" s="21"/>
      <c r="Q227" s="50"/>
      <c r="R227" s="21"/>
      <c r="S227" s="21"/>
      <c r="T227" s="50"/>
      <c r="U227" s="51">
        <f t="shared" si="31"/>
        <v>0</v>
      </c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>
        <v>64642015</v>
      </c>
      <c r="AZ227" s="51"/>
      <c r="BA227" s="51">
        <f>VLOOKUP(B227,[1]Hoja3!J$3:K$674,2,0)</f>
        <v>114170074</v>
      </c>
      <c r="BB227" s="51"/>
      <c r="BC227" s="52">
        <f t="shared" si="34"/>
        <v>178812089</v>
      </c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>
        <v>12928403</v>
      </c>
      <c r="BO227" s="51"/>
      <c r="BP227" s="52">
        <v>191740492</v>
      </c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>
        <v>12928403</v>
      </c>
      <c r="CD227" s="52"/>
      <c r="CE227" s="52"/>
      <c r="CF227" s="52"/>
      <c r="CG227" s="52">
        <f t="shared" si="35"/>
        <v>204668895</v>
      </c>
      <c r="CH227" s="52"/>
      <c r="CI227" s="52"/>
      <c r="CJ227" s="52"/>
      <c r="CK227" s="52"/>
      <c r="CL227" s="52"/>
      <c r="CM227" s="52"/>
      <c r="CN227" s="52"/>
      <c r="CO227" s="52"/>
      <c r="CP227" s="52"/>
      <c r="CQ227" s="52">
        <v>12928403</v>
      </c>
      <c r="CR227" s="52"/>
      <c r="CS227" s="52">
        <f t="shared" si="32"/>
        <v>217597298</v>
      </c>
      <c r="CT227" s="53">
        <v>103427224</v>
      </c>
      <c r="CU227" s="53">
        <f t="shared" si="33"/>
        <v>114170074</v>
      </c>
      <c r="CV227" s="54">
        <f t="shared" si="36"/>
        <v>217597298</v>
      </c>
      <c r="CW227" s="55">
        <f t="shared" si="37"/>
        <v>0</v>
      </c>
      <c r="CX227" s="16"/>
      <c r="CY227" s="16"/>
      <c r="CZ227" s="16"/>
    </row>
    <row r="228" spans="1:108" ht="15" customHeight="1" x14ac:dyDescent="0.2">
      <c r="A228" s="1">
        <v>8060007019</v>
      </c>
      <c r="B228" s="1">
        <v>806000701</v>
      </c>
      <c r="C228" s="9">
        <v>212213222</v>
      </c>
      <c r="D228" s="10" t="s">
        <v>190</v>
      </c>
      <c r="E228" s="46" t="s">
        <v>1220</v>
      </c>
      <c r="F228" s="21"/>
      <c r="G228" s="50"/>
      <c r="H228" s="21"/>
      <c r="I228" s="50"/>
      <c r="J228" s="21"/>
      <c r="K228" s="21"/>
      <c r="L228" s="50"/>
      <c r="M228" s="51"/>
      <c r="N228" s="21"/>
      <c r="O228" s="50"/>
      <c r="P228" s="21"/>
      <c r="Q228" s="50"/>
      <c r="R228" s="21"/>
      <c r="S228" s="21"/>
      <c r="T228" s="50"/>
      <c r="U228" s="51">
        <f t="shared" si="31"/>
        <v>0</v>
      </c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>
        <v>220109729</v>
      </c>
      <c r="AN228" s="51">
        <f>SUBTOTAL(9,AC228:AM228)</f>
        <v>220109729</v>
      </c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>
        <v>166333305</v>
      </c>
      <c r="AZ228" s="51"/>
      <c r="BA228" s="51"/>
      <c r="BB228" s="51"/>
      <c r="BC228" s="52">
        <f t="shared" si="34"/>
        <v>386443034</v>
      </c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>
        <v>33266661</v>
      </c>
      <c r="BO228" s="51"/>
      <c r="BP228" s="52">
        <v>419709695</v>
      </c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>
        <v>33266661</v>
      </c>
      <c r="CD228" s="52"/>
      <c r="CE228" s="52"/>
      <c r="CF228" s="52"/>
      <c r="CG228" s="52">
        <f t="shared" si="35"/>
        <v>452976356</v>
      </c>
      <c r="CH228" s="52"/>
      <c r="CI228" s="52"/>
      <c r="CJ228" s="52"/>
      <c r="CK228" s="52"/>
      <c r="CL228" s="52"/>
      <c r="CM228" s="52"/>
      <c r="CN228" s="52"/>
      <c r="CO228" s="52"/>
      <c r="CP228" s="52"/>
      <c r="CQ228" s="52">
        <v>33266661</v>
      </c>
      <c r="CR228" s="52"/>
      <c r="CS228" s="52">
        <f t="shared" si="32"/>
        <v>486243017</v>
      </c>
      <c r="CT228" s="53">
        <v>266133288</v>
      </c>
      <c r="CU228" s="53">
        <f t="shared" si="33"/>
        <v>220109729</v>
      </c>
      <c r="CV228" s="54">
        <f t="shared" si="36"/>
        <v>486243017</v>
      </c>
      <c r="CW228" s="55">
        <f t="shared" si="37"/>
        <v>0</v>
      </c>
      <c r="CX228" s="16"/>
      <c r="CY228" s="16"/>
      <c r="CZ228" s="8"/>
      <c r="DA228" s="8"/>
      <c r="DB228" s="8"/>
      <c r="DC228" s="8"/>
      <c r="DD228" s="8"/>
    </row>
    <row r="229" spans="1:108" ht="15" customHeight="1" x14ac:dyDescent="0.2">
      <c r="A229" s="1">
        <v>8909846340</v>
      </c>
      <c r="B229" s="1">
        <v>890984634</v>
      </c>
      <c r="C229" s="9">
        <v>219705197</v>
      </c>
      <c r="D229" s="10" t="s">
        <v>78</v>
      </c>
      <c r="E229" s="46" t="s">
        <v>1109</v>
      </c>
      <c r="F229" s="21"/>
      <c r="G229" s="50"/>
      <c r="H229" s="21"/>
      <c r="I229" s="50"/>
      <c r="J229" s="21"/>
      <c r="K229" s="21"/>
      <c r="L229" s="50"/>
      <c r="M229" s="51"/>
      <c r="N229" s="21"/>
      <c r="O229" s="50"/>
      <c r="P229" s="21"/>
      <c r="Q229" s="50"/>
      <c r="R229" s="21"/>
      <c r="S229" s="21"/>
      <c r="T229" s="50"/>
      <c r="U229" s="51">
        <f t="shared" si="31"/>
        <v>0</v>
      </c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>
        <v>91198875</v>
      </c>
      <c r="AZ229" s="51"/>
      <c r="BA229" s="51">
        <f>VLOOKUP(B229,[1]Hoja3!J$3:K$674,2,0)</f>
        <v>233433387</v>
      </c>
      <c r="BB229" s="51"/>
      <c r="BC229" s="52">
        <f t="shared" si="34"/>
        <v>324632262</v>
      </c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>
        <v>18239775</v>
      </c>
      <c r="BO229" s="51"/>
      <c r="BP229" s="52">
        <v>342872037</v>
      </c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>
        <v>18239775</v>
      </c>
      <c r="CD229" s="52"/>
      <c r="CE229" s="52"/>
      <c r="CF229" s="52"/>
      <c r="CG229" s="52">
        <f t="shared" si="35"/>
        <v>361111812</v>
      </c>
      <c r="CH229" s="52"/>
      <c r="CI229" s="52"/>
      <c r="CJ229" s="52"/>
      <c r="CK229" s="52"/>
      <c r="CL229" s="52"/>
      <c r="CM229" s="52"/>
      <c r="CN229" s="52"/>
      <c r="CO229" s="52"/>
      <c r="CP229" s="52"/>
      <c r="CQ229" s="52">
        <v>18239775</v>
      </c>
      <c r="CR229" s="52"/>
      <c r="CS229" s="52">
        <f t="shared" si="32"/>
        <v>379351587</v>
      </c>
      <c r="CT229" s="53">
        <v>145918200</v>
      </c>
      <c r="CU229" s="53">
        <f t="shared" si="33"/>
        <v>233433387</v>
      </c>
      <c r="CV229" s="54">
        <f t="shared" si="36"/>
        <v>379351587</v>
      </c>
      <c r="CW229" s="55">
        <f t="shared" si="37"/>
        <v>0</v>
      </c>
      <c r="CX229" s="16"/>
      <c r="CY229" s="16"/>
      <c r="CZ229" s="16"/>
    </row>
    <row r="230" spans="1:108" ht="15" customHeight="1" x14ac:dyDescent="0.2">
      <c r="A230" s="1">
        <v>8001000517</v>
      </c>
      <c r="B230" s="1">
        <v>800100051</v>
      </c>
      <c r="C230" s="9">
        <v>210073200</v>
      </c>
      <c r="D230" s="10" t="s">
        <v>2211</v>
      </c>
      <c r="E230" s="46" t="s">
        <v>1938</v>
      </c>
      <c r="F230" s="21"/>
      <c r="G230" s="50"/>
      <c r="H230" s="21"/>
      <c r="I230" s="50"/>
      <c r="J230" s="21"/>
      <c r="K230" s="21"/>
      <c r="L230" s="50"/>
      <c r="M230" s="51"/>
      <c r="N230" s="21"/>
      <c r="O230" s="50"/>
      <c r="P230" s="21"/>
      <c r="Q230" s="50"/>
      <c r="R230" s="21"/>
      <c r="S230" s="21"/>
      <c r="T230" s="50"/>
      <c r="U230" s="51">
        <f t="shared" si="31"/>
        <v>0</v>
      </c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>
        <v>62689335</v>
      </c>
      <c r="AZ230" s="51"/>
      <c r="BA230" s="51">
        <f>VLOOKUP(B230,[1]Hoja3!J$3:K$674,2,0)</f>
        <v>145421799</v>
      </c>
      <c r="BB230" s="51"/>
      <c r="BC230" s="52">
        <f t="shared" si="34"/>
        <v>208111134</v>
      </c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>
        <v>12537867</v>
      </c>
      <c r="BO230" s="51"/>
      <c r="BP230" s="52">
        <v>220649001</v>
      </c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>
        <v>12537867</v>
      </c>
      <c r="CD230" s="52"/>
      <c r="CE230" s="52"/>
      <c r="CF230" s="52"/>
      <c r="CG230" s="52">
        <f t="shared" si="35"/>
        <v>233186868</v>
      </c>
      <c r="CH230" s="52"/>
      <c r="CI230" s="52"/>
      <c r="CJ230" s="52"/>
      <c r="CK230" s="52"/>
      <c r="CL230" s="52"/>
      <c r="CM230" s="52"/>
      <c r="CN230" s="52"/>
      <c r="CO230" s="52"/>
      <c r="CP230" s="52"/>
      <c r="CQ230" s="52">
        <v>12537867</v>
      </c>
      <c r="CR230" s="52"/>
      <c r="CS230" s="52">
        <f t="shared" si="32"/>
        <v>245724735</v>
      </c>
      <c r="CT230" s="53">
        <v>100302936</v>
      </c>
      <c r="CU230" s="53">
        <f t="shared" si="33"/>
        <v>145421799</v>
      </c>
      <c r="CV230" s="54">
        <f t="shared" si="36"/>
        <v>245724735</v>
      </c>
      <c r="CW230" s="55">
        <f t="shared" si="37"/>
        <v>0</v>
      </c>
      <c r="CX230" s="16"/>
      <c r="CY230" s="16"/>
      <c r="CZ230" s="16"/>
    </row>
    <row r="231" spans="1:108" ht="15" customHeight="1" x14ac:dyDescent="0.2">
      <c r="A231" s="1">
        <v>8999994668</v>
      </c>
      <c r="B231" s="1">
        <v>899999466</v>
      </c>
      <c r="C231" s="9">
        <v>210025200</v>
      </c>
      <c r="D231" s="10" t="s">
        <v>479</v>
      </c>
      <c r="E231" s="46" t="s">
        <v>1505</v>
      </c>
      <c r="F231" s="21"/>
      <c r="G231" s="50"/>
      <c r="H231" s="21"/>
      <c r="I231" s="50"/>
      <c r="J231" s="21"/>
      <c r="K231" s="21"/>
      <c r="L231" s="50"/>
      <c r="M231" s="51"/>
      <c r="N231" s="21"/>
      <c r="O231" s="50"/>
      <c r="P231" s="21"/>
      <c r="Q231" s="50"/>
      <c r="R231" s="21"/>
      <c r="S231" s="21"/>
      <c r="T231" s="50"/>
      <c r="U231" s="51">
        <f t="shared" si="31"/>
        <v>0</v>
      </c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>
        <v>291290790</v>
      </c>
      <c r="AN231" s="51">
        <f>SUBTOTAL(9,AC231:AM231)</f>
        <v>291290790</v>
      </c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>
        <v>99578010</v>
      </c>
      <c r="AZ231" s="51"/>
      <c r="BA231" s="51"/>
      <c r="BB231" s="51"/>
      <c r="BC231" s="52">
        <f t="shared" si="34"/>
        <v>390868800</v>
      </c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>
        <v>19915602</v>
      </c>
      <c r="BO231" s="51"/>
      <c r="BP231" s="52">
        <v>410784402</v>
      </c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>
        <v>19915602</v>
      </c>
      <c r="CD231" s="52"/>
      <c r="CE231" s="52"/>
      <c r="CF231" s="52"/>
      <c r="CG231" s="52">
        <f t="shared" si="35"/>
        <v>430700004</v>
      </c>
      <c r="CH231" s="52"/>
      <c r="CI231" s="52"/>
      <c r="CJ231" s="52"/>
      <c r="CK231" s="52"/>
      <c r="CL231" s="52"/>
      <c r="CM231" s="52"/>
      <c r="CN231" s="52"/>
      <c r="CO231" s="52"/>
      <c r="CP231" s="52"/>
      <c r="CQ231" s="52">
        <v>19915602</v>
      </c>
      <c r="CR231" s="52"/>
      <c r="CS231" s="52">
        <f t="shared" si="32"/>
        <v>450615606</v>
      </c>
      <c r="CT231" s="53">
        <v>159324816</v>
      </c>
      <c r="CU231" s="53">
        <f t="shared" si="33"/>
        <v>291290790</v>
      </c>
      <c r="CV231" s="54">
        <f t="shared" si="36"/>
        <v>450615606</v>
      </c>
      <c r="CW231" s="55">
        <f t="shared" si="37"/>
        <v>0</v>
      </c>
      <c r="CX231" s="16"/>
      <c r="CY231" s="16"/>
      <c r="CZ231" s="16"/>
    </row>
    <row r="232" spans="1:108" ht="15" customHeight="1" x14ac:dyDescent="0.2">
      <c r="A232" s="1">
        <v>8911800281</v>
      </c>
      <c r="B232" s="1">
        <v>891180028</v>
      </c>
      <c r="C232" s="9">
        <v>210641206</v>
      </c>
      <c r="D232" s="10" t="s">
        <v>600</v>
      </c>
      <c r="E232" s="46" t="s">
        <v>1619</v>
      </c>
      <c r="F232" s="21"/>
      <c r="G232" s="50"/>
      <c r="H232" s="21"/>
      <c r="I232" s="50"/>
      <c r="J232" s="21"/>
      <c r="K232" s="21"/>
      <c r="L232" s="50"/>
      <c r="M232" s="51"/>
      <c r="N232" s="21"/>
      <c r="O232" s="50"/>
      <c r="P232" s="21"/>
      <c r="Q232" s="50"/>
      <c r="R232" s="21"/>
      <c r="S232" s="21"/>
      <c r="T232" s="50"/>
      <c r="U232" s="51">
        <f t="shared" si="31"/>
        <v>0</v>
      </c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>
        <v>69581595</v>
      </c>
      <c r="AZ232" s="51"/>
      <c r="BA232" s="51">
        <f>VLOOKUP(B232,[1]Hoja3!J$3:K$674,2,0)</f>
        <v>107047479</v>
      </c>
      <c r="BB232" s="51"/>
      <c r="BC232" s="52">
        <f t="shared" si="34"/>
        <v>176629074</v>
      </c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>
        <v>13916319</v>
      </c>
      <c r="BO232" s="51"/>
      <c r="BP232" s="52">
        <v>190545393</v>
      </c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>
        <v>13916319</v>
      </c>
      <c r="CD232" s="52"/>
      <c r="CE232" s="52"/>
      <c r="CF232" s="52"/>
      <c r="CG232" s="52">
        <f t="shared" si="35"/>
        <v>204461712</v>
      </c>
      <c r="CH232" s="52"/>
      <c r="CI232" s="52"/>
      <c r="CJ232" s="52"/>
      <c r="CK232" s="52"/>
      <c r="CL232" s="52"/>
      <c r="CM232" s="52"/>
      <c r="CN232" s="52"/>
      <c r="CO232" s="52"/>
      <c r="CP232" s="52"/>
      <c r="CQ232" s="52">
        <v>13916319</v>
      </c>
      <c r="CR232" s="52"/>
      <c r="CS232" s="52">
        <f t="shared" si="32"/>
        <v>218378031</v>
      </c>
      <c r="CT232" s="53">
        <v>111330552</v>
      </c>
      <c r="CU232" s="53">
        <f t="shared" si="33"/>
        <v>107047479</v>
      </c>
      <c r="CV232" s="54">
        <f t="shared" si="36"/>
        <v>218378031</v>
      </c>
      <c r="CW232" s="55">
        <f t="shared" si="37"/>
        <v>0</v>
      </c>
      <c r="CX232" s="16"/>
      <c r="CY232" s="16"/>
      <c r="CZ232" s="16"/>
    </row>
    <row r="233" spans="1:108" ht="15" customHeight="1" x14ac:dyDescent="0.2">
      <c r="A233" s="1">
        <v>8000198169</v>
      </c>
      <c r="B233" s="1">
        <v>800019816</v>
      </c>
      <c r="C233" s="9">
        <v>210352203</v>
      </c>
      <c r="D233" s="10" t="s">
        <v>2131</v>
      </c>
      <c r="E233" s="46" t="s">
        <v>1721</v>
      </c>
      <c r="F233" s="21"/>
      <c r="G233" s="50"/>
      <c r="H233" s="21"/>
      <c r="I233" s="50"/>
      <c r="J233" s="21"/>
      <c r="K233" s="21"/>
      <c r="L233" s="50"/>
      <c r="M233" s="51"/>
      <c r="N233" s="21"/>
      <c r="O233" s="50"/>
      <c r="P233" s="21"/>
      <c r="Q233" s="50"/>
      <c r="R233" s="21"/>
      <c r="S233" s="21"/>
      <c r="T233" s="50"/>
      <c r="U233" s="51">
        <f t="shared" si="31"/>
        <v>0</v>
      </c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>
        <v>30616612</v>
      </c>
      <c r="AN233" s="51">
        <f>SUBTOTAL(9,AC233:AM233)</f>
        <v>30616612</v>
      </c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>
        <v>71275180</v>
      </c>
      <c r="AZ233" s="51"/>
      <c r="BA233" s="51">
        <f>VLOOKUP(B233,[1]Hoja3!J$3:K$674,2,0)</f>
        <v>98814747</v>
      </c>
      <c r="BB233" s="51"/>
      <c r="BC233" s="52">
        <f t="shared" si="34"/>
        <v>200706539</v>
      </c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>
        <v>14255036</v>
      </c>
      <c r="BO233" s="51"/>
      <c r="BP233" s="52">
        <v>214961575</v>
      </c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>
        <v>14255036</v>
      </c>
      <c r="CD233" s="52"/>
      <c r="CE233" s="52"/>
      <c r="CF233" s="52"/>
      <c r="CG233" s="52">
        <f t="shared" si="35"/>
        <v>229216611</v>
      </c>
      <c r="CH233" s="52"/>
      <c r="CI233" s="52"/>
      <c r="CJ233" s="52"/>
      <c r="CK233" s="52"/>
      <c r="CL233" s="52"/>
      <c r="CM233" s="52"/>
      <c r="CN233" s="52"/>
      <c r="CO233" s="52"/>
      <c r="CP233" s="52"/>
      <c r="CQ233" s="52">
        <v>14255036</v>
      </c>
      <c r="CR233" s="52"/>
      <c r="CS233" s="52">
        <f t="shared" si="32"/>
        <v>243471647</v>
      </c>
      <c r="CT233" s="53">
        <v>114040288</v>
      </c>
      <c r="CU233" s="53">
        <f t="shared" si="33"/>
        <v>129431359</v>
      </c>
      <c r="CV233" s="54">
        <f t="shared" si="36"/>
        <v>243471647</v>
      </c>
      <c r="CW233" s="55">
        <f t="shared" si="37"/>
        <v>0</v>
      </c>
      <c r="CX233" s="16"/>
      <c r="CY233" s="16"/>
      <c r="CZ233" s="16"/>
    </row>
    <row r="234" spans="1:108" ht="15" customHeight="1" x14ac:dyDescent="0.2">
      <c r="A234" s="1">
        <v>8000186509</v>
      </c>
      <c r="B234" s="1">
        <v>800018650</v>
      </c>
      <c r="C234" s="9">
        <v>211986219</v>
      </c>
      <c r="D234" s="10" t="s">
        <v>975</v>
      </c>
      <c r="E234" s="46" t="s">
        <v>2034</v>
      </c>
      <c r="F234" s="21"/>
      <c r="G234" s="50"/>
      <c r="H234" s="21"/>
      <c r="I234" s="50"/>
      <c r="J234" s="21"/>
      <c r="K234" s="21"/>
      <c r="L234" s="50"/>
      <c r="M234" s="51"/>
      <c r="N234" s="21"/>
      <c r="O234" s="50"/>
      <c r="P234" s="21"/>
      <c r="Q234" s="50"/>
      <c r="R234" s="21"/>
      <c r="S234" s="21"/>
      <c r="T234" s="50"/>
      <c r="U234" s="51">
        <f t="shared" si="31"/>
        <v>0</v>
      </c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>
        <v>18023767</v>
      </c>
      <c r="AN234" s="51">
        <f>SUBTOTAL(9,AC234:AM234)</f>
        <v>18023767</v>
      </c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>
        <v>35200850</v>
      </c>
      <c r="AZ234" s="51"/>
      <c r="BA234" s="51">
        <f>VLOOKUP(B234,[1]Hoja3!J$3:K$674,2,0)</f>
        <v>61034429</v>
      </c>
      <c r="BB234" s="51"/>
      <c r="BC234" s="52">
        <f t="shared" si="34"/>
        <v>114259046</v>
      </c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>
        <v>7040170</v>
      </c>
      <c r="BO234" s="51"/>
      <c r="BP234" s="52">
        <v>121299216</v>
      </c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>
        <v>7040170</v>
      </c>
      <c r="CD234" s="52"/>
      <c r="CE234" s="52"/>
      <c r="CF234" s="52"/>
      <c r="CG234" s="52">
        <f t="shared" si="35"/>
        <v>128339386</v>
      </c>
      <c r="CH234" s="52"/>
      <c r="CI234" s="52"/>
      <c r="CJ234" s="52"/>
      <c r="CK234" s="52"/>
      <c r="CL234" s="52"/>
      <c r="CM234" s="52"/>
      <c r="CN234" s="52"/>
      <c r="CO234" s="52"/>
      <c r="CP234" s="52"/>
      <c r="CQ234" s="52">
        <v>7040170</v>
      </c>
      <c r="CR234" s="52"/>
      <c r="CS234" s="52">
        <f t="shared" si="32"/>
        <v>135379556</v>
      </c>
      <c r="CT234" s="53">
        <v>56321360</v>
      </c>
      <c r="CU234" s="53">
        <f t="shared" si="33"/>
        <v>79058196</v>
      </c>
      <c r="CV234" s="54">
        <f t="shared" si="36"/>
        <v>135379556</v>
      </c>
      <c r="CW234" s="55">
        <f t="shared" si="37"/>
        <v>0</v>
      </c>
      <c r="CX234" s="16"/>
      <c r="CY234" s="16"/>
      <c r="CZ234" s="16"/>
    </row>
    <row r="235" spans="1:108" ht="15" customHeight="1" x14ac:dyDescent="0.2">
      <c r="A235" s="1">
        <v>8922800537</v>
      </c>
      <c r="B235" s="1">
        <v>892280053</v>
      </c>
      <c r="C235" s="9">
        <v>210470204</v>
      </c>
      <c r="D235" s="10" t="s">
        <v>892</v>
      </c>
      <c r="E235" s="46" t="s">
        <v>1905</v>
      </c>
      <c r="F235" s="21"/>
      <c r="G235" s="50"/>
      <c r="H235" s="21"/>
      <c r="I235" s="50"/>
      <c r="J235" s="21"/>
      <c r="K235" s="21"/>
      <c r="L235" s="50"/>
      <c r="M235" s="51"/>
      <c r="N235" s="21"/>
      <c r="O235" s="50"/>
      <c r="P235" s="21"/>
      <c r="Q235" s="50"/>
      <c r="R235" s="21"/>
      <c r="S235" s="21"/>
      <c r="T235" s="50"/>
      <c r="U235" s="51">
        <f t="shared" si="31"/>
        <v>0</v>
      </c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>
        <v>100425925</v>
      </c>
      <c r="AN235" s="51">
        <f>SUBTOTAL(9,AC235:AM235)</f>
        <v>100425925</v>
      </c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>
        <v>99508630</v>
      </c>
      <c r="AZ235" s="51"/>
      <c r="BA235" s="51">
        <f>VLOOKUP(B235,[1]Hoja3!J$3:K$674,2,0)</f>
        <v>30836612</v>
      </c>
      <c r="BB235" s="51"/>
      <c r="BC235" s="52">
        <f t="shared" si="34"/>
        <v>230771167</v>
      </c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>
        <v>19901726</v>
      </c>
      <c r="BO235" s="51"/>
      <c r="BP235" s="52">
        <v>250672893</v>
      </c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>
        <v>19901726</v>
      </c>
      <c r="CD235" s="52"/>
      <c r="CE235" s="52"/>
      <c r="CF235" s="52"/>
      <c r="CG235" s="52">
        <f t="shared" si="35"/>
        <v>270574619</v>
      </c>
      <c r="CH235" s="52"/>
      <c r="CI235" s="52"/>
      <c r="CJ235" s="52"/>
      <c r="CK235" s="52"/>
      <c r="CL235" s="52"/>
      <c r="CM235" s="52"/>
      <c r="CN235" s="52"/>
      <c r="CO235" s="52"/>
      <c r="CP235" s="52"/>
      <c r="CQ235" s="52">
        <v>19901726</v>
      </c>
      <c r="CR235" s="52"/>
      <c r="CS235" s="52">
        <f t="shared" si="32"/>
        <v>290476345</v>
      </c>
      <c r="CT235" s="53">
        <v>159213808</v>
      </c>
      <c r="CU235" s="53">
        <f t="shared" si="33"/>
        <v>131262537</v>
      </c>
      <c r="CV235" s="54">
        <f t="shared" si="36"/>
        <v>290476345</v>
      </c>
      <c r="CW235" s="55">
        <f t="shared" si="37"/>
        <v>0</v>
      </c>
      <c r="CX235" s="16"/>
      <c r="CY235" s="16"/>
      <c r="CZ235" s="16"/>
    </row>
    <row r="236" spans="1:108" ht="15" customHeight="1" x14ac:dyDescent="0.2">
      <c r="A236" s="1">
        <v>8918019321</v>
      </c>
      <c r="B236" s="1">
        <v>891801932</v>
      </c>
      <c r="C236" s="9">
        <v>210415204</v>
      </c>
      <c r="D236" s="10" t="s">
        <v>238</v>
      </c>
      <c r="E236" s="46" t="s">
        <v>1273</v>
      </c>
      <c r="F236" s="21"/>
      <c r="G236" s="50"/>
      <c r="H236" s="21"/>
      <c r="I236" s="50"/>
      <c r="J236" s="21"/>
      <c r="K236" s="21"/>
      <c r="L236" s="50"/>
      <c r="M236" s="51"/>
      <c r="N236" s="21"/>
      <c r="O236" s="50"/>
      <c r="P236" s="21"/>
      <c r="Q236" s="50"/>
      <c r="R236" s="21"/>
      <c r="S236" s="21"/>
      <c r="T236" s="50"/>
      <c r="U236" s="51">
        <f t="shared" si="31"/>
        <v>0</v>
      </c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>
        <v>45530487</v>
      </c>
      <c r="AN236" s="51">
        <f>SUBTOTAL(9,AC236:AM236)</f>
        <v>45530487</v>
      </c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>
        <v>55442265</v>
      </c>
      <c r="AZ236" s="51"/>
      <c r="BA236" s="51">
        <f>VLOOKUP(B236,[1]Hoja3!J$3:K$674,2,0)</f>
        <v>74676387</v>
      </c>
      <c r="BB236" s="51"/>
      <c r="BC236" s="52">
        <f t="shared" si="34"/>
        <v>175649139</v>
      </c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>
        <v>11088453</v>
      </c>
      <c r="BO236" s="51"/>
      <c r="BP236" s="52">
        <v>186737592</v>
      </c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>
        <v>11088453</v>
      </c>
      <c r="CD236" s="52"/>
      <c r="CE236" s="52"/>
      <c r="CF236" s="52"/>
      <c r="CG236" s="52">
        <f t="shared" si="35"/>
        <v>197826045</v>
      </c>
      <c r="CH236" s="52"/>
      <c r="CI236" s="52"/>
      <c r="CJ236" s="52"/>
      <c r="CK236" s="52"/>
      <c r="CL236" s="52"/>
      <c r="CM236" s="52"/>
      <c r="CN236" s="52"/>
      <c r="CO236" s="52"/>
      <c r="CP236" s="52"/>
      <c r="CQ236" s="52">
        <v>11088453</v>
      </c>
      <c r="CR236" s="52"/>
      <c r="CS236" s="52">
        <f t="shared" si="32"/>
        <v>208914498</v>
      </c>
      <c r="CT236" s="53">
        <v>88707624</v>
      </c>
      <c r="CU236" s="53">
        <f t="shared" si="33"/>
        <v>120206874</v>
      </c>
      <c r="CV236" s="54">
        <f t="shared" si="36"/>
        <v>208914498</v>
      </c>
      <c r="CW236" s="55">
        <f t="shared" si="37"/>
        <v>0</v>
      </c>
      <c r="CX236" s="16"/>
      <c r="CY236" s="16"/>
      <c r="CZ236" s="8"/>
      <c r="DA236" s="8"/>
      <c r="DB236" s="8"/>
      <c r="DC236" s="8"/>
      <c r="DD236" s="8"/>
    </row>
    <row r="237" spans="1:108" ht="15" customHeight="1" x14ac:dyDescent="0.2">
      <c r="A237" s="1">
        <v>8909837186</v>
      </c>
      <c r="B237" s="1">
        <v>890983718</v>
      </c>
      <c r="C237" s="9">
        <v>210605206</v>
      </c>
      <c r="D237" s="10" t="s">
        <v>79</v>
      </c>
      <c r="E237" s="46" t="s">
        <v>1110</v>
      </c>
      <c r="F237" s="21"/>
      <c r="G237" s="50"/>
      <c r="H237" s="21"/>
      <c r="I237" s="50"/>
      <c r="J237" s="21"/>
      <c r="K237" s="21"/>
      <c r="L237" s="50"/>
      <c r="M237" s="51"/>
      <c r="N237" s="21"/>
      <c r="O237" s="50"/>
      <c r="P237" s="21"/>
      <c r="Q237" s="50"/>
      <c r="R237" s="21"/>
      <c r="S237" s="21"/>
      <c r="T237" s="50"/>
      <c r="U237" s="51">
        <f t="shared" si="31"/>
        <v>0</v>
      </c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>
        <v>23052200</v>
      </c>
      <c r="AZ237" s="51"/>
      <c r="BA237" s="51">
        <f>VLOOKUP(B237,[1]Hoja3!J$3:K$674,2,0)</f>
        <v>43289221</v>
      </c>
      <c r="BB237" s="51"/>
      <c r="BC237" s="52">
        <f t="shared" si="34"/>
        <v>66341421</v>
      </c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>
        <v>4610440</v>
      </c>
      <c r="BO237" s="51"/>
      <c r="BP237" s="52">
        <v>70951861</v>
      </c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>
        <v>4610440</v>
      </c>
      <c r="CD237" s="52"/>
      <c r="CE237" s="52"/>
      <c r="CF237" s="52"/>
      <c r="CG237" s="52">
        <f t="shared" si="35"/>
        <v>75562301</v>
      </c>
      <c r="CH237" s="52"/>
      <c r="CI237" s="52"/>
      <c r="CJ237" s="52"/>
      <c r="CK237" s="52"/>
      <c r="CL237" s="52"/>
      <c r="CM237" s="52"/>
      <c r="CN237" s="52"/>
      <c r="CO237" s="52"/>
      <c r="CP237" s="52"/>
      <c r="CQ237" s="52">
        <v>4610440</v>
      </c>
      <c r="CR237" s="52"/>
      <c r="CS237" s="52">
        <f t="shared" si="32"/>
        <v>80172741</v>
      </c>
      <c r="CT237" s="53">
        <v>36883520</v>
      </c>
      <c r="CU237" s="53">
        <f t="shared" si="33"/>
        <v>43289221</v>
      </c>
      <c r="CV237" s="54">
        <f t="shared" si="36"/>
        <v>80172741</v>
      </c>
      <c r="CW237" s="55">
        <f t="shared" si="37"/>
        <v>0</v>
      </c>
      <c r="CX237" s="16"/>
      <c r="CY237" s="16"/>
      <c r="CZ237" s="16"/>
    </row>
    <row r="238" spans="1:108" ht="15" customHeight="1" x14ac:dyDescent="0.2">
      <c r="A238" s="1">
        <v>8001040601</v>
      </c>
      <c r="B238" s="1">
        <v>800104060</v>
      </c>
      <c r="C238" s="9">
        <v>210768207</v>
      </c>
      <c r="D238" s="10" t="s">
        <v>830</v>
      </c>
      <c r="E238" s="46" t="s">
        <v>1845</v>
      </c>
      <c r="F238" s="21"/>
      <c r="G238" s="50"/>
      <c r="H238" s="21"/>
      <c r="I238" s="50"/>
      <c r="J238" s="21"/>
      <c r="K238" s="21"/>
      <c r="L238" s="50"/>
      <c r="M238" s="51"/>
      <c r="N238" s="21"/>
      <c r="O238" s="50"/>
      <c r="P238" s="21"/>
      <c r="Q238" s="50"/>
      <c r="R238" s="21"/>
      <c r="S238" s="21"/>
      <c r="T238" s="50"/>
      <c r="U238" s="51">
        <f t="shared" si="31"/>
        <v>0</v>
      </c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>
        <v>31156565</v>
      </c>
      <c r="AZ238" s="51"/>
      <c r="BA238" s="51">
        <f>VLOOKUP(B238,[1]Hoja3!J$3:K$674,2,0)</f>
        <v>69554959</v>
      </c>
      <c r="BB238" s="51"/>
      <c r="BC238" s="52">
        <f t="shared" si="34"/>
        <v>100711524</v>
      </c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>
        <v>6231313</v>
      </c>
      <c r="BO238" s="51"/>
      <c r="BP238" s="52">
        <v>106942837</v>
      </c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>
        <v>6231313</v>
      </c>
      <c r="CD238" s="52"/>
      <c r="CE238" s="52"/>
      <c r="CF238" s="52"/>
      <c r="CG238" s="52">
        <f t="shared" si="35"/>
        <v>113174150</v>
      </c>
      <c r="CH238" s="52"/>
      <c r="CI238" s="52"/>
      <c r="CJ238" s="52"/>
      <c r="CK238" s="52"/>
      <c r="CL238" s="52"/>
      <c r="CM238" s="52"/>
      <c r="CN238" s="52"/>
      <c r="CO238" s="52"/>
      <c r="CP238" s="52"/>
      <c r="CQ238" s="52">
        <v>6231313</v>
      </c>
      <c r="CR238" s="52"/>
      <c r="CS238" s="52">
        <f t="shared" si="32"/>
        <v>119405463</v>
      </c>
      <c r="CT238" s="53">
        <v>49850504</v>
      </c>
      <c r="CU238" s="53">
        <f t="shared" si="33"/>
        <v>69554959</v>
      </c>
      <c r="CV238" s="54">
        <f t="shared" si="36"/>
        <v>119405463</v>
      </c>
      <c r="CW238" s="55">
        <f t="shared" si="37"/>
        <v>0</v>
      </c>
      <c r="CX238" s="16"/>
      <c r="CY238" s="16"/>
      <c r="CZ238" s="16"/>
    </row>
    <row r="239" spans="1:108" ht="15" customHeight="1" x14ac:dyDescent="0.2">
      <c r="A239" s="1">
        <v>8909822618</v>
      </c>
      <c r="B239" s="1">
        <v>890982261</v>
      </c>
      <c r="C239" s="9">
        <v>210905209</v>
      </c>
      <c r="D239" s="10" t="s">
        <v>80</v>
      </c>
      <c r="E239" s="46" t="s">
        <v>1111</v>
      </c>
      <c r="F239" s="21"/>
      <c r="G239" s="50"/>
      <c r="H239" s="21"/>
      <c r="I239" s="50"/>
      <c r="J239" s="21"/>
      <c r="K239" s="21"/>
      <c r="L239" s="50"/>
      <c r="M239" s="51"/>
      <c r="N239" s="21"/>
      <c r="O239" s="50"/>
      <c r="P239" s="21"/>
      <c r="Q239" s="50"/>
      <c r="R239" s="21"/>
      <c r="S239" s="21"/>
      <c r="T239" s="50"/>
      <c r="U239" s="51">
        <f t="shared" si="31"/>
        <v>0</v>
      </c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>
        <v>234807278</v>
      </c>
      <c r="AN239" s="51">
        <f>SUBTOTAL(9,AC239:AM239)</f>
        <v>234807278</v>
      </c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>
        <v>113442840</v>
      </c>
      <c r="AZ239" s="51"/>
      <c r="BA239" s="51"/>
      <c r="BB239" s="51"/>
      <c r="BC239" s="52">
        <f t="shared" si="34"/>
        <v>348250118</v>
      </c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>
        <v>22688568</v>
      </c>
      <c r="BO239" s="51"/>
      <c r="BP239" s="52">
        <v>370938686</v>
      </c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>
        <v>22688568</v>
      </c>
      <c r="CD239" s="52"/>
      <c r="CE239" s="52"/>
      <c r="CF239" s="52"/>
      <c r="CG239" s="52">
        <f t="shared" si="35"/>
        <v>393627254</v>
      </c>
      <c r="CH239" s="52"/>
      <c r="CI239" s="52"/>
      <c r="CJ239" s="52"/>
      <c r="CK239" s="52"/>
      <c r="CL239" s="52"/>
      <c r="CM239" s="52"/>
      <c r="CN239" s="52"/>
      <c r="CO239" s="52"/>
      <c r="CP239" s="52"/>
      <c r="CQ239" s="52">
        <v>22688568</v>
      </c>
      <c r="CR239" s="52"/>
      <c r="CS239" s="52">
        <f t="shared" si="32"/>
        <v>416315822</v>
      </c>
      <c r="CT239" s="53">
        <v>181508544</v>
      </c>
      <c r="CU239" s="53">
        <f t="shared" si="33"/>
        <v>234807278</v>
      </c>
      <c r="CV239" s="54">
        <f t="shared" si="36"/>
        <v>416315822</v>
      </c>
      <c r="CW239" s="55">
        <f t="shared" si="37"/>
        <v>0</v>
      </c>
      <c r="CX239" s="16"/>
      <c r="CY239" s="16"/>
      <c r="CZ239" s="16"/>
    </row>
    <row r="240" spans="1:108" ht="15" customHeight="1" x14ac:dyDescent="0.2">
      <c r="A240" s="1">
        <v>8190032255</v>
      </c>
      <c r="B240" s="1">
        <v>819003225</v>
      </c>
      <c r="C240" s="9">
        <v>210547205</v>
      </c>
      <c r="D240" s="10" t="s">
        <v>644</v>
      </c>
      <c r="E240" s="48" t="s">
        <v>2099</v>
      </c>
      <c r="F240" s="21"/>
      <c r="G240" s="50"/>
      <c r="H240" s="21"/>
      <c r="I240" s="50"/>
      <c r="J240" s="21"/>
      <c r="K240" s="21"/>
      <c r="L240" s="50"/>
      <c r="M240" s="51"/>
      <c r="N240" s="21"/>
      <c r="O240" s="50"/>
      <c r="P240" s="21"/>
      <c r="Q240" s="50"/>
      <c r="R240" s="21"/>
      <c r="S240" s="21"/>
      <c r="T240" s="50"/>
      <c r="U240" s="51">
        <f t="shared" si="31"/>
        <v>0</v>
      </c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>
        <v>122916880</v>
      </c>
      <c r="AN240" s="51">
        <f>SUBTOTAL(9,AC240:AM240)</f>
        <v>122916880</v>
      </c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>
        <v>138267615</v>
      </c>
      <c r="AZ240" s="51"/>
      <c r="BA240" s="51">
        <f>VLOOKUP(B240,[1]Hoja3!J$3:K$674,2,0)</f>
        <v>100306861</v>
      </c>
      <c r="BB240" s="51"/>
      <c r="BC240" s="52">
        <f t="shared" si="34"/>
        <v>361491356</v>
      </c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>
        <v>27653523</v>
      </c>
      <c r="BO240" s="51"/>
      <c r="BP240" s="52">
        <v>389144879</v>
      </c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>
        <v>27653523</v>
      </c>
      <c r="CD240" s="52"/>
      <c r="CE240" s="52"/>
      <c r="CF240" s="52"/>
      <c r="CG240" s="52">
        <f t="shared" si="35"/>
        <v>416798402</v>
      </c>
      <c r="CH240" s="52"/>
      <c r="CI240" s="52"/>
      <c r="CJ240" s="52"/>
      <c r="CK240" s="52"/>
      <c r="CL240" s="52"/>
      <c r="CM240" s="52"/>
      <c r="CN240" s="52"/>
      <c r="CO240" s="52"/>
      <c r="CP240" s="52"/>
      <c r="CQ240" s="52">
        <v>27653523</v>
      </c>
      <c r="CR240" s="52"/>
      <c r="CS240" s="52">
        <f t="shared" si="32"/>
        <v>444451925</v>
      </c>
      <c r="CT240" s="53">
        <v>221228184</v>
      </c>
      <c r="CU240" s="53">
        <f t="shared" si="33"/>
        <v>223223741</v>
      </c>
      <c r="CV240" s="54">
        <f t="shared" si="36"/>
        <v>444451925</v>
      </c>
      <c r="CW240" s="55">
        <f t="shared" si="37"/>
        <v>0</v>
      </c>
      <c r="CX240" s="16"/>
      <c r="CY240" s="16"/>
      <c r="CZ240" s="8"/>
      <c r="DA240" s="8"/>
      <c r="DB240" s="8"/>
      <c r="DC240" s="8"/>
      <c r="DD240" s="8"/>
    </row>
    <row r="241" spans="1:108" ht="15" customHeight="1" x14ac:dyDescent="0.2">
      <c r="A241" s="1">
        <v>8916800579</v>
      </c>
      <c r="B241" s="1">
        <v>891680057</v>
      </c>
      <c r="C241" s="9">
        <v>210527205</v>
      </c>
      <c r="D241" s="10" t="s">
        <v>577</v>
      </c>
      <c r="E241" s="46" t="s">
        <v>1597</v>
      </c>
      <c r="F241" s="21"/>
      <c r="G241" s="50"/>
      <c r="H241" s="21"/>
      <c r="I241" s="50"/>
      <c r="J241" s="21"/>
      <c r="K241" s="21"/>
      <c r="L241" s="50"/>
      <c r="M241" s="51"/>
      <c r="N241" s="21"/>
      <c r="O241" s="50"/>
      <c r="P241" s="21"/>
      <c r="Q241" s="50"/>
      <c r="R241" s="21"/>
      <c r="S241" s="21"/>
      <c r="T241" s="50"/>
      <c r="U241" s="51">
        <f t="shared" si="31"/>
        <v>0</v>
      </c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>
        <v>301663975</v>
      </c>
      <c r="AN241" s="51">
        <f>SUBTOTAL(9,AC241:AM241)</f>
        <v>301663975</v>
      </c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>
        <v>174836405</v>
      </c>
      <c r="AZ241" s="51"/>
      <c r="BA241" s="51"/>
      <c r="BB241" s="51"/>
      <c r="BC241" s="52">
        <f t="shared" si="34"/>
        <v>476500380</v>
      </c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>
        <v>34967281</v>
      </c>
      <c r="BO241" s="51"/>
      <c r="BP241" s="52">
        <v>511467661</v>
      </c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>
        <v>34967281</v>
      </c>
      <c r="CD241" s="52"/>
      <c r="CE241" s="52"/>
      <c r="CF241" s="52"/>
      <c r="CG241" s="52">
        <f t="shared" si="35"/>
        <v>546434942</v>
      </c>
      <c r="CH241" s="52"/>
      <c r="CI241" s="52"/>
      <c r="CJ241" s="52"/>
      <c r="CK241" s="52"/>
      <c r="CL241" s="52"/>
      <c r="CM241" s="52"/>
      <c r="CN241" s="52"/>
      <c r="CO241" s="52"/>
      <c r="CP241" s="52"/>
      <c r="CQ241" s="52">
        <v>34967281</v>
      </c>
      <c r="CR241" s="52"/>
      <c r="CS241" s="52">
        <f t="shared" si="32"/>
        <v>581402223</v>
      </c>
      <c r="CT241" s="53">
        <v>279738248</v>
      </c>
      <c r="CU241" s="53">
        <f t="shared" si="33"/>
        <v>301663975</v>
      </c>
      <c r="CV241" s="54">
        <f t="shared" si="36"/>
        <v>581402223</v>
      </c>
      <c r="CW241" s="55">
        <f t="shared" si="37"/>
        <v>0</v>
      </c>
      <c r="CX241" s="16"/>
      <c r="CY241" s="16"/>
      <c r="CZ241" s="16"/>
    </row>
    <row r="242" spans="1:108" ht="15" customHeight="1" x14ac:dyDescent="0.2">
      <c r="A242" s="1">
        <v>8902089473</v>
      </c>
      <c r="B242" s="1">
        <v>890208947</v>
      </c>
      <c r="C242" s="9">
        <v>210968209</v>
      </c>
      <c r="D242" s="10" t="s">
        <v>831</v>
      </c>
      <c r="E242" s="46" t="s">
        <v>1846</v>
      </c>
      <c r="F242" s="21"/>
      <c r="G242" s="50"/>
      <c r="H242" s="21"/>
      <c r="I242" s="50"/>
      <c r="J242" s="21"/>
      <c r="K242" s="21"/>
      <c r="L242" s="50"/>
      <c r="M242" s="51"/>
      <c r="N242" s="21"/>
      <c r="O242" s="50"/>
      <c r="P242" s="21"/>
      <c r="Q242" s="50"/>
      <c r="R242" s="21"/>
      <c r="S242" s="21"/>
      <c r="T242" s="50"/>
      <c r="U242" s="51">
        <f t="shared" si="31"/>
        <v>0</v>
      </c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>
        <v>14206310</v>
      </c>
      <c r="AZ242" s="51"/>
      <c r="BA242" s="51">
        <f>VLOOKUP(B242,[1]Hoja3!J$3:K$674,2,0)</f>
        <v>35539889</v>
      </c>
      <c r="BB242" s="51"/>
      <c r="BC242" s="52">
        <f t="shared" si="34"/>
        <v>49746199</v>
      </c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>
        <v>2841262</v>
      </c>
      <c r="BO242" s="51"/>
      <c r="BP242" s="52">
        <v>52587461</v>
      </c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>
        <v>2841262</v>
      </c>
      <c r="CD242" s="52"/>
      <c r="CE242" s="52"/>
      <c r="CF242" s="52"/>
      <c r="CG242" s="52">
        <f t="shared" si="35"/>
        <v>55428723</v>
      </c>
      <c r="CH242" s="52"/>
      <c r="CI242" s="52"/>
      <c r="CJ242" s="52"/>
      <c r="CK242" s="52"/>
      <c r="CL242" s="52"/>
      <c r="CM242" s="52"/>
      <c r="CN242" s="52"/>
      <c r="CO242" s="52"/>
      <c r="CP242" s="52"/>
      <c r="CQ242" s="52">
        <v>2841262</v>
      </c>
      <c r="CR242" s="52"/>
      <c r="CS242" s="52">
        <f t="shared" si="32"/>
        <v>58269985</v>
      </c>
      <c r="CT242" s="53">
        <v>22730096</v>
      </c>
      <c r="CU242" s="53">
        <f t="shared" si="33"/>
        <v>35539889</v>
      </c>
      <c r="CV242" s="54">
        <f t="shared" si="36"/>
        <v>58269985</v>
      </c>
      <c r="CW242" s="55">
        <f t="shared" si="37"/>
        <v>0</v>
      </c>
      <c r="CX242" s="16"/>
      <c r="CY242" s="16"/>
      <c r="CZ242" s="16"/>
    </row>
    <row r="243" spans="1:108" ht="15" customHeight="1" x14ac:dyDescent="0.2">
      <c r="A243" s="1">
        <v>8000190006</v>
      </c>
      <c r="B243" s="1">
        <v>800019000</v>
      </c>
      <c r="C243" s="9">
        <v>210752207</v>
      </c>
      <c r="D243" s="10" t="s">
        <v>699</v>
      </c>
      <c r="E243" s="46" t="s">
        <v>2088</v>
      </c>
      <c r="F243" s="21"/>
      <c r="G243" s="50"/>
      <c r="H243" s="21"/>
      <c r="I243" s="50"/>
      <c r="J243" s="21"/>
      <c r="K243" s="21"/>
      <c r="L243" s="50"/>
      <c r="M243" s="51"/>
      <c r="N243" s="21"/>
      <c r="O243" s="50"/>
      <c r="P243" s="21"/>
      <c r="Q243" s="50"/>
      <c r="R243" s="21"/>
      <c r="S243" s="21"/>
      <c r="T243" s="50"/>
      <c r="U243" s="51">
        <f t="shared" si="31"/>
        <v>0</v>
      </c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>
        <v>44073262</v>
      </c>
      <c r="AN243" s="51">
        <f>SUBTOTAL(9,AC243:AM243)</f>
        <v>44073262</v>
      </c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>
        <f>VLOOKUP(B243,[1]Hoja3!J$3:K$674,2,0)</f>
        <v>94611224</v>
      </c>
      <c r="BB243" s="51"/>
      <c r="BC243" s="52">
        <f t="shared" si="34"/>
        <v>138684486</v>
      </c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>
        <v>0</v>
      </c>
      <c r="BO243" s="51"/>
      <c r="BP243" s="52">
        <v>138684486</v>
      </c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>
        <f t="shared" si="35"/>
        <v>138684486</v>
      </c>
      <c r="CH243" s="52"/>
      <c r="CI243" s="52"/>
      <c r="CJ243" s="52"/>
      <c r="CK243" s="52"/>
      <c r="CL243" s="52"/>
      <c r="CM243" s="52"/>
      <c r="CN243" s="52"/>
      <c r="CO243" s="52"/>
      <c r="CP243" s="52"/>
      <c r="CQ243" s="52">
        <v>119169040</v>
      </c>
      <c r="CR243" s="52"/>
      <c r="CS243" s="52">
        <f t="shared" si="32"/>
        <v>257853526</v>
      </c>
      <c r="CT243" s="53">
        <v>119169040</v>
      </c>
      <c r="CU243" s="53">
        <f t="shared" si="33"/>
        <v>138684486</v>
      </c>
      <c r="CV243" s="54">
        <f t="shared" si="36"/>
        <v>257853526</v>
      </c>
      <c r="CW243" s="55">
        <f t="shared" si="37"/>
        <v>0</v>
      </c>
      <c r="CX243" s="16"/>
      <c r="CY243" s="16"/>
      <c r="CZ243" s="16"/>
    </row>
    <row r="244" spans="1:108" ht="15" customHeight="1" x14ac:dyDescent="0.2">
      <c r="A244" s="1">
        <v>8000990649</v>
      </c>
      <c r="B244" s="1">
        <v>800099064</v>
      </c>
      <c r="C244" s="9">
        <v>211052210</v>
      </c>
      <c r="D244" s="10" t="s">
        <v>700</v>
      </c>
      <c r="E244" s="46" t="s">
        <v>1722</v>
      </c>
      <c r="F244" s="21"/>
      <c r="G244" s="50"/>
      <c r="H244" s="21"/>
      <c r="I244" s="50"/>
      <c r="J244" s="21"/>
      <c r="K244" s="21"/>
      <c r="L244" s="50"/>
      <c r="M244" s="51"/>
      <c r="N244" s="21"/>
      <c r="O244" s="50"/>
      <c r="P244" s="21"/>
      <c r="Q244" s="50"/>
      <c r="R244" s="21"/>
      <c r="S244" s="21"/>
      <c r="T244" s="50"/>
      <c r="U244" s="51">
        <f t="shared" si="31"/>
        <v>0</v>
      </c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>
        <v>62763495</v>
      </c>
      <c r="AN244" s="51">
        <f>SUBTOTAL(9,AC244:AM244)</f>
        <v>62763495</v>
      </c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>
        <v>41881990</v>
      </c>
      <c r="AZ244" s="51"/>
      <c r="BA244" s="51"/>
      <c r="BB244" s="51"/>
      <c r="BC244" s="52">
        <f t="shared" si="34"/>
        <v>104645485</v>
      </c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>
        <v>8376398</v>
      </c>
      <c r="BO244" s="51"/>
      <c r="BP244" s="52">
        <v>113021883</v>
      </c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>
        <v>8376398</v>
      </c>
      <c r="CD244" s="52"/>
      <c r="CE244" s="52"/>
      <c r="CF244" s="52"/>
      <c r="CG244" s="52">
        <f t="shared" si="35"/>
        <v>121398281</v>
      </c>
      <c r="CH244" s="52"/>
      <c r="CI244" s="52"/>
      <c r="CJ244" s="52"/>
      <c r="CK244" s="52"/>
      <c r="CL244" s="52"/>
      <c r="CM244" s="52"/>
      <c r="CN244" s="52"/>
      <c r="CO244" s="52"/>
      <c r="CP244" s="52"/>
      <c r="CQ244" s="52">
        <v>8376398</v>
      </c>
      <c r="CR244" s="52"/>
      <c r="CS244" s="52">
        <f t="shared" si="32"/>
        <v>129774679</v>
      </c>
      <c r="CT244" s="53">
        <v>67011184</v>
      </c>
      <c r="CU244" s="53">
        <f t="shared" si="33"/>
        <v>62763495</v>
      </c>
      <c r="CV244" s="54">
        <f t="shared" si="36"/>
        <v>129774679</v>
      </c>
      <c r="CW244" s="55">
        <f t="shared" si="37"/>
        <v>0</v>
      </c>
      <c r="CX244" s="16"/>
      <c r="CY244" s="16"/>
      <c r="CZ244" s="16"/>
    </row>
    <row r="245" spans="1:108" ht="15" customHeight="1" x14ac:dyDescent="0.2">
      <c r="A245" s="1">
        <v>8902060581</v>
      </c>
      <c r="B245" s="1">
        <v>890206058</v>
      </c>
      <c r="C245" s="9">
        <v>211168211</v>
      </c>
      <c r="D245" s="10" t="s">
        <v>832</v>
      </c>
      <c r="E245" s="46" t="s">
        <v>1847</v>
      </c>
      <c r="F245" s="21"/>
      <c r="G245" s="50"/>
      <c r="H245" s="21"/>
      <c r="I245" s="50"/>
      <c r="J245" s="21"/>
      <c r="K245" s="21"/>
      <c r="L245" s="50"/>
      <c r="M245" s="51"/>
      <c r="N245" s="21"/>
      <c r="O245" s="50"/>
      <c r="P245" s="21"/>
      <c r="Q245" s="50"/>
      <c r="R245" s="21"/>
      <c r="S245" s="21"/>
      <c r="T245" s="50"/>
      <c r="U245" s="51">
        <f t="shared" si="31"/>
        <v>0</v>
      </c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2">
        <f t="shared" si="34"/>
        <v>0</v>
      </c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>
        <v>0</v>
      </c>
      <c r="BO245" s="51"/>
      <c r="BP245" s="51">
        <v>0</v>
      </c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>
        <v>38963757</v>
      </c>
      <c r="CD245" s="52"/>
      <c r="CE245" s="52"/>
      <c r="CF245" s="52"/>
      <c r="CG245" s="52">
        <f t="shared" si="35"/>
        <v>38963757</v>
      </c>
      <c r="CH245" s="52"/>
      <c r="CI245" s="52"/>
      <c r="CJ245" s="52"/>
      <c r="CK245" s="52"/>
      <c r="CL245" s="52"/>
      <c r="CM245" s="52"/>
      <c r="CN245" s="52"/>
      <c r="CO245" s="52"/>
      <c r="CP245" s="52"/>
      <c r="CQ245" s="52">
        <v>5566251</v>
      </c>
      <c r="CR245" s="52"/>
      <c r="CS245" s="52">
        <f t="shared" si="32"/>
        <v>44530008</v>
      </c>
      <c r="CT245" s="53">
        <v>44530008</v>
      </c>
      <c r="CU245" s="53">
        <f t="shared" si="33"/>
        <v>0</v>
      </c>
      <c r="CV245" s="54">
        <f t="shared" si="36"/>
        <v>44530008</v>
      </c>
      <c r="CW245" s="55">
        <f t="shared" si="37"/>
        <v>0</v>
      </c>
      <c r="CX245" s="16"/>
      <c r="CY245" s="16"/>
      <c r="CZ245" s="8"/>
      <c r="DA245" s="8"/>
      <c r="DB245" s="8"/>
      <c r="DC245" s="8"/>
      <c r="DD245" s="8"/>
    </row>
    <row r="246" spans="1:108" ht="15" customHeight="1" x14ac:dyDescent="0.2">
      <c r="A246" s="1">
        <v>8000992369</v>
      </c>
      <c r="B246" s="1">
        <v>800099236</v>
      </c>
      <c r="C246" s="9">
        <v>210654206</v>
      </c>
      <c r="D246" s="10" t="s">
        <v>759</v>
      </c>
      <c r="E246" s="46" t="s">
        <v>1777</v>
      </c>
      <c r="F246" s="21"/>
      <c r="G246" s="50"/>
      <c r="H246" s="21"/>
      <c r="I246" s="50"/>
      <c r="J246" s="21"/>
      <c r="K246" s="21"/>
      <c r="L246" s="50"/>
      <c r="M246" s="51"/>
      <c r="N246" s="21"/>
      <c r="O246" s="50"/>
      <c r="P246" s="21"/>
      <c r="Q246" s="50"/>
      <c r="R246" s="21"/>
      <c r="S246" s="21"/>
      <c r="T246" s="50"/>
      <c r="U246" s="51">
        <f t="shared" si="31"/>
        <v>0</v>
      </c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>
        <v>182840865</v>
      </c>
      <c r="AZ246" s="51"/>
      <c r="BA246" s="51">
        <f>VLOOKUP(B246,[1]Hoja3!J$3:K$674,2,0)</f>
        <v>271332955</v>
      </c>
      <c r="BB246" s="51"/>
      <c r="BC246" s="52">
        <f t="shared" si="34"/>
        <v>454173820</v>
      </c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>
        <v>36568173</v>
      </c>
      <c r="BO246" s="51"/>
      <c r="BP246" s="52">
        <v>490741993</v>
      </c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>
        <v>36568173</v>
      </c>
      <c r="CD246" s="52"/>
      <c r="CE246" s="52"/>
      <c r="CF246" s="52"/>
      <c r="CG246" s="52">
        <f t="shared" si="35"/>
        <v>527310166</v>
      </c>
      <c r="CH246" s="52"/>
      <c r="CI246" s="52"/>
      <c r="CJ246" s="52"/>
      <c r="CK246" s="52"/>
      <c r="CL246" s="52"/>
      <c r="CM246" s="52"/>
      <c r="CN246" s="52"/>
      <c r="CO246" s="52"/>
      <c r="CP246" s="52"/>
      <c r="CQ246" s="52">
        <v>36568173</v>
      </c>
      <c r="CR246" s="52"/>
      <c r="CS246" s="52">
        <f t="shared" si="32"/>
        <v>563878339</v>
      </c>
      <c r="CT246" s="53">
        <v>292545384</v>
      </c>
      <c r="CU246" s="53">
        <f t="shared" si="33"/>
        <v>271332955</v>
      </c>
      <c r="CV246" s="54">
        <f t="shared" si="36"/>
        <v>563878339</v>
      </c>
      <c r="CW246" s="55">
        <f t="shared" si="37"/>
        <v>0</v>
      </c>
      <c r="CX246" s="16"/>
      <c r="CY246" s="16"/>
      <c r="CZ246" s="16"/>
    </row>
    <row r="247" spans="1:108" ht="15" customHeight="1" x14ac:dyDescent="0.2">
      <c r="A247" s="1">
        <v>8909807673</v>
      </c>
      <c r="B247" s="1">
        <v>890980767</v>
      </c>
      <c r="C247" s="9">
        <v>211205212</v>
      </c>
      <c r="D247" s="10" t="s">
        <v>81</v>
      </c>
      <c r="E247" s="46" t="s">
        <v>1112</v>
      </c>
      <c r="F247" s="21"/>
      <c r="G247" s="50"/>
      <c r="H247" s="21"/>
      <c r="I247" s="50"/>
      <c r="J247" s="21"/>
      <c r="K247" s="21"/>
      <c r="L247" s="50"/>
      <c r="M247" s="51"/>
      <c r="N247" s="21"/>
      <c r="O247" s="50"/>
      <c r="P247" s="21"/>
      <c r="Q247" s="50"/>
      <c r="R247" s="21"/>
      <c r="S247" s="21"/>
      <c r="T247" s="50"/>
      <c r="U247" s="51">
        <f t="shared" si="31"/>
        <v>0</v>
      </c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>
        <v>393179934</v>
      </c>
      <c r="AN247" s="51">
        <f>SUBTOTAL(9,AC247:AM247)</f>
        <v>393179934</v>
      </c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>
        <f>VLOOKUP(B247,[1]Hoja3!J$3:K$674,2,0)</f>
        <v>345267665</v>
      </c>
      <c r="BB247" s="51"/>
      <c r="BC247" s="52">
        <f t="shared" si="34"/>
        <v>738447599</v>
      </c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>
        <v>0</v>
      </c>
      <c r="BO247" s="51"/>
      <c r="BP247" s="52">
        <v>738447599</v>
      </c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>
        <v>71152280</v>
      </c>
      <c r="CD247" s="52">
        <v>426913680</v>
      </c>
      <c r="CE247" s="52"/>
      <c r="CF247" s="52"/>
      <c r="CG247" s="52">
        <f t="shared" si="35"/>
        <v>1236513559</v>
      </c>
      <c r="CH247" s="52"/>
      <c r="CI247" s="52"/>
      <c r="CJ247" s="52"/>
      <c r="CK247" s="52"/>
      <c r="CL247" s="52"/>
      <c r="CM247" s="52"/>
      <c r="CN247" s="52"/>
      <c r="CO247" s="52"/>
      <c r="CP247" s="52"/>
      <c r="CQ247" s="52">
        <v>71152280</v>
      </c>
      <c r="CR247" s="52"/>
      <c r="CS247" s="52">
        <f t="shared" si="32"/>
        <v>1307665839</v>
      </c>
      <c r="CT247" s="53">
        <v>569218240</v>
      </c>
      <c r="CU247" s="53">
        <f t="shared" si="33"/>
        <v>738447599</v>
      </c>
      <c r="CV247" s="54">
        <f t="shared" si="36"/>
        <v>1307665839</v>
      </c>
      <c r="CW247" s="55">
        <f t="shared" si="37"/>
        <v>0</v>
      </c>
      <c r="CX247" s="16"/>
      <c r="CY247" s="16"/>
      <c r="CZ247" s="16"/>
    </row>
    <row r="248" spans="1:108" ht="15" customHeight="1" x14ac:dyDescent="0.2">
      <c r="A248" s="1">
        <v>8918013639</v>
      </c>
      <c r="B248" s="1">
        <v>891801363</v>
      </c>
      <c r="C248" s="9">
        <v>211215212</v>
      </c>
      <c r="D248" s="10" t="s">
        <v>239</v>
      </c>
      <c r="E248" s="46" t="s">
        <v>1274</v>
      </c>
      <c r="F248" s="21"/>
      <c r="G248" s="50"/>
      <c r="H248" s="21"/>
      <c r="I248" s="50"/>
      <c r="J248" s="21"/>
      <c r="K248" s="21"/>
      <c r="L248" s="50"/>
      <c r="M248" s="51"/>
      <c r="N248" s="21"/>
      <c r="O248" s="50"/>
      <c r="P248" s="21"/>
      <c r="Q248" s="50"/>
      <c r="R248" s="21"/>
      <c r="S248" s="21"/>
      <c r="T248" s="50"/>
      <c r="U248" s="51">
        <f t="shared" si="31"/>
        <v>0</v>
      </c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>
        <v>51372672</v>
      </c>
      <c r="AN248" s="51">
        <f>SUBTOTAL(9,AC248:AM248)</f>
        <v>51372672</v>
      </c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>
        <v>28409895</v>
      </c>
      <c r="AZ248" s="51"/>
      <c r="BA248" s="51"/>
      <c r="BB248" s="51"/>
      <c r="BC248" s="52">
        <f t="shared" si="34"/>
        <v>79782567</v>
      </c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>
        <v>5681979</v>
      </c>
      <c r="BO248" s="51"/>
      <c r="BP248" s="52">
        <v>85464546</v>
      </c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>
        <v>5681979</v>
      </c>
      <c r="CD248" s="52"/>
      <c r="CE248" s="52"/>
      <c r="CF248" s="52"/>
      <c r="CG248" s="52">
        <f t="shared" si="35"/>
        <v>91146525</v>
      </c>
      <c r="CH248" s="52"/>
      <c r="CI248" s="52"/>
      <c r="CJ248" s="52"/>
      <c r="CK248" s="52"/>
      <c r="CL248" s="52"/>
      <c r="CM248" s="52"/>
      <c r="CN248" s="52"/>
      <c r="CO248" s="52"/>
      <c r="CP248" s="52"/>
      <c r="CQ248" s="52">
        <v>5681979</v>
      </c>
      <c r="CR248" s="52"/>
      <c r="CS248" s="52">
        <f t="shared" si="32"/>
        <v>96828504</v>
      </c>
      <c r="CT248" s="53">
        <v>45455832</v>
      </c>
      <c r="CU248" s="53">
        <f t="shared" si="33"/>
        <v>51372672</v>
      </c>
      <c r="CV248" s="54">
        <f t="shared" si="36"/>
        <v>96828504</v>
      </c>
      <c r="CW248" s="55">
        <f t="shared" si="37"/>
        <v>0</v>
      </c>
      <c r="CX248" s="16"/>
      <c r="CY248" s="16"/>
      <c r="CZ248" s="8"/>
      <c r="DA248" s="8"/>
      <c r="DB248" s="8"/>
      <c r="DC248" s="8"/>
      <c r="DD248" s="8"/>
    </row>
    <row r="249" spans="1:108" ht="15" customHeight="1" x14ac:dyDescent="0.2">
      <c r="A249" s="1">
        <v>8000386131</v>
      </c>
      <c r="B249" s="1">
        <v>800038613</v>
      </c>
      <c r="C249" s="9">
        <v>211213212</v>
      </c>
      <c r="D249" s="10" t="s">
        <v>189</v>
      </c>
      <c r="E249" s="46" t="s">
        <v>1219</v>
      </c>
      <c r="F249" s="21"/>
      <c r="G249" s="50"/>
      <c r="H249" s="21"/>
      <c r="I249" s="50"/>
      <c r="J249" s="21"/>
      <c r="K249" s="21"/>
      <c r="L249" s="50"/>
      <c r="M249" s="51"/>
      <c r="N249" s="21"/>
      <c r="O249" s="50"/>
      <c r="P249" s="21"/>
      <c r="Q249" s="50"/>
      <c r="R249" s="21"/>
      <c r="S249" s="21"/>
      <c r="T249" s="50"/>
      <c r="U249" s="51">
        <f t="shared" si="31"/>
        <v>0</v>
      </c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>
        <v>327157920</v>
      </c>
      <c r="AN249" s="51">
        <f>SUBTOTAL(9,AC249:AM249)</f>
        <v>327157920</v>
      </c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2">
        <f t="shared" si="34"/>
        <v>327157920</v>
      </c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>
        <v>0</v>
      </c>
      <c r="BO249" s="51"/>
      <c r="BP249" s="52">
        <v>327157920</v>
      </c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>
        <v>0</v>
      </c>
      <c r="CD249" s="52"/>
      <c r="CE249" s="52"/>
      <c r="CF249" s="52"/>
      <c r="CG249" s="52">
        <f t="shared" si="35"/>
        <v>327157920</v>
      </c>
      <c r="CH249" s="52"/>
      <c r="CI249" s="52"/>
      <c r="CJ249" s="52"/>
      <c r="CK249" s="52"/>
      <c r="CL249" s="52"/>
      <c r="CM249" s="52"/>
      <c r="CN249" s="52"/>
      <c r="CO249" s="52"/>
      <c r="CP249" s="52"/>
      <c r="CQ249" s="52">
        <v>328721320</v>
      </c>
      <c r="CR249" s="52"/>
      <c r="CS249" s="52">
        <f t="shared" si="32"/>
        <v>655879240</v>
      </c>
      <c r="CT249" s="53">
        <v>328721320</v>
      </c>
      <c r="CU249" s="53">
        <f t="shared" si="33"/>
        <v>327157920</v>
      </c>
      <c r="CV249" s="54">
        <f t="shared" si="36"/>
        <v>655879240</v>
      </c>
      <c r="CW249" s="55">
        <f t="shared" si="37"/>
        <v>0</v>
      </c>
      <c r="CX249" s="16"/>
      <c r="CY249" s="16"/>
      <c r="CZ249" s="8"/>
      <c r="DA249" s="8"/>
      <c r="DB249" s="8"/>
      <c r="DC249" s="8"/>
      <c r="DD249" s="8"/>
    </row>
    <row r="250" spans="1:108" ht="15" customHeight="1" x14ac:dyDescent="0.2">
      <c r="A250" s="1">
        <v>8000350241</v>
      </c>
      <c r="B250" s="1">
        <v>800035024</v>
      </c>
      <c r="C250" s="9">
        <v>211552215</v>
      </c>
      <c r="D250" s="10" t="s">
        <v>701</v>
      </c>
      <c r="E250" s="46" t="s">
        <v>1723</v>
      </c>
      <c r="F250" s="21"/>
      <c r="G250" s="50"/>
      <c r="H250" s="21"/>
      <c r="I250" s="50"/>
      <c r="J250" s="21"/>
      <c r="K250" s="21"/>
      <c r="L250" s="50"/>
      <c r="M250" s="51"/>
      <c r="N250" s="21"/>
      <c r="O250" s="50"/>
      <c r="P250" s="21"/>
      <c r="Q250" s="50"/>
      <c r="R250" s="21"/>
      <c r="S250" s="21"/>
      <c r="T250" s="50"/>
      <c r="U250" s="51">
        <f t="shared" si="31"/>
        <v>0</v>
      </c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>
        <v>228505542</v>
      </c>
      <c r="AN250" s="51">
        <f>SUBTOTAL(9,AC250:AM250)</f>
        <v>228505542</v>
      </c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2">
        <f t="shared" si="34"/>
        <v>228505542</v>
      </c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>
        <v>0</v>
      </c>
      <c r="BO250" s="51"/>
      <c r="BP250" s="52">
        <v>228505542</v>
      </c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>
        <v>217377391</v>
      </c>
      <c r="CD250" s="52"/>
      <c r="CE250" s="52"/>
      <c r="CF250" s="52"/>
      <c r="CG250" s="52">
        <f t="shared" si="35"/>
        <v>445882933</v>
      </c>
      <c r="CH250" s="52"/>
      <c r="CI250" s="52"/>
      <c r="CJ250" s="52"/>
      <c r="CK250" s="52"/>
      <c r="CL250" s="52"/>
      <c r="CM250" s="52"/>
      <c r="CN250" s="52"/>
      <c r="CO250" s="52"/>
      <c r="CP250" s="52"/>
      <c r="CQ250" s="52">
        <v>31053913</v>
      </c>
      <c r="CR250" s="52"/>
      <c r="CS250" s="52">
        <f t="shared" si="32"/>
        <v>476936846</v>
      </c>
      <c r="CT250" s="53">
        <v>248431304</v>
      </c>
      <c r="CU250" s="53">
        <f t="shared" si="33"/>
        <v>228505542</v>
      </c>
      <c r="CV250" s="54">
        <f t="shared" si="36"/>
        <v>476936846</v>
      </c>
      <c r="CW250" s="55">
        <f t="shared" si="37"/>
        <v>0</v>
      </c>
      <c r="CX250" s="16"/>
      <c r="CY250" s="16"/>
      <c r="CZ250" s="16"/>
    </row>
    <row r="251" spans="1:108" ht="15" customHeight="1" x14ac:dyDescent="0.2">
      <c r="A251" s="1">
        <v>8900010613</v>
      </c>
      <c r="B251" s="1">
        <v>890001061</v>
      </c>
      <c r="C251" s="9">
        <v>211263212</v>
      </c>
      <c r="D251" s="10" t="s">
        <v>792</v>
      </c>
      <c r="E251" s="46" t="s">
        <v>1809</v>
      </c>
      <c r="F251" s="21"/>
      <c r="G251" s="50"/>
      <c r="H251" s="21"/>
      <c r="I251" s="50"/>
      <c r="J251" s="21"/>
      <c r="K251" s="21"/>
      <c r="L251" s="50"/>
      <c r="M251" s="51"/>
      <c r="N251" s="21"/>
      <c r="O251" s="50"/>
      <c r="P251" s="21"/>
      <c r="Q251" s="50"/>
      <c r="R251" s="21"/>
      <c r="S251" s="21"/>
      <c r="T251" s="50"/>
      <c r="U251" s="51">
        <f t="shared" si="31"/>
        <v>0</v>
      </c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>
        <v>39296840</v>
      </c>
      <c r="AZ251" s="51"/>
      <c r="BA251" s="51">
        <f>VLOOKUP(B251,[1]Hoja3!J$3:K$674,2,0)</f>
        <v>73717037</v>
      </c>
      <c r="BB251" s="51"/>
      <c r="BC251" s="52">
        <f t="shared" si="34"/>
        <v>113013877</v>
      </c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>
        <v>7859368</v>
      </c>
      <c r="BO251" s="51"/>
      <c r="BP251" s="52">
        <v>120873245</v>
      </c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>
        <v>7859368</v>
      </c>
      <c r="CD251" s="52"/>
      <c r="CE251" s="52"/>
      <c r="CF251" s="52"/>
      <c r="CG251" s="52">
        <f t="shared" si="35"/>
        <v>128732613</v>
      </c>
      <c r="CH251" s="52"/>
      <c r="CI251" s="52"/>
      <c r="CJ251" s="52"/>
      <c r="CK251" s="52"/>
      <c r="CL251" s="52"/>
      <c r="CM251" s="52"/>
      <c r="CN251" s="52"/>
      <c r="CO251" s="52"/>
      <c r="CP251" s="52"/>
      <c r="CQ251" s="52">
        <v>7859368</v>
      </c>
      <c r="CR251" s="52"/>
      <c r="CS251" s="52">
        <f t="shared" si="32"/>
        <v>136591981</v>
      </c>
      <c r="CT251" s="53">
        <v>62874944</v>
      </c>
      <c r="CU251" s="53">
        <f t="shared" si="33"/>
        <v>73717037</v>
      </c>
      <c r="CV251" s="54">
        <f t="shared" si="36"/>
        <v>136591981</v>
      </c>
      <c r="CW251" s="55">
        <f t="shared" si="37"/>
        <v>0</v>
      </c>
      <c r="CX251" s="16"/>
      <c r="CY251" s="16"/>
      <c r="CZ251" s="16"/>
    </row>
    <row r="252" spans="1:108" ht="15" customHeight="1" x14ac:dyDescent="0.2">
      <c r="A252" s="1">
        <v>8915012830</v>
      </c>
      <c r="B252" s="1">
        <v>891501283</v>
      </c>
      <c r="C252" s="9">
        <v>211219212</v>
      </c>
      <c r="D252" s="10" t="s">
        <v>381</v>
      </c>
      <c r="E252" s="46" t="s">
        <v>1413</v>
      </c>
      <c r="F252" s="21"/>
      <c r="G252" s="50"/>
      <c r="H252" s="21"/>
      <c r="I252" s="50"/>
      <c r="J252" s="21"/>
      <c r="K252" s="21"/>
      <c r="L252" s="50"/>
      <c r="M252" s="51"/>
      <c r="N252" s="21"/>
      <c r="O252" s="50"/>
      <c r="P252" s="21"/>
      <c r="Q252" s="50"/>
      <c r="R252" s="21"/>
      <c r="S252" s="21"/>
      <c r="T252" s="50"/>
      <c r="U252" s="51">
        <f t="shared" si="31"/>
        <v>0</v>
      </c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>
        <v>232861575</v>
      </c>
      <c r="AZ252" s="51"/>
      <c r="BA252" s="51">
        <f>VLOOKUP(B252,[1]Hoja3!J$3:K$674,2,0)</f>
        <v>288702327</v>
      </c>
      <c r="BB252" s="51"/>
      <c r="BC252" s="52">
        <f t="shared" si="34"/>
        <v>521563902</v>
      </c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>
        <v>46572315</v>
      </c>
      <c r="BO252" s="51"/>
      <c r="BP252" s="52">
        <v>568136217</v>
      </c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>
        <v>46572315</v>
      </c>
      <c r="CD252" s="52"/>
      <c r="CE252" s="52"/>
      <c r="CF252" s="52"/>
      <c r="CG252" s="52">
        <f t="shared" si="35"/>
        <v>614708532</v>
      </c>
      <c r="CH252" s="52"/>
      <c r="CI252" s="52"/>
      <c r="CJ252" s="52"/>
      <c r="CK252" s="52"/>
      <c r="CL252" s="52"/>
      <c r="CM252" s="52"/>
      <c r="CN252" s="52"/>
      <c r="CO252" s="52"/>
      <c r="CP252" s="52"/>
      <c r="CQ252" s="52">
        <v>46572315</v>
      </c>
      <c r="CR252" s="52"/>
      <c r="CS252" s="52">
        <f t="shared" si="32"/>
        <v>661280847</v>
      </c>
      <c r="CT252" s="53">
        <v>372578520</v>
      </c>
      <c r="CU252" s="53">
        <f t="shared" si="33"/>
        <v>288702327</v>
      </c>
      <c r="CV252" s="54">
        <f t="shared" si="36"/>
        <v>661280847</v>
      </c>
      <c r="CW252" s="55">
        <f t="shared" si="37"/>
        <v>0</v>
      </c>
      <c r="CX252" s="16"/>
      <c r="CY252" s="16"/>
      <c r="CZ252" s="16"/>
    </row>
    <row r="253" spans="1:108" ht="15" customHeight="1" x14ac:dyDescent="0.2">
      <c r="A253" s="1">
        <v>8902050587</v>
      </c>
      <c r="B253" s="1">
        <v>890205058</v>
      </c>
      <c r="C253" s="9">
        <v>211768217</v>
      </c>
      <c r="D253" s="10" t="s">
        <v>833</v>
      </c>
      <c r="E253" s="46" t="s">
        <v>1848</v>
      </c>
      <c r="F253" s="21"/>
      <c r="G253" s="50"/>
      <c r="H253" s="21"/>
      <c r="I253" s="50"/>
      <c r="J253" s="21"/>
      <c r="K253" s="21"/>
      <c r="L253" s="50"/>
      <c r="M253" s="51"/>
      <c r="N253" s="21"/>
      <c r="O253" s="50"/>
      <c r="P253" s="21"/>
      <c r="Q253" s="50"/>
      <c r="R253" s="21"/>
      <c r="S253" s="21"/>
      <c r="T253" s="50"/>
      <c r="U253" s="51">
        <f t="shared" si="31"/>
        <v>0</v>
      </c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>
        <v>46798068</v>
      </c>
      <c r="AN253" s="51">
        <f>SUBTOTAL(9,AC253:AM253)</f>
        <v>46798068</v>
      </c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>
        <v>37283645</v>
      </c>
      <c r="AZ253" s="51"/>
      <c r="BA253" s="51">
        <f>VLOOKUP(B253,[1]Hoja3!J$3:K$674,2,0)</f>
        <v>38014824</v>
      </c>
      <c r="BB253" s="51"/>
      <c r="BC253" s="52">
        <f t="shared" si="34"/>
        <v>122096537</v>
      </c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>
        <v>7456729</v>
      </c>
      <c r="BO253" s="51"/>
      <c r="BP253" s="52">
        <v>129553266</v>
      </c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>
        <v>7456729</v>
      </c>
      <c r="CD253" s="52"/>
      <c r="CE253" s="52"/>
      <c r="CF253" s="52"/>
      <c r="CG253" s="52">
        <f t="shared" si="35"/>
        <v>137009995</v>
      </c>
      <c r="CH253" s="52"/>
      <c r="CI253" s="52"/>
      <c r="CJ253" s="52"/>
      <c r="CK253" s="52"/>
      <c r="CL253" s="52"/>
      <c r="CM253" s="52"/>
      <c r="CN253" s="52"/>
      <c r="CO253" s="52"/>
      <c r="CP253" s="52"/>
      <c r="CQ253" s="52">
        <v>7456729</v>
      </c>
      <c r="CR253" s="52"/>
      <c r="CS253" s="52">
        <f t="shared" si="32"/>
        <v>144466724</v>
      </c>
      <c r="CT253" s="53">
        <v>59653832</v>
      </c>
      <c r="CU253" s="53">
        <f t="shared" si="33"/>
        <v>84812892</v>
      </c>
      <c r="CV253" s="54">
        <f t="shared" si="36"/>
        <v>144466724</v>
      </c>
      <c r="CW253" s="55">
        <f t="shared" si="37"/>
        <v>0</v>
      </c>
      <c r="CX253" s="16"/>
      <c r="CY253" s="16"/>
      <c r="CZ253" s="16"/>
    </row>
    <row r="254" spans="1:108" ht="15" customHeight="1" x14ac:dyDescent="0.2">
      <c r="A254" s="1">
        <v>8922800322</v>
      </c>
      <c r="B254" s="1">
        <v>892280032</v>
      </c>
      <c r="C254" s="9">
        <v>211570215</v>
      </c>
      <c r="D254" s="10" t="s">
        <v>893</v>
      </c>
      <c r="E254" s="46" t="s">
        <v>1906</v>
      </c>
      <c r="F254" s="21"/>
      <c r="G254" s="50"/>
      <c r="H254" s="21"/>
      <c r="I254" s="50"/>
      <c r="J254" s="21"/>
      <c r="K254" s="21"/>
      <c r="L254" s="50"/>
      <c r="M254" s="51"/>
      <c r="N254" s="21"/>
      <c r="O254" s="50"/>
      <c r="P254" s="21"/>
      <c r="Q254" s="50"/>
      <c r="R254" s="21"/>
      <c r="S254" s="21"/>
      <c r="T254" s="50"/>
      <c r="U254" s="51">
        <f t="shared" si="31"/>
        <v>0</v>
      </c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>
        <v>644769541</v>
      </c>
      <c r="AN254" s="51">
        <f>SUBTOTAL(9,AC254:AM254)</f>
        <v>644769541</v>
      </c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>
        <v>527732675</v>
      </c>
      <c r="AZ254" s="51"/>
      <c r="BA254" s="51">
        <f>VLOOKUP(B254,[1]Hoja3!J$3:K$674,2,0)</f>
        <v>328607176</v>
      </c>
      <c r="BB254" s="51"/>
      <c r="BC254" s="52">
        <f t="shared" si="34"/>
        <v>1501109392</v>
      </c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>
        <v>105546535</v>
      </c>
      <c r="BO254" s="51"/>
      <c r="BP254" s="52">
        <v>1606655927</v>
      </c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>
        <v>105546535</v>
      </c>
      <c r="CD254" s="52"/>
      <c r="CE254" s="52"/>
      <c r="CF254" s="52"/>
      <c r="CG254" s="52">
        <f t="shared" si="35"/>
        <v>1712202462</v>
      </c>
      <c r="CH254" s="52"/>
      <c r="CI254" s="52"/>
      <c r="CJ254" s="52"/>
      <c r="CK254" s="52"/>
      <c r="CL254" s="52"/>
      <c r="CM254" s="52"/>
      <c r="CN254" s="52"/>
      <c r="CO254" s="52"/>
      <c r="CP254" s="52"/>
      <c r="CQ254" s="52">
        <v>105546535</v>
      </c>
      <c r="CR254" s="52"/>
      <c r="CS254" s="52">
        <f t="shared" si="32"/>
        <v>1817748997</v>
      </c>
      <c r="CT254" s="53">
        <v>844372280</v>
      </c>
      <c r="CU254" s="53">
        <f t="shared" si="33"/>
        <v>973376717</v>
      </c>
      <c r="CV254" s="54">
        <f t="shared" si="36"/>
        <v>1817748997</v>
      </c>
      <c r="CW254" s="55">
        <f t="shared" si="37"/>
        <v>0</v>
      </c>
      <c r="CX254" s="16"/>
      <c r="CY254" s="16"/>
      <c r="CZ254" s="16"/>
    </row>
    <row r="255" spans="1:108" ht="15" customHeight="1" x14ac:dyDescent="0.2">
      <c r="A255" s="1">
        <v>8918557482</v>
      </c>
      <c r="B255" s="1">
        <v>891855748</v>
      </c>
      <c r="C255" s="9">
        <v>211515215</v>
      </c>
      <c r="D255" s="10" t="s">
        <v>240</v>
      </c>
      <c r="E255" s="46" t="s">
        <v>1275</v>
      </c>
      <c r="F255" s="21"/>
      <c r="G255" s="50"/>
      <c r="H255" s="21"/>
      <c r="I255" s="50"/>
      <c r="J255" s="21"/>
      <c r="K255" s="21"/>
      <c r="L255" s="50"/>
      <c r="M255" s="51"/>
      <c r="N255" s="21"/>
      <c r="O255" s="50"/>
      <c r="P255" s="21"/>
      <c r="Q255" s="50"/>
      <c r="R255" s="21"/>
      <c r="S255" s="21"/>
      <c r="T255" s="50"/>
      <c r="U255" s="51">
        <f t="shared" si="31"/>
        <v>0</v>
      </c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>
        <v>34042595</v>
      </c>
      <c r="AN255" s="51">
        <f>SUBTOTAL(9,AC255:AM255)</f>
        <v>34042595</v>
      </c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>
        <v>15463165</v>
      </c>
      <c r="AZ255" s="51"/>
      <c r="BA255" s="51"/>
      <c r="BB255" s="51"/>
      <c r="BC255" s="52">
        <f t="shared" si="34"/>
        <v>49505760</v>
      </c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>
        <v>3092633</v>
      </c>
      <c r="BO255" s="51"/>
      <c r="BP255" s="52">
        <v>52598393</v>
      </c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>
        <v>3092633</v>
      </c>
      <c r="CD255" s="52"/>
      <c r="CE255" s="52"/>
      <c r="CF255" s="52"/>
      <c r="CG255" s="52">
        <f t="shared" si="35"/>
        <v>55691026</v>
      </c>
      <c r="CH255" s="52"/>
      <c r="CI255" s="52"/>
      <c r="CJ255" s="52"/>
      <c r="CK255" s="52"/>
      <c r="CL255" s="52"/>
      <c r="CM255" s="52"/>
      <c r="CN255" s="52"/>
      <c r="CO255" s="52"/>
      <c r="CP255" s="52"/>
      <c r="CQ255" s="52">
        <v>3092633</v>
      </c>
      <c r="CR255" s="52"/>
      <c r="CS255" s="52">
        <f t="shared" si="32"/>
        <v>58783659</v>
      </c>
      <c r="CT255" s="53">
        <v>24741064</v>
      </c>
      <c r="CU255" s="53">
        <f t="shared" si="33"/>
        <v>34042595</v>
      </c>
      <c r="CV255" s="54">
        <f t="shared" si="36"/>
        <v>58783659</v>
      </c>
      <c r="CW255" s="55">
        <f t="shared" si="37"/>
        <v>0</v>
      </c>
      <c r="CX255" s="16"/>
      <c r="CY255" s="16"/>
      <c r="CZ255" s="8"/>
      <c r="DA255" s="8"/>
      <c r="DB255" s="8"/>
      <c r="DC255" s="8"/>
      <c r="DD255" s="8"/>
    </row>
    <row r="256" spans="1:108" ht="15" customHeight="1" x14ac:dyDescent="0.2">
      <c r="A256" s="1">
        <v>8999997053</v>
      </c>
      <c r="B256" s="1">
        <v>899999705</v>
      </c>
      <c r="C256" s="9">
        <v>211425214</v>
      </c>
      <c r="D256" s="10" t="s">
        <v>480</v>
      </c>
      <c r="E256" s="46" t="s">
        <v>1506</v>
      </c>
      <c r="F256" s="21"/>
      <c r="G256" s="50"/>
      <c r="H256" s="21"/>
      <c r="I256" s="50"/>
      <c r="J256" s="21"/>
      <c r="K256" s="21"/>
      <c r="L256" s="50"/>
      <c r="M256" s="51"/>
      <c r="N256" s="21"/>
      <c r="O256" s="50"/>
      <c r="P256" s="21"/>
      <c r="Q256" s="50"/>
      <c r="R256" s="21"/>
      <c r="S256" s="21"/>
      <c r="T256" s="50"/>
      <c r="U256" s="51">
        <f t="shared" si="31"/>
        <v>0</v>
      </c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>
        <v>274239706</v>
      </c>
      <c r="AN256" s="51">
        <f>SUBTOTAL(9,AC256:AM256)</f>
        <v>274239706</v>
      </c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2">
        <f t="shared" si="34"/>
        <v>274239706</v>
      </c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>
        <v>0</v>
      </c>
      <c r="BO256" s="51"/>
      <c r="BP256" s="52">
        <v>274239706</v>
      </c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>
        <v>0</v>
      </c>
      <c r="CD256" s="52"/>
      <c r="CE256" s="52"/>
      <c r="CF256" s="52"/>
      <c r="CG256" s="52">
        <f t="shared" si="35"/>
        <v>274239706</v>
      </c>
      <c r="CH256" s="52"/>
      <c r="CI256" s="52"/>
      <c r="CJ256" s="52"/>
      <c r="CK256" s="52"/>
      <c r="CL256" s="52"/>
      <c r="CM256" s="52"/>
      <c r="CN256" s="52"/>
      <c r="CO256" s="52"/>
      <c r="CP256" s="52"/>
      <c r="CQ256" s="52">
        <v>0</v>
      </c>
      <c r="CR256" s="52"/>
      <c r="CS256" s="52">
        <f t="shared" si="32"/>
        <v>274239706</v>
      </c>
      <c r="CT256" s="53"/>
      <c r="CU256" s="53">
        <f t="shared" si="33"/>
        <v>274239706</v>
      </c>
      <c r="CV256" s="54">
        <f t="shared" si="36"/>
        <v>274239706</v>
      </c>
      <c r="CW256" s="55">
        <f t="shared" si="37"/>
        <v>0</v>
      </c>
      <c r="CX256" s="16"/>
      <c r="CY256" s="16"/>
      <c r="CZ256" s="16"/>
    </row>
    <row r="257" spans="1:108" ht="15" customHeight="1" x14ac:dyDescent="0.2">
      <c r="A257" s="1">
        <v>8120016751</v>
      </c>
      <c r="B257" s="1">
        <v>812001675</v>
      </c>
      <c r="C257" s="9">
        <v>210023300</v>
      </c>
      <c r="D257" s="10" t="s">
        <v>444</v>
      </c>
      <c r="E257" s="46" t="s">
        <v>1471</v>
      </c>
      <c r="F257" s="21"/>
      <c r="G257" s="50"/>
      <c r="H257" s="21"/>
      <c r="I257" s="50"/>
      <c r="J257" s="21"/>
      <c r="K257" s="21"/>
      <c r="L257" s="50"/>
      <c r="M257" s="51"/>
      <c r="N257" s="21"/>
      <c r="O257" s="50"/>
      <c r="P257" s="21"/>
      <c r="Q257" s="50"/>
      <c r="R257" s="21"/>
      <c r="S257" s="21"/>
      <c r="T257" s="50"/>
      <c r="U257" s="51">
        <f t="shared" si="31"/>
        <v>0</v>
      </c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>
        <v>184977527</v>
      </c>
      <c r="AN257" s="51">
        <f>SUBTOTAL(9,AC257:AM257)</f>
        <v>184977527</v>
      </c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>
        <f>VLOOKUP(B257,[1]Hoja3!J$3:K$674,2,0)</f>
        <v>87755393</v>
      </c>
      <c r="BB257" s="51"/>
      <c r="BC257" s="52">
        <f t="shared" si="34"/>
        <v>272732920</v>
      </c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>
        <v>33845731</v>
      </c>
      <c r="BO257" s="51"/>
      <c r="BP257" s="52">
        <v>306578651</v>
      </c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>
        <v>33845731</v>
      </c>
      <c r="CD257" s="52">
        <v>169228655</v>
      </c>
      <c r="CE257" s="52"/>
      <c r="CF257" s="52"/>
      <c r="CG257" s="52">
        <f t="shared" si="35"/>
        <v>509653037</v>
      </c>
      <c r="CH257" s="52"/>
      <c r="CI257" s="52"/>
      <c r="CJ257" s="52"/>
      <c r="CK257" s="52"/>
      <c r="CL257" s="52"/>
      <c r="CM257" s="52"/>
      <c r="CN257" s="52"/>
      <c r="CO257" s="52"/>
      <c r="CP257" s="52"/>
      <c r="CQ257" s="52">
        <v>33845731</v>
      </c>
      <c r="CR257" s="52"/>
      <c r="CS257" s="52">
        <f t="shared" si="32"/>
        <v>543498768</v>
      </c>
      <c r="CT257" s="53">
        <v>270765848</v>
      </c>
      <c r="CU257" s="53">
        <f t="shared" si="33"/>
        <v>272732920</v>
      </c>
      <c r="CV257" s="54">
        <f t="shared" si="36"/>
        <v>543498768</v>
      </c>
      <c r="CW257" s="55">
        <f t="shared" si="37"/>
        <v>0</v>
      </c>
      <c r="CX257" s="16"/>
      <c r="CY257" s="16"/>
      <c r="CZ257" s="16"/>
    </row>
    <row r="258" spans="1:108" ht="15" customHeight="1" x14ac:dyDescent="0.2">
      <c r="A258" s="1">
        <v>8918579202</v>
      </c>
      <c r="B258" s="1">
        <v>891857920</v>
      </c>
      <c r="C258" s="9">
        <v>211815218</v>
      </c>
      <c r="D258" s="10" t="s">
        <v>241</v>
      </c>
      <c r="E258" s="46" t="s">
        <v>1276</v>
      </c>
      <c r="F258" s="21"/>
      <c r="G258" s="50"/>
      <c r="H258" s="21"/>
      <c r="I258" s="50"/>
      <c r="J258" s="21"/>
      <c r="K258" s="21"/>
      <c r="L258" s="50"/>
      <c r="M258" s="51"/>
      <c r="N258" s="21"/>
      <c r="O258" s="50"/>
      <c r="P258" s="21"/>
      <c r="Q258" s="50"/>
      <c r="R258" s="21"/>
      <c r="S258" s="21"/>
      <c r="T258" s="50"/>
      <c r="U258" s="51">
        <f t="shared" si="31"/>
        <v>0</v>
      </c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>
        <f>VLOOKUP(B258,[1]Hoja3!J$3:K$674,2,0)</f>
        <v>38026929</v>
      </c>
      <c r="BB258" s="51"/>
      <c r="BC258" s="52">
        <f t="shared" si="34"/>
        <v>38026929</v>
      </c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>
        <v>0</v>
      </c>
      <c r="BO258" s="51"/>
      <c r="BP258" s="52">
        <v>38026929</v>
      </c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>
        <v>0</v>
      </c>
      <c r="CD258" s="52"/>
      <c r="CE258" s="52"/>
      <c r="CF258" s="52"/>
      <c r="CG258" s="52">
        <f t="shared" si="35"/>
        <v>38026929</v>
      </c>
      <c r="CH258" s="52"/>
      <c r="CI258" s="52"/>
      <c r="CJ258" s="52"/>
      <c r="CK258" s="52"/>
      <c r="CL258" s="52"/>
      <c r="CM258" s="52"/>
      <c r="CN258" s="52"/>
      <c r="CO258" s="52"/>
      <c r="CP258" s="52"/>
      <c r="CQ258" s="52">
        <v>0</v>
      </c>
      <c r="CR258" s="52"/>
      <c r="CS258" s="52">
        <f t="shared" si="32"/>
        <v>38026929</v>
      </c>
      <c r="CT258" s="53"/>
      <c r="CU258" s="53">
        <f t="shared" si="33"/>
        <v>38026929</v>
      </c>
      <c r="CV258" s="54">
        <f t="shared" si="36"/>
        <v>38026929</v>
      </c>
      <c r="CW258" s="55">
        <f t="shared" si="37"/>
        <v>0</v>
      </c>
      <c r="CX258" s="16"/>
      <c r="CY258" s="16"/>
      <c r="CZ258" s="8"/>
      <c r="DA258" s="8"/>
      <c r="DB258" s="8"/>
      <c r="DC258" s="8"/>
      <c r="DD258" s="8"/>
    </row>
    <row r="259" spans="1:108" ht="15" customHeight="1" x14ac:dyDescent="0.2">
      <c r="A259" s="1">
        <v>8230035437</v>
      </c>
      <c r="B259" s="1">
        <v>823003543</v>
      </c>
      <c r="C259" s="9">
        <v>89970221</v>
      </c>
      <c r="D259" s="10" t="s">
        <v>894</v>
      </c>
      <c r="E259" s="46" t="s">
        <v>1907</v>
      </c>
      <c r="F259" s="21"/>
      <c r="G259" s="50"/>
      <c r="H259" s="21"/>
      <c r="I259" s="50"/>
      <c r="J259" s="21"/>
      <c r="K259" s="21"/>
      <c r="L259" s="50"/>
      <c r="M259" s="51"/>
      <c r="N259" s="21"/>
      <c r="O259" s="50"/>
      <c r="P259" s="21"/>
      <c r="Q259" s="50"/>
      <c r="R259" s="21"/>
      <c r="S259" s="21"/>
      <c r="T259" s="50"/>
      <c r="U259" s="51">
        <f t="shared" ref="U259:U322" si="40">SUM(M259:T259)</f>
        <v>0</v>
      </c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>
        <v>174356907</v>
      </c>
      <c r="AN259" s="51">
        <f>SUBTOTAL(9,AC259:AM259)</f>
        <v>174356907</v>
      </c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>
        <v>143848070</v>
      </c>
      <c r="AZ259" s="51"/>
      <c r="BA259" s="51">
        <f>VLOOKUP(B259,[1]Hoja3!J$3:K$674,2,0)</f>
        <v>97396083</v>
      </c>
      <c r="BB259" s="51">
        <f>VLOOKUP(B259,'[2]anuladas en mayo gratuidad}'!K$2:L$55,2,0)</f>
        <v>30279439</v>
      </c>
      <c r="BC259" s="52">
        <f t="shared" si="34"/>
        <v>385321621</v>
      </c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>
        <v>28769614</v>
      </c>
      <c r="BO259" s="51"/>
      <c r="BP259" s="52">
        <v>414091235</v>
      </c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>
        <v>28769614</v>
      </c>
      <c r="CD259" s="52"/>
      <c r="CE259" s="52"/>
      <c r="CF259" s="52"/>
      <c r="CG259" s="52">
        <f t="shared" si="35"/>
        <v>442860849</v>
      </c>
      <c r="CH259" s="52"/>
      <c r="CI259" s="52"/>
      <c r="CJ259" s="52"/>
      <c r="CK259" s="52"/>
      <c r="CL259" s="52"/>
      <c r="CM259" s="52"/>
      <c r="CN259" s="52"/>
      <c r="CO259" s="52"/>
      <c r="CP259" s="52"/>
      <c r="CQ259" s="52">
        <v>28769614</v>
      </c>
      <c r="CR259" s="52">
        <v>30279439</v>
      </c>
      <c r="CS259" s="52">
        <f t="shared" ref="CS259:CS322" si="41">SUM(CG259:CR259)</f>
        <v>501909902</v>
      </c>
      <c r="CT259" s="53">
        <v>230156912</v>
      </c>
      <c r="CU259" s="53">
        <f t="shared" ref="CU259:CU322" si="42">+AM259+BA259-BB259+BO259+CE259+CF259+CR259</f>
        <v>271752990</v>
      </c>
      <c r="CV259" s="54">
        <f t="shared" si="36"/>
        <v>501909902</v>
      </c>
      <c r="CW259" s="55">
        <f t="shared" si="37"/>
        <v>0</v>
      </c>
      <c r="CX259" s="16"/>
      <c r="CY259" s="16"/>
      <c r="CZ259" s="16"/>
    </row>
    <row r="260" spans="1:108" ht="15" customHeight="1" x14ac:dyDescent="0.2">
      <c r="A260" s="1">
        <v>8907020231</v>
      </c>
      <c r="B260" s="1">
        <v>890702023</v>
      </c>
      <c r="C260" s="9">
        <v>211773217</v>
      </c>
      <c r="D260" s="10" t="s">
        <v>2212</v>
      </c>
      <c r="E260" s="46" t="s">
        <v>1939</v>
      </c>
      <c r="F260" s="21"/>
      <c r="G260" s="50"/>
      <c r="H260" s="21"/>
      <c r="I260" s="50"/>
      <c r="J260" s="21"/>
      <c r="K260" s="21"/>
      <c r="L260" s="50"/>
      <c r="M260" s="51"/>
      <c r="N260" s="21"/>
      <c r="O260" s="50"/>
      <c r="P260" s="21"/>
      <c r="Q260" s="50"/>
      <c r="R260" s="21"/>
      <c r="S260" s="21"/>
      <c r="T260" s="50"/>
      <c r="U260" s="51">
        <f t="shared" si="40"/>
        <v>0</v>
      </c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>
        <v>311500355</v>
      </c>
      <c r="AZ260" s="51"/>
      <c r="BA260" s="51">
        <f>VLOOKUP(B260,[1]Hoja3!J$3:K$674,2,0)</f>
        <v>523410309</v>
      </c>
      <c r="BB260" s="51"/>
      <c r="BC260" s="52">
        <f t="shared" ref="BC260:BC323" si="43">SUM(AN260:BA260)-BB260</f>
        <v>834910664</v>
      </c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>
        <v>62300071</v>
      </c>
      <c r="BO260" s="51"/>
      <c r="BP260" s="52">
        <v>897210735</v>
      </c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>
        <v>62300071</v>
      </c>
      <c r="CD260" s="52"/>
      <c r="CE260" s="52"/>
      <c r="CF260" s="52"/>
      <c r="CG260" s="52">
        <f t="shared" ref="CG260:CG323" si="44">SUM(BP260:CF260)</f>
        <v>959510806</v>
      </c>
      <c r="CH260" s="52"/>
      <c r="CI260" s="52"/>
      <c r="CJ260" s="52"/>
      <c r="CK260" s="52"/>
      <c r="CL260" s="52"/>
      <c r="CM260" s="52"/>
      <c r="CN260" s="52"/>
      <c r="CO260" s="52"/>
      <c r="CP260" s="52"/>
      <c r="CQ260" s="52">
        <v>62300071</v>
      </c>
      <c r="CR260" s="52"/>
      <c r="CS260" s="52">
        <f t="shared" si="41"/>
        <v>1021810877</v>
      </c>
      <c r="CT260" s="53">
        <v>498400568</v>
      </c>
      <c r="CU260" s="53">
        <f t="shared" si="42"/>
        <v>523410309</v>
      </c>
      <c r="CV260" s="54">
        <f t="shared" ref="CV260:CV323" si="45">+CT260+CU260</f>
        <v>1021810877</v>
      </c>
      <c r="CW260" s="55">
        <f t="shared" ref="CW260:CW323" si="46">+CS260-CV260</f>
        <v>0</v>
      </c>
      <c r="CX260" s="16"/>
      <c r="CY260" s="16"/>
      <c r="CZ260" s="16"/>
    </row>
    <row r="261" spans="1:108" ht="15" customHeight="1" x14ac:dyDescent="0.2">
      <c r="A261" s="1">
        <v>8000144346</v>
      </c>
      <c r="B261" s="1">
        <v>800014434</v>
      </c>
      <c r="C261" s="9">
        <v>212081220</v>
      </c>
      <c r="D261" s="10" t="s">
        <v>950</v>
      </c>
      <c r="E261" s="46" t="s">
        <v>2010</v>
      </c>
      <c r="F261" s="21"/>
      <c r="G261" s="50"/>
      <c r="H261" s="21"/>
      <c r="I261" s="50"/>
      <c r="J261" s="21"/>
      <c r="K261" s="21"/>
      <c r="L261" s="50"/>
      <c r="M261" s="51"/>
      <c r="N261" s="21"/>
      <c r="O261" s="50"/>
      <c r="P261" s="21"/>
      <c r="Q261" s="50"/>
      <c r="R261" s="21"/>
      <c r="S261" s="21"/>
      <c r="T261" s="50"/>
      <c r="U261" s="51">
        <f t="shared" si="40"/>
        <v>0</v>
      </c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>
        <v>52999702</v>
      </c>
      <c r="AN261" s="51">
        <f>SUBTOTAL(9,AC261:AM261)</f>
        <v>52999702</v>
      </c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>
        <v>30823710</v>
      </c>
      <c r="AZ261" s="51"/>
      <c r="BA261" s="51"/>
      <c r="BB261" s="51"/>
      <c r="BC261" s="52">
        <f t="shared" si="43"/>
        <v>83823412</v>
      </c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>
        <v>6164742</v>
      </c>
      <c r="BO261" s="51"/>
      <c r="BP261" s="52">
        <v>89988154</v>
      </c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>
        <v>6164742</v>
      </c>
      <c r="CD261" s="52"/>
      <c r="CE261" s="52"/>
      <c r="CF261" s="52"/>
      <c r="CG261" s="52">
        <f t="shared" si="44"/>
        <v>96152896</v>
      </c>
      <c r="CH261" s="52"/>
      <c r="CI261" s="52"/>
      <c r="CJ261" s="52"/>
      <c r="CK261" s="52"/>
      <c r="CL261" s="52"/>
      <c r="CM261" s="52"/>
      <c r="CN261" s="52"/>
      <c r="CO261" s="52"/>
      <c r="CP261" s="52"/>
      <c r="CQ261" s="52">
        <v>6164742</v>
      </c>
      <c r="CR261" s="52"/>
      <c r="CS261" s="52">
        <f t="shared" si="41"/>
        <v>102317638</v>
      </c>
      <c r="CT261" s="53">
        <v>49317936</v>
      </c>
      <c r="CU261" s="53">
        <f t="shared" si="42"/>
        <v>52999702</v>
      </c>
      <c r="CV261" s="54">
        <f t="shared" si="45"/>
        <v>102317638</v>
      </c>
      <c r="CW261" s="55">
        <f t="shared" si="46"/>
        <v>0</v>
      </c>
      <c r="CX261" s="16"/>
      <c r="CY261" s="16"/>
      <c r="CZ261" s="16"/>
    </row>
    <row r="262" spans="1:108" ht="15" customHeight="1" x14ac:dyDescent="0.2">
      <c r="A262" s="1">
        <v>8000990703</v>
      </c>
      <c r="B262" s="1">
        <v>800099070</v>
      </c>
      <c r="C262" s="9">
        <v>212452224</v>
      </c>
      <c r="D262" s="10" t="s">
        <v>702</v>
      </c>
      <c r="E262" s="46" t="s">
        <v>1724</v>
      </c>
      <c r="F262" s="21"/>
      <c r="G262" s="50"/>
      <c r="H262" s="21"/>
      <c r="I262" s="50"/>
      <c r="J262" s="21"/>
      <c r="K262" s="21"/>
      <c r="L262" s="50"/>
      <c r="M262" s="51"/>
      <c r="N262" s="21"/>
      <c r="O262" s="50"/>
      <c r="P262" s="21"/>
      <c r="Q262" s="50"/>
      <c r="R262" s="21"/>
      <c r="S262" s="21"/>
      <c r="T262" s="50"/>
      <c r="U262" s="51">
        <f t="shared" si="40"/>
        <v>0</v>
      </c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>
        <v>104897894</v>
      </c>
      <c r="AN262" s="51">
        <f>SUBTOTAL(9,AC262:AM262)</f>
        <v>104897894</v>
      </c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>
        <v>53415685</v>
      </c>
      <c r="AZ262" s="51"/>
      <c r="BA262" s="51"/>
      <c r="BB262" s="51"/>
      <c r="BC262" s="52">
        <f t="shared" si="43"/>
        <v>158313579</v>
      </c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>
        <v>10683137</v>
      </c>
      <c r="BO262" s="51"/>
      <c r="BP262" s="52">
        <v>168996716</v>
      </c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>
        <v>10683137</v>
      </c>
      <c r="CD262" s="52"/>
      <c r="CE262" s="52"/>
      <c r="CF262" s="52"/>
      <c r="CG262" s="52">
        <f t="shared" si="44"/>
        <v>179679853</v>
      </c>
      <c r="CH262" s="52"/>
      <c r="CI262" s="52"/>
      <c r="CJ262" s="52"/>
      <c r="CK262" s="52"/>
      <c r="CL262" s="52"/>
      <c r="CM262" s="52"/>
      <c r="CN262" s="52"/>
      <c r="CO262" s="52"/>
      <c r="CP262" s="52"/>
      <c r="CQ262" s="52">
        <v>10683137</v>
      </c>
      <c r="CR262" s="52"/>
      <c r="CS262" s="52">
        <f t="shared" si="41"/>
        <v>190362990</v>
      </c>
      <c r="CT262" s="53">
        <v>85465096</v>
      </c>
      <c r="CU262" s="53">
        <f t="shared" si="42"/>
        <v>104897894</v>
      </c>
      <c r="CV262" s="54">
        <f t="shared" si="45"/>
        <v>190362990</v>
      </c>
      <c r="CW262" s="55">
        <f t="shared" si="46"/>
        <v>0</v>
      </c>
      <c r="CX262" s="16"/>
      <c r="CY262" s="16"/>
      <c r="CZ262" s="16"/>
    </row>
    <row r="263" spans="1:108" ht="15" customHeight="1" x14ac:dyDescent="0.2">
      <c r="A263" s="1">
        <v>8000991962</v>
      </c>
      <c r="B263" s="1">
        <v>800099196</v>
      </c>
      <c r="C263" s="9">
        <v>212315223</v>
      </c>
      <c r="D263" s="10" t="s">
        <v>242</v>
      </c>
      <c r="E263" s="46" t="s">
        <v>1277</v>
      </c>
      <c r="F263" s="21"/>
      <c r="G263" s="50"/>
      <c r="H263" s="21"/>
      <c r="I263" s="50"/>
      <c r="J263" s="21"/>
      <c r="K263" s="21"/>
      <c r="L263" s="50"/>
      <c r="M263" s="51"/>
      <c r="N263" s="21"/>
      <c r="O263" s="50"/>
      <c r="P263" s="21"/>
      <c r="Q263" s="50"/>
      <c r="R263" s="21"/>
      <c r="S263" s="21"/>
      <c r="T263" s="50"/>
      <c r="U263" s="51">
        <f t="shared" si="40"/>
        <v>0</v>
      </c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>
        <v>52506130</v>
      </c>
      <c r="AZ263" s="51"/>
      <c r="BA263" s="51">
        <f>VLOOKUP(B263,[1]Hoja3!J$3:K$674,2,0)</f>
        <v>100586290</v>
      </c>
      <c r="BB263" s="51"/>
      <c r="BC263" s="52">
        <f t="shared" si="43"/>
        <v>153092420</v>
      </c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>
        <v>10501226</v>
      </c>
      <c r="BO263" s="51"/>
      <c r="BP263" s="52">
        <v>163593646</v>
      </c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>
        <v>10501226</v>
      </c>
      <c r="CD263" s="52"/>
      <c r="CE263" s="52"/>
      <c r="CF263" s="52"/>
      <c r="CG263" s="52">
        <f t="shared" si="44"/>
        <v>174094872</v>
      </c>
      <c r="CH263" s="52"/>
      <c r="CI263" s="52"/>
      <c r="CJ263" s="52"/>
      <c r="CK263" s="52"/>
      <c r="CL263" s="52"/>
      <c r="CM263" s="52"/>
      <c r="CN263" s="52"/>
      <c r="CO263" s="52"/>
      <c r="CP263" s="52"/>
      <c r="CQ263" s="52">
        <v>10501226</v>
      </c>
      <c r="CR263" s="52"/>
      <c r="CS263" s="52">
        <f t="shared" si="41"/>
        <v>184596098</v>
      </c>
      <c r="CT263" s="53">
        <v>84009808</v>
      </c>
      <c r="CU263" s="53">
        <f t="shared" si="42"/>
        <v>100586290</v>
      </c>
      <c r="CV263" s="54">
        <f t="shared" si="45"/>
        <v>184596098</v>
      </c>
      <c r="CW263" s="55">
        <f t="shared" si="46"/>
        <v>0</v>
      </c>
      <c r="CX263" s="16"/>
      <c r="CY263" s="16"/>
      <c r="CZ263" s="8"/>
      <c r="DA263" s="8"/>
      <c r="DB263" s="8"/>
      <c r="DC263" s="8"/>
      <c r="DD263" s="8"/>
    </row>
    <row r="264" spans="1:108" ht="15" customHeight="1" x14ac:dyDescent="0.2">
      <c r="A264" s="1">
        <v>8920008120</v>
      </c>
      <c r="B264" s="1">
        <v>892000812</v>
      </c>
      <c r="C264" s="9">
        <v>212350223</v>
      </c>
      <c r="D264" s="10" t="s">
        <v>669</v>
      </c>
      <c r="E264" s="46" t="s">
        <v>1690</v>
      </c>
      <c r="F264" s="21"/>
      <c r="G264" s="50"/>
      <c r="H264" s="21"/>
      <c r="I264" s="50"/>
      <c r="J264" s="21"/>
      <c r="K264" s="21"/>
      <c r="L264" s="50"/>
      <c r="M264" s="51"/>
      <c r="N264" s="21"/>
      <c r="O264" s="50"/>
      <c r="P264" s="21"/>
      <c r="Q264" s="50"/>
      <c r="R264" s="21"/>
      <c r="S264" s="21"/>
      <c r="T264" s="50"/>
      <c r="U264" s="51">
        <f t="shared" si="40"/>
        <v>0</v>
      </c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>
        <v>97345342</v>
      </c>
      <c r="AN264" s="51">
        <f>SUBTOTAL(9,AC264:AM264)</f>
        <v>97345342</v>
      </c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>
        <v>41967090</v>
      </c>
      <c r="AZ264" s="51"/>
      <c r="BA264" s="51"/>
      <c r="BB264" s="51"/>
      <c r="BC264" s="52">
        <f t="shared" si="43"/>
        <v>139312432</v>
      </c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>
        <v>8393418</v>
      </c>
      <c r="BO264" s="51"/>
      <c r="BP264" s="52">
        <v>147705850</v>
      </c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>
        <v>8393418</v>
      </c>
      <c r="CD264" s="52"/>
      <c r="CE264" s="52"/>
      <c r="CF264" s="52"/>
      <c r="CG264" s="52">
        <f t="shared" si="44"/>
        <v>156099268</v>
      </c>
      <c r="CH264" s="52"/>
      <c r="CI264" s="52"/>
      <c r="CJ264" s="52"/>
      <c r="CK264" s="52"/>
      <c r="CL264" s="52"/>
      <c r="CM264" s="52"/>
      <c r="CN264" s="52"/>
      <c r="CO264" s="52"/>
      <c r="CP264" s="52"/>
      <c r="CQ264" s="52">
        <v>8393418</v>
      </c>
      <c r="CR264" s="52"/>
      <c r="CS264" s="52">
        <f t="shared" si="41"/>
        <v>164492686</v>
      </c>
      <c r="CT264" s="53">
        <v>67147344</v>
      </c>
      <c r="CU264" s="53">
        <f t="shared" si="42"/>
        <v>97345342</v>
      </c>
      <c r="CV264" s="54">
        <f t="shared" si="45"/>
        <v>164492686</v>
      </c>
      <c r="CW264" s="55">
        <f t="shared" si="46"/>
        <v>0</v>
      </c>
      <c r="CX264" s="16"/>
      <c r="CY264" s="16"/>
      <c r="CZ264" s="16"/>
    </row>
    <row r="265" spans="1:108" ht="15" customHeight="1" x14ac:dyDescent="0.2">
      <c r="A265" s="1">
        <v>8918020891</v>
      </c>
      <c r="B265" s="1">
        <v>891802089</v>
      </c>
      <c r="C265" s="9">
        <v>212415224</v>
      </c>
      <c r="D265" s="10" t="s">
        <v>243</v>
      </c>
      <c r="E265" s="46" t="s">
        <v>1278</v>
      </c>
      <c r="F265" s="21"/>
      <c r="G265" s="50"/>
      <c r="H265" s="21"/>
      <c r="I265" s="50"/>
      <c r="J265" s="21"/>
      <c r="K265" s="21"/>
      <c r="L265" s="50"/>
      <c r="M265" s="51"/>
      <c r="N265" s="21"/>
      <c r="O265" s="50"/>
      <c r="P265" s="21"/>
      <c r="Q265" s="50"/>
      <c r="R265" s="21"/>
      <c r="S265" s="21"/>
      <c r="T265" s="50"/>
      <c r="U265" s="51">
        <f t="shared" si="40"/>
        <v>0</v>
      </c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>
        <v>67733820</v>
      </c>
      <c r="AN265" s="51">
        <f>SUBTOTAL(9,AC265:AM265)</f>
        <v>67733820</v>
      </c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>
        <v>32739755</v>
      </c>
      <c r="AZ265" s="51"/>
      <c r="BA265" s="51"/>
      <c r="BB265" s="51"/>
      <c r="BC265" s="52">
        <f t="shared" si="43"/>
        <v>100473575</v>
      </c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>
        <v>6547951</v>
      </c>
      <c r="BO265" s="51"/>
      <c r="BP265" s="52">
        <v>107021526</v>
      </c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>
        <v>6547951</v>
      </c>
      <c r="CD265" s="52"/>
      <c r="CE265" s="52"/>
      <c r="CF265" s="52"/>
      <c r="CG265" s="52">
        <f t="shared" si="44"/>
        <v>113569477</v>
      </c>
      <c r="CH265" s="52"/>
      <c r="CI265" s="52"/>
      <c r="CJ265" s="52"/>
      <c r="CK265" s="52"/>
      <c r="CL265" s="52"/>
      <c r="CM265" s="52"/>
      <c r="CN265" s="52"/>
      <c r="CO265" s="52"/>
      <c r="CP265" s="52"/>
      <c r="CQ265" s="52">
        <v>6547951</v>
      </c>
      <c r="CR265" s="52"/>
      <c r="CS265" s="52">
        <f t="shared" si="41"/>
        <v>120117428</v>
      </c>
      <c r="CT265" s="53">
        <v>52383608</v>
      </c>
      <c r="CU265" s="53">
        <f t="shared" si="42"/>
        <v>67733820</v>
      </c>
      <c r="CV265" s="54">
        <f t="shared" si="45"/>
        <v>120117428</v>
      </c>
      <c r="CW265" s="55">
        <f t="shared" si="46"/>
        <v>0</v>
      </c>
      <c r="CX265" s="16"/>
      <c r="CY265" s="16"/>
      <c r="CZ265" s="8"/>
      <c r="DA265" s="8"/>
      <c r="DB265" s="8"/>
      <c r="DC265" s="8"/>
      <c r="DD265" s="8"/>
    </row>
    <row r="266" spans="1:108" ht="15" customHeight="1" x14ac:dyDescent="0.2">
      <c r="A266" s="1">
        <v>8999994066</v>
      </c>
      <c r="B266" s="1">
        <v>899999406</v>
      </c>
      <c r="C266" s="9">
        <v>212425224</v>
      </c>
      <c r="D266" s="10" t="s">
        <v>481</v>
      </c>
      <c r="E266" s="46" t="s">
        <v>1507</v>
      </c>
      <c r="F266" s="21"/>
      <c r="G266" s="50"/>
      <c r="H266" s="21"/>
      <c r="I266" s="50"/>
      <c r="J266" s="21"/>
      <c r="K266" s="21"/>
      <c r="L266" s="50"/>
      <c r="M266" s="51"/>
      <c r="N266" s="21"/>
      <c r="O266" s="50"/>
      <c r="P266" s="21"/>
      <c r="Q266" s="50"/>
      <c r="R266" s="21"/>
      <c r="S266" s="21"/>
      <c r="T266" s="50"/>
      <c r="U266" s="51">
        <f t="shared" si="40"/>
        <v>0</v>
      </c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>
        <v>119779007</v>
      </c>
      <c r="AN266" s="51">
        <f>SUBTOTAL(9,AC266:AM266)</f>
        <v>119779007</v>
      </c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2">
        <f t="shared" si="43"/>
        <v>119779007</v>
      </c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>
        <v>0</v>
      </c>
      <c r="BO266" s="51"/>
      <c r="BP266" s="52">
        <v>119779007</v>
      </c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>
        <v>0</v>
      </c>
      <c r="CD266" s="52"/>
      <c r="CE266" s="52"/>
      <c r="CF266" s="52"/>
      <c r="CG266" s="52">
        <f t="shared" si="44"/>
        <v>119779007</v>
      </c>
      <c r="CH266" s="52"/>
      <c r="CI266" s="52"/>
      <c r="CJ266" s="52"/>
      <c r="CK266" s="52"/>
      <c r="CL266" s="52"/>
      <c r="CM266" s="52"/>
      <c r="CN266" s="52"/>
      <c r="CO266" s="52"/>
      <c r="CP266" s="52"/>
      <c r="CQ266" s="52">
        <v>0</v>
      </c>
      <c r="CR266" s="52"/>
      <c r="CS266" s="52">
        <f t="shared" si="41"/>
        <v>119779007</v>
      </c>
      <c r="CT266" s="53"/>
      <c r="CU266" s="53">
        <f t="shared" si="42"/>
        <v>119779007</v>
      </c>
      <c r="CV266" s="54">
        <f t="shared" si="45"/>
        <v>119779007</v>
      </c>
      <c r="CW266" s="55">
        <f t="shared" si="46"/>
        <v>0</v>
      </c>
      <c r="CX266" s="16"/>
      <c r="CY266" s="16"/>
      <c r="CZ266" s="16"/>
    </row>
    <row r="267" spans="1:108" ht="15" customHeight="1" x14ac:dyDescent="0.2">
      <c r="A267" s="1">
        <v>8000132377</v>
      </c>
      <c r="B267" s="1">
        <v>800013237</v>
      </c>
      <c r="C267" s="9">
        <v>212354223</v>
      </c>
      <c r="D267" s="10" t="s">
        <v>760</v>
      </c>
      <c r="E267" s="46" t="s">
        <v>1778</v>
      </c>
      <c r="F267" s="21"/>
      <c r="G267" s="50"/>
      <c r="H267" s="21"/>
      <c r="I267" s="50"/>
      <c r="J267" s="21"/>
      <c r="K267" s="21"/>
      <c r="L267" s="50"/>
      <c r="M267" s="51"/>
      <c r="N267" s="21"/>
      <c r="O267" s="50"/>
      <c r="P267" s="21"/>
      <c r="Q267" s="50"/>
      <c r="R267" s="21"/>
      <c r="S267" s="21"/>
      <c r="T267" s="50"/>
      <c r="U267" s="51">
        <f t="shared" si="40"/>
        <v>0</v>
      </c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>
        <v>68459580</v>
      </c>
      <c r="AZ267" s="51"/>
      <c r="BA267" s="51">
        <f>VLOOKUP(B267,[1]Hoja3!J$3:K$674,2,0)</f>
        <v>127312121</v>
      </c>
      <c r="BB267" s="51"/>
      <c r="BC267" s="52">
        <f t="shared" si="43"/>
        <v>195771701</v>
      </c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>
        <v>13691916</v>
      </c>
      <c r="BO267" s="51"/>
      <c r="BP267" s="52">
        <v>209463617</v>
      </c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>
        <v>13691916</v>
      </c>
      <c r="CD267" s="52"/>
      <c r="CE267" s="52"/>
      <c r="CF267" s="52"/>
      <c r="CG267" s="52">
        <f t="shared" si="44"/>
        <v>223155533</v>
      </c>
      <c r="CH267" s="52"/>
      <c r="CI267" s="52"/>
      <c r="CJ267" s="52"/>
      <c r="CK267" s="52"/>
      <c r="CL267" s="52"/>
      <c r="CM267" s="52"/>
      <c r="CN267" s="52"/>
      <c r="CO267" s="52"/>
      <c r="CP267" s="52"/>
      <c r="CQ267" s="52">
        <v>13691916</v>
      </c>
      <c r="CR267" s="52"/>
      <c r="CS267" s="52">
        <f t="shared" si="41"/>
        <v>236847449</v>
      </c>
      <c r="CT267" s="53">
        <v>109535328</v>
      </c>
      <c r="CU267" s="53">
        <f t="shared" si="42"/>
        <v>127312121</v>
      </c>
      <c r="CV267" s="54">
        <f t="shared" si="45"/>
        <v>236847449</v>
      </c>
      <c r="CW267" s="55">
        <f t="shared" si="46"/>
        <v>0</v>
      </c>
      <c r="CX267" s="16"/>
      <c r="CY267" s="16"/>
      <c r="CZ267" s="16"/>
    </row>
    <row r="268" spans="1:108" ht="15" customHeight="1" x14ac:dyDescent="0.2">
      <c r="A268" s="1">
        <v>8918557697</v>
      </c>
      <c r="B268" s="1">
        <v>891855769</v>
      </c>
      <c r="C268" s="9">
        <v>212615226</v>
      </c>
      <c r="D268" s="10" t="s">
        <v>244</v>
      </c>
      <c r="E268" s="46" t="s">
        <v>1279</v>
      </c>
      <c r="F268" s="21"/>
      <c r="G268" s="50"/>
      <c r="H268" s="21"/>
      <c r="I268" s="50"/>
      <c r="J268" s="21"/>
      <c r="K268" s="21"/>
      <c r="L268" s="50"/>
      <c r="M268" s="51"/>
      <c r="N268" s="21"/>
      <c r="O268" s="50"/>
      <c r="P268" s="21"/>
      <c r="Q268" s="50"/>
      <c r="R268" s="21"/>
      <c r="S268" s="21"/>
      <c r="T268" s="50"/>
      <c r="U268" s="51">
        <f t="shared" si="40"/>
        <v>0</v>
      </c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>
        <v>12745020</v>
      </c>
      <c r="AZ268" s="51"/>
      <c r="BA268" s="51">
        <f>VLOOKUP(B268,[1]Hoja3!J$3:K$674,2,0)</f>
        <v>28914032</v>
      </c>
      <c r="BB268" s="51"/>
      <c r="BC268" s="52">
        <f t="shared" si="43"/>
        <v>41659052</v>
      </c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>
        <v>2549004</v>
      </c>
      <c r="BO268" s="51"/>
      <c r="BP268" s="52">
        <v>44208056</v>
      </c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>
        <v>2549004</v>
      </c>
      <c r="CD268" s="52"/>
      <c r="CE268" s="52"/>
      <c r="CF268" s="52"/>
      <c r="CG268" s="52">
        <f t="shared" si="44"/>
        <v>46757060</v>
      </c>
      <c r="CH268" s="52"/>
      <c r="CI268" s="52"/>
      <c r="CJ268" s="52"/>
      <c r="CK268" s="52"/>
      <c r="CL268" s="52"/>
      <c r="CM268" s="52"/>
      <c r="CN268" s="52"/>
      <c r="CO268" s="52"/>
      <c r="CP268" s="52"/>
      <c r="CQ268" s="52">
        <v>2549004</v>
      </c>
      <c r="CR268" s="52"/>
      <c r="CS268" s="52">
        <f t="shared" si="41"/>
        <v>49306064</v>
      </c>
      <c r="CT268" s="53">
        <v>20392032</v>
      </c>
      <c r="CU268" s="53">
        <f t="shared" si="42"/>
        <v>28914032</v>
      </c>
      <c r="CV268" s="54">
        <f t="shared" si="45"/>
        <v>49306064</v>
      </c>
      <c r="CW268" s="55">
        <f t="shared" si="46"/>
        <v>0</v>
      </c>
      <c r="CX268" s="16"/>
      <c r="CY268" s="16"/>
      <c r="CZ268" s="8"/>
      <c r="DA268" s="8"/>
      <c r="DB268" s="8"/>
      <c r="DC268" s="8"/>
      <c r="DD268" s="8"/>
    </row>
    <row r="269" spans="1:108" ht="15" customHeight="1" x14ac:dyDescent="0.2">
      <c r="A269" s="1">
        <v>8920991849</v>
      </c>
      <c r="B269" s="1">
        <v>892099184</v>
      </c>
      <c r="C269" s="9">
        <v>212650226</v>
      </c>
      <c r="D269" s="10" t="s">
        <v>670</v>
      </c>
      <c r="E269" s="46" t="s">
        <v>1691</v>
      </c>
      <c r="F269" s="21"/>
      <c r="G269" s="50"/>
      <c r="H269" s="21"/>
      <c r="I269" s="50"/>
      <c r="J269" s="21"/>
      <c r="K269" s="21"/>
      <c r="L269" s="50"/>
      <c r="M269" s="51"/>
      <c r="N269" s="21"/>
      <c r="O269" s="50"/>
      <c r="P269" s="21"/>
      <c r="Q269" s="50"/>
      <c r="R269" s="21"/>
      <c r="S269" s="21"/>
      <c r="T269" s="50"/>
      <c r="U269" s="51">
        <f t="shared" si="40"/>
        <v>0</v>
      </c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>
        <v>370202217</v>
      </c>
      <c r="AN269" s="51">
        <f t="shared" ref="AN269:AN274" si="47">SUBTOTAL(9,AC269:AM269)</f>
        <v>370202217</v>
      </c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>
        <v>122880145</v>
      </c>
      <c r="AZ269" s="51"/>
      <c r="BA269" s="51"/>
      <c r="BB269" s="51"/>
      <c r="BC269" s="52">
        <f t="shared" si="43"/>
        <v>493082362</v>
      </c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>
        <v>24576029</v>
      </c>
      <c r="BO269" s="51"/>
      <c r="BP269" s="52">
        <v>517658391</v>
      </c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>
        <v>24576029</v>
      </c>
      <c r="CD269" s="52"/>
      <c r="CE269" s="52"/>
      <c r="CF269" s="52"/>
      <c r="CG269" s="52">
        <f t="shared" si="44"/>
        <v>542234420</v>
      </c>
      <c r="CH269" s="52"/>
      <c r="CI269" s="52"/>
      <c r="CJ269" s="52"/>
      <c r="CK269" s="52"/>
      <c r="CL269" s="52"/>
      <c r="CM269" s="52"/>
      <c r="CN269" s="52"/>
      <c r="CO269" s="52"/>
      <c r="CP269" s="52"/>
      <c r="CQ269" s="52">
        <v>24576029</v>
      </c>
      <c r="CR269" s="52"/>
      <c r="CS269" s="52">
        <f t="shared" si="41"/>
        <v>566810449</v>
      </c>
      <c r="CT269" s="53">
        <v>196608232</v>
      </c>
      <c r="CU269" s="53">
        <f t="shared" si="42"/>
        <v>370202217</v>
      </c>
      <c r="CV269" s="54">
        <f t="shared" si="45"/>
        <v>566810449</v>
      </c>
      <c r="CW269" s="55">
        <f t="shared" si="46"/>
        <v>0</v>
      </c>
      <c r="CX269" s="16"/>
      <c r="CY269" s="16"/>
      <c r="CZ269" s="16"/>
    </row>
    <row r="270" spans="1:108" ht="15" customHeight="1" x14ac:dyDescent="0.2">
      <c r="A270" s="1">
        <v>8420000171</v>
      </c>
      <c r="B270" s="1">
        <v>842000017</v>
      </c>
      <c r="C270" s="9">
        <v>217399773</v>
      </c>
      <c r="D270" s="10" t="s">
        <v>1000</v>
      </c>
      <c r="E270" s="46" t="s">
        <v>2057</v>
      </c>
      <c r="F270" s="21"/>
      <c r="G270" s="50"/>
      <c r="H270" s="21"/>
      <c r="I270" s="50"/>
      <c r="J270" s="21"/>
      <c r="K270" s="21"/>
      <c r="L270" s="50"/>
      <c r="M270" s="51"/>
      <c r="N270" s="21"/>
      <c r="O270" s="50"/>
      <c r="P270" s="21"/>
      <c r="Q270" s="50"/>
      <c r="R270" s="21"/>
      <c r="S270" s="21"/>
      <c r="T270" s="50"/>
      <c r="U270" s="51">
        <f t="shared" si="40"/>
        <v>0</v>
      </c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>
        <v>402976569</v>
      </c>
      <c r="AN270" s="51">
        <f t="shared" si="47"/>
        <v>402976569</v>
      </c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>
        <v>637531625</v>
      </c>
      <c r="AZ270" s="51"/>
      <c r="BA270" s="51">
        <f>VLOOKUP(B270,[1]Hoja3!J$3:K$674,2,0)</f>
        <v>461717015</v>
      </c>
      <c r="BB270" s="51"/>
      <c r="BC270" s="52">
        <f t="shared" si="43"/>
        <v>1502225209</v>
      </c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>
        <v>127506325</v>
      </c>
      <c r="BO270" s="51"/>
      <c r="BP270" s="52">
        <v>1629731534</v>
      </c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>
        <v>127506325</v>
      </c>
      <c r="CD270" s="52"/>
      <c r="CE270" s="52"/>
      <c r="CF270" s="52"/>
      <c r="CG270" s="52">
        <f t="shared" si="44"/>
        <v>1757237859</v>
      </c>
      <c r="CH270" s="52"/>
      <c r="CI270" s="52"/>
      <c r="CJ270" s="52"/>
      <c r="CK270" s="52"/>
      <c r="CL270" s="52"/>
      <c r="CM270" s="52"/>
      <c r="CN270" s="52"/>
      <c r="CO270" s="52"/>
      <c r="CP270" s="52"/>
      <c r="CQ270" s="52">
        <v>127506325</v>
      </c>
      <c r="CR270" s="52">
        <v>23729900</v>
      </c>
      <c r="CS270" s="52">
        <f t="shared" si="41"/>
        <v>1908474084</v>
      </c>
      <c r="CT270" s="53">
        <v>1020050600</v>
      </c>
      <c r="CU270" s="53">
        <f t="shared" si="42"/>
        <v>888423484</v>
      </c>
      <c r="CV270" s="54">
        <f t="shared" si="45"/>
        <v>1908474084</v>
      </c>
      <c r="CW270" s="55">
        <f t="shared" si="46"/>
        <v>0</v>
      </c>
      <c r="CX270" s="16"/>
      <c r="CY270" s="16"/>
      <c r="CZ270" s="16"/>
    </row>
    <row r="271" spans="1:108" ht="15" customHeight="1" x14ac:dyDescent="0.2">
      <c r="A271" s="1">
        <v>8000990663</v>
      </c>
      <c r="B271" s="1">
        <v>800099066</v>
      </c>
      <c r="C271" s="9">
        <v>212752227</v>
      </c>
      <c r="D271" s="10" t="s">
        <v>703</v>
      </c>
      <c r="E271" s="46" t="s">
        <v>1725</v>
      </c>
      <c r="F271" s="21"/>
      <c r="G271" s="50"/>
      <c r="H271" s="21"/>
      <c r="I271" s="50"/>
      <c r="J271" s="21"/>
      <c r="K271" s="21"/>
      <c r="L271" s="50"/>
      <c r="M271" s="51"/>
      <c r="N271" s="21"/>
      <c r="O271" s="50"/>
      <c r="P271" s="21"/>
      <c r="Q271" s="50"/>
      <c r="R271" s="21"/>
      <c r="S271" s="21"/>
      <c r="T271" s="50"/>
      <c r="U271" s="51">
        <f t="shared" si="40"/>
        <v>0</v>
      </c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>
        <v>231407341</v>
      </c>
      <c r="AN271" s="51">
        <f t="shared" si="47"/>
        <v>231407341</v>
      </c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>
        <v>260568575</v>
      </c>
      <c r="AZ271" s="51"/>
      <c r="BA271" s="51">
        <f>VLOOKUP(B271,[1]Hoja3!J$3:K$674,2,0)</f>
        <v>326386072</v>
      </c>
      <c r="BB271" s="51"/>
      <c r="BC271" s="52">
        <f t="shared" si="43"/>
        <v>818361988</v>
      </c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>
        <v>52113715</v>
      </c>
      <c r="BO271" s="51"/>
      <c r="BP271" s="52">
        <v>870475703</v>
      </c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>
        <v>52113715</v>
      </c>
      <c r="CD271" s="52"/>
      <c r="CE271" s="52"/>
      <c r="CF271" s="52"/>
      <c r="CG271" s="52">
        <f t="shared" si="44"/>
        <v>922589418</v>
      </c>
      <c r="CH271" s="52"/>
      <c r="CI271" s="52"/>
      <c r="CJ271" s="52"/>
      <c r="CK271" s="52"/>
      <c r="CL271" s="52"/>
      <c r="CM271" s="52"/>
      <c r="CN271" s="52"/>
      <c r="CO271" s="52"/>
      <c r="CP271" s="52"/>
      <c r="CQ271" s="52">
        <v>52113715</v>
      </c>
      <c r="CR271" s="52"/>
      <c r="CS271" s="52">
        <f t="shared" si="41"/>
        <v>974703133</v>
      </c>
      <c r="CT271" s="53">
        <v>416909720</v>
      </c>
      <c r="CU271" s="53">
        <f t="shared" si="42"/>
        <v>557793413</v>
      </c>
      <c r="CV271" s="54">
        <f t="shared" si="45"/>
        <v>974703133</v>
      </c>
      <c r="CW271" s="55">
        <f t="shared" si="46"/>
        <v>0</v>
      </c>
      <c r="CX271" s="16"/>
      <c r="CY271" s="16"/>
      <c r="CZ271" s="16"/>
    </row>
    <row r="272" spans="1:108" ht="15" customHeight="1" x14ac:dyDescent="0.2">
      <c r="A272" s="1">
        <v>8000990728</v>
      </c>
      <c r="B272" s="1">
        <v>800099072</v>
      </c>
      <c r="C272" s="9">
        <v>213352233</v>
      </c>
      <c r="D272" s="10" t="s">
        <v>704</v>
      </c>
      <c r="E272" s="46" t="s">
        <v>1726</v>
      </c>
      <c r="F272" s="21"/>
      <c r="G272" s="50"/>
      <c r="H272" s="21"/>
      <c r="I272" s="50"/>
      <c r="J272" s="21"/>
      <c r="K272" s="21"/>
      <c r="L272" s="50"/>
      <c r="M272" s="51"/>
      <c r="N272" s="21"/>
      <c r="O272" s="50"/>
      <c r="P272" s="21"/>
      <c r="Q272" s="50"/>
      <c r="R272" s="21"/>
      <c r="S272" s="21"/>
      <c r="T272" s="50"/>
      <c r="U272" s="51">
        <f t="shared" si="40"/>
        <v>0</v>
      </c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>
        <v>68770184</v>
      </c>
      <c r="AN272" s="51">
        <f t="shared" si="47"/>
        <v>68770184</v>
      </c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>
        <f>VLOOKUP(B272,[1]Hoja3!J$3:K$674,2,0)</f>
        <v>49290569</v>
      </c>
      <c r="BB272" s="51"/>
      <c r="BC272" s="52">
        <f t="shared" si="43"/>
        <v>118060753</v>
      </c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>
        <v>0</v>
      </c>
      <c r="BO272" s="51"/>
      <c r="BP272" s="52">
        <v>118060753</v>
      </c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>
        <v>0</v>
      </c>
      <c r="CD272" s="52"/>
      <c r="CE272" s="52"/>
      <c r="CF272" s="52"/>
      <c r="CG272" s="52">
        <f t="shared" si="44"/>
        <v>118060753</v>
      </c>
      <c r="CH272" s="52"/>
      <c r="CI272" s="52"/>
      <c r="CJ272" s="52"/>
      <c r="CK272" s="52"/>
      <c r="CL272" s="52"/>
      <c r="CM272" s="52"/>
      <c r="CN272" s="52"/>
      <c r="CO272" s="52"/>
      <c r="CP272" s="52"/>
      <c r="CQ272" s="52">
        <v>184086792</v>
      </c>
      <c r="CR272" s="52"/>
      <c r="CS272" s="52">
        <f t="shared" si="41"/>
        <v>302147545</v>
      </c>
      <c r="CT272" s="53">
        <v>184086792</v>
      </c>
      <c r="CU272" s="53">
        <f t="shared" si="42"/>
        <v>118060753</v>
      </c>
      <c r="CV272" s="54">
        <f t="shared" si="45"/>
        <v>302147545</v>
      </c>
      <c r="CW272" s="55">
        <f t="shared" si="46"/>
        <v>0</v>
      </c>
      <c r="CX272" s="16"/>
      <c r="CY272" s="16"/>
      <c r="CZ272" s="16"/>
    </row>
    <row r="273" spans="1:108" ht="15" customHeight="1" x14ac:dyDescent="0.2">
      <c r="A273" s="1">
        <v>8001000524</v>
      </c>
      <c r="B273" s="1">
        <v>800100052</v>
      </c>
      <c r="C273" s="9">
        <v>212673226</v>
      </c>
      <c r="D273" s="10" t="s">
        <v>2213</v>
      </c>
      <c r="E273" s="46" t="s">
        <v>1940</v>
      </c>
      <c r="F273" s="21"/>
      <c r="G273" s="50"/>
      <c r="H273" s="21"/>
      <c r="I273" s="50"/>
      <c r="J273" s="21"/>
      <c r="K273" s="21"/>
      <c r="L273" s="50"/>
      <c r="M273" s="51"/>
      <c r="N273" s="21"/>
      <c r="O273" s="50"/>
      <c r="P273" s="21"/>
      <c r="Q273" s="50"/>
      <c r="R273" s="21"/>
      <c r="S273" s="21"/>
      <c r="T273" s="50"/>
      <c r="U273" s="51">
        <f t="shared" si="40"/>
        <v>0</v>
      </c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>
        <v>81370628</v>
      </c>
      <c r="AN273" s="51">
        <f t="shared" si="47"/>
        <v>81370628</v>
      </c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>
        <v>69758500</v>
      </c>
      <c r="AZ273" s="51"/>
      <c r="BA273" s="51">
        <f>VLOOKUP(B273,[1]Hoja3!J$3:K$674,2,0)</f>
        <v>80517913</v>
      </c>
      <c r="BB273" s="51"/>
      <c r="BC273" s="52">
        <f t="shared" si="43"/>
        <v>231647041</v>
      </c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>
        <v>13951700</v>
      </c>
      <c r="BO273" s="51"/>
      <c r="BP273" s="52">
        <v>245598741</v>
      </c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>
        <v>13951700</v>
      </c>
      <c r="CD273" s="52"/>
      <c r="CE273" s="52"/>
      <c r="CF273" s="52"/>
      <c r="CG273" s="52">
        <f t="shared" si="44"/>
        <v>259550441</v>
      </c>
      <c r="CH273" s="52"/>
      <c r="CI273" s="52"/>
      <c r="CJ273" s="52"/>
      <c r="CK273" s="52"/>
      <c r="CL273" s="52"/>
      <c r="CM273" s="52"/>
      <c r="CN273" s="52"/>
      <c r="CO273" s="52"/>
      <c r="CP273" s="52"/>
      <c r="CQ273" s="52">
        <v>13951700</v>
      </c>
      <c r="CR273" s="52"/>
      <c r="CS273" s="52">
        <f t="shared" si="41"/>
        <v>273502141</v>
      </c>
      <c r="CT273" s="53">
        <v>111613600</v>
      </c>
      <c r="CU273" s="53">
        <f t="shared" si="42"/>
        <v>161888541</v>
      </c>
      <c r="CV273" s="54">
        <f t="shared" si="45"/>
        <v>273502141</v>
      </c>
      <c r="CW273" s="55">
        <f t="shared" si="46"/>
        <v>0</v>
      </c>
      <c r="CX273" s="16"/>
      <c r="CY273" s="16"/>
      <c r="CZ273" s="16"/>
    </row>
    <row r="274" spans="1:108" ht="15" customHeight="1" x14ac:dyDescent="0.2">
      <c r="A274" s="1">
        <v>8000957576</v>
      </c>
      <c r="B274" s="1">
        <v>800095757</v>
      </c>
      <c r="C274" s="9">
        <v>210518205</v>
      </c>
      <c r="D274" s="10" t="s">
        <v>364</v>
      </c>
      <c r="E274" s="46" t="s">
        <v>1394</v>
      </c>
      <c r="F274" s="21"/>
      <c r="G274" s="50"/>
      <c r="H274" s="21"/>
      <c r="I274" s="50"/>
      <c r="J274" s="21"/>
      <c r="K274" s="21"/>
      <c r="L274" s="50"/>
      <c r="M274" s="51"/>
      <c r="N274" s="21"/>
      <c r="O274" s="50"/>
      <c r="P274" s="21"/>
      <c r="Q274" s="50"/>
      <c r="R274" s="21"/>
      <c r="S274" s="21"/>
      <c r="T274" s="50"/>
      <c r="U274" s="51">
        <f t="shared" si="40"/>
        <v>0</v>
      </c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>
        <v>146362696</v>
      </c>
      <c r="AN274" s="51">
        <f t="shared" si="47"/>
        <v>146362696</v>
      </c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>
        <f>VLOOKUP(B274,[1]Hoja3!J$3:K$674,2,0)</f>
        <v>13061034</v>
      </c>
      <c r="BB274" s="51"/>
      <c r="BC274" s="52">
        <f t="shared" si="43"/>
        <v>159423730</v>
      </c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>
        <v>0</v>
      </c>
      <c r="BO274" s="51"/>
      <c r="BP274" s="52">
        <v>159423730</v>
      </c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>
        <v>137076093</v>
      </c>
      <c r="CD274" s="52"/>
      <c r="CE274" s="52"/>
      <c r="CF274" s="52"/>
      <c r="CG274" s="52">
        <f t="shared" si="44"/>
        <v>296499823</v>
      </c>
      <c r="CH274" s="52"/>
      <c r="CI274" s="52"/>
      <c r="CJ274" s="52"/>
      <c r="CK274" s="52"/>
      <c r="CL274" s="52"/>
      <c r="CM274" s="52"/>
      <c r="CN274" s="52"/>
      <c r="CO274" s="52"/>
      <c r="CP274" s="52"/>
      <c r="CQ274" s="52">
        <v>19582299</v>
      </c>
      <c r="CR274" s="52"/>
      <c r="CS274" s="52">
        <f t="shared" si="41"/>
        <v>316082122</v>
      </c>
      <c r="CT274" s="53">
        <v>156658392</v>
      </c>
      <c r="CU274" s="53">
        <f t="shared" si="42"/>
        <v>159423730</v>
      </c>
      <c r="CV274" s="54">
        <f t="shared" si="45"/>
        <v>316082122</v>
      </c>
      <c r="CW274" s="55">
        <f t="shared" si="46"/>
        <v>0</v>
      </c>
      <c r="CX274" s="16"/>
      <c r="CY274" s="16"/>
      <c r="CZ274" s="16"/>
    </row>
    <row r="275" spans="1:108" ht="15" customHeight="1" x14ac:dyDescent="0.2">
      <c r="A275" s="1">
        <v>8000994895</v>
      </c>
      <c r="B275" s="1">
        <v>800099489</v>
      </c>
      <c r="C275" s="9">
        <v>212968229</v>
      </c>
      <c r="D275" s="10" t="s">
        <v>834</v>
      </c>
      <c r="E275" s="46" t="s">
        <v>1831</v>
      </c>
      <c r="F275" s="21"/>
      <c r="G275" s="50"/>
      <c r="H275" s="21"/>
      <c r="I275" s="50"/>
      <c r="J275" s="21"/>
      <c r="K275" s="21"/>
      <c r="L275" s="50"/>
      <c r="M275" s="51"/>
      <c r="N275" s="21"/>
      <c r="O275" s="50"/>
      <c r="P275" s="21"/>
      <c r="Q275" s="50"/>
      <c r="R275" s="21"/>
      <c r="S275" s="21"/>
      <c r="T275" s="50"/>
      <c r="U275" s="51">
        <f t="shared" si="40"/>
        <v>0</v>
      </c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>
        <v>85170645</v>
      </c>
      <c r="AZ275" s="51"/>
      <c r="BA275" s="51">
        <f>VLOOKUP(B275,[1]Hoja3!J$3:K$674,2,0)</f>
        <v>169711582</v>
      </c>
      <c r="BB275" s="51"/>
      <c r="BC275" s="52">
        <f t="shared" si="43"/>
        <v>254882227</v>
      </c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>
        <v>17034129</v>
      </c>
      <c r="BO275" s="51"/>
      <c r="BP275" s="52">
        <v>271916356</v>
      </c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>
        <v>17034129</v>
      </c>
      <c r="CD275" s="52"/>
      <c r="CE275" s="52"/>
      <c r="CF275" s="52"/>
      <c r="CG275" s="52">
        <f t="shared" si="44"/>
        <v>288950485</v>
      </c>
      <c r="CH275" s="52"/>
      <c r="CI275" s="52"/>
      <c r="CJ275" s="52"/>
      <c r="CK275" s="52"/>
      <c r="CL275" s="52"/>
      <c r="CM275" s="52"/>
      <c r="CN275" s="52"/>
      <c r="CO275" s="52"/>
      <c r="CP275" s="52"/>
      <c r="CQ275" s="52">
        <v>17034129</v>
      </c>
      <c r="CR275" s="52"/>
      <c r="CS275" s="52">
        <f t="shared" si="41"/>
        <v>305984614</v>
      </c>
      <c r="CT275" s="53">
        <v>136273032</v>
      </c>
      <c r="CU275" s="53">
        <f t="shared" si="42"/>
        <v>169711582</v>
      </c>
      <c r="CV275" s="54">
        <f t="shared" si="45"/>
        <v>305984614</v>
      </c>
      <c r="CW275" s="55">
        <f t="shared" si="46"/>
        <v>0</v>
      </c>
      <c r="CX275" s="16"/>
      <c r="CY275" s="16"/>
      <c r="CZ275" s="16"/>
    </row>
    <row r="276" spans="1:108" ht="15" customHeight="1" x14ac:dyDescent="0.2">
      <c r="A276" s="1">
        <v>8000965804</v>
      </c>
      <c r="B276" s="1">
        <v>800096580</v>
      </c>
      <c r="C276" s="9">
        <v>212820228</v>
      </c>
      <c r="D276" s="10" t="s">
        <v>420</v>
      </c>
      <c r="E276" s="46" t="s">
        <v>1448</v>
      </c>
      <c r="F276" s="21"/>
      <c r="G276" s="50"/>
      <c r="H276" s="21"/>
      <c r="I276" s="50"/>
      <c r="J276" s="21"/>
      <c r="K276" s="21"/>
      <c r="L276" s="50"/>
      <c r="M276" s="51"/>
      <c r="N276" s="21"/>
      <c r="O276" s="50"/>
      <c r="P276" s="21"/>
      <c r="Q276" s="50"/>
      <c r="R276" s="21"/>
      <c r="S276" s="21"/>
      <c r="T276" s="50"/>
      <c r="U276" s="51">
        <f t="shared" si="40"/>
        <v>0</v>
      </c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>
        <v>612080956</v>
      </c>
      <c r="AN276" s="51">
        <f>SUBTOTAL(9,AC276:AM276)</f>
        <v>612080956</v>
      </c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>
        <v>327236845</v>
      </c>
      <c r="AZ276" s="51"/>
      <c r="BA276" s="51"/>
      <c r="BB276" s="51"/>
      <c r="BC276" s="52">
        <f t="shared" si="43"/>
        <v>939317801</v>
      </c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>
        <v>65447369</v>
      </c>
      <c r="BO276" s="51"/>
      <c r="BP276" s="52">
        <v>1004765170</v>
      </c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>
        <v>65447369</v>
      </c>
      <c r="CD276" s="52"/>
      <c r="CE276" s="52"/>
      <c r="CF276" s="52"/>
      <c r="CG276" s="52">
        <f t="shared" si="44"/>
        <v>1070212539</v>
      </c>
      <c r="CH276" s="52"/>
      <c r="CI276" s="52"/>
      <c r="CJ276" s="52"/>
      <c r="CK276" s="52"/>
      <c r="CL276" s="52"/>
      <c r="CM276" s="52"/>
      <c r="CN276" s="52"/>
      <c r="CO276" s="52"/>
      <c r="CP276" s="52"/>
      <c r="CQ276" s="52">
        <v>65447369</v>
      </c>
      <c r="CR276" s="52"/>
      <c r="CS276" s="52">
        <f t="shared" si="41"/>
        <v>1135659908</v>
      </c>
      <c r="CT276" s="53">
        <v>523578952</v>
      </c>
      <c r="CU276" s="53">
        <f t="shared" si="42"/>
        <v>612080956</v>
      </c>
      <c r="CV276" s="54">
        <f t="shared" si="45"/>
        <v>1135659908</v>
      </c>
      <c r="CW276" s="55">
        <f t="shared" si="46"/>
        <v>0</v>
      </c>
      <c r="CX276" s="16"/>
      <c r="CY276" s="16"/>
      <c r="CZ276" s="16"/>
    </row>
    <row r="277" spans="1:108" ht="15" customHeight="1" x14ac:dyDescent="0.2">
      <c r="A277" s="1">
        <v>8909800945</v>
      </c>
      <c r="B277" s="1">
        <v>890980094</v>
      </c>
      <c r="C277" s="9">
        <v>213405234</v>
      </c>
      <c r="D277" s="10" t="s">
        <v>82</v>
      </c>
      <c r="E277" s="46" t="s">
        <v>1113</v>
      </c>
      <c r="F277" s="21"/>
      <c r="G277" s="50"/>
      <c r="H277" s="21"/>
      <c r="I277" s="50"/>
      <c r="J277" s="21"/>
      <c r="K277" s="21"/>
      <c r="L277" s="50"/>
      <c r="M277" s="51"/>
      <c r="N277" s="21"/>
      <c r="O277" s="50"/>
      <c r="P277" s="21"/>
      <c r="Q277" s="50"/>
      <c r="R277" s="21"/>
      <c r="S277" s="21"/>
      <c r="T277" s="50"/>
      <c r="U277" s="51">
        <f t="shared" si="40"/>
        <v>0</v>
      </c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>
        <v>264282305</v>
      </c>
      <c r="AZ277" s="51"/>
      <c r="BA277" s="51">
        <f>VLOOKUP(B277,[1]Hoja3!J$3:K$674,2,0)</f>
        <v>371537160</v>
      </c>
      <c r="BB277" s="51"/>
      <c r="BC277" s="52">
        <f t="shared" si="43"/>
        <v>635819465</v>
      </c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>
        <v>52856461</v>
      </c>
      <c r="BO277" s="51"/>
      <c r="BP277" s="52">
        <v>688675926</v>
      </c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>
        <v>52856461</v>
      </c>
      <c r="CD277" s="52"/>
      <c r="CE277" s="52"/>
      <c r="CF277" s="52"/>
      <c r="CG277" s="52">
        <f t="shared" si="44"/>
        <v>741532387</v>
      </c>
      <c r="CH277" s="52"/>
      <c r="CI277" s="52"/>
      <c r="CJ277" s="52"/>
      <c r="CK277" s="52"/>
      <c r="CL277" s="52"/>
      <c r="CM277" s="52"/>
      <c r="CN277" s="52"/>
      <c r="CO277" s="52"/>
      <c r="CP277" s="52"/>
      <c r="CQ277" s="52">
        <v>52856461</v>
      </c>
      <c r="CR277" s="52">
        <v>25557202</v>
      </c>
      <c r="CS277" s="52">
        <f t="shared" si="41"/>
        <v>819946050</v>
      </c>
      <c r="CT277" s="53">
        <v>422851688</v>
      </c>
      <c r="CU277" s="53">
        <f t="shared" si="42"/>
        <v>397094362</v>
      </c>
      <c r="CV277" s="54">
        <f t="shared" si="45"/>
        <v>819946050</v>
      </c>
      <c r="CW277" s="55">
        <f t="shared" si="46"/>
        <v>0</v>
      </c>
      <c r="CX277" s="16"/>
      <c r="CY277" s="16"/>
      <c r="CZ277" s="16"/>
    </row>
    <row r="278" spans="1:108" ht="15" customHeight="1" x14ac:dyDescent="0.2">
      <c r="A278" s="1">
        <v>8001005145</v>
      </c>
      <c r="B278" s="1">
        <v>800100514</v>
      </c>
      <c r="C278" s="9">
        <v>213376233</v>
      </c>
      <c r="D278" s="10" t="s">
        <v>921</v>
      </c>
      <c r="E278" s="46" t="s">
        <v>1981</v>
      </c>
      <c r="F278" s="21"/>
      <c r="G278" s="50"/>
      <c r="H278" s="21"/>
      <c r="I278" s="50"/>
      <c r="J278" s="21"/>
      <c r="K278" s="21"/>
      <c r="L278" s="50"/>
      <c r="M278" s="51"/>
      <c r="N278" s="21"/>
      <c r="O278" s="50"/>
      <c r="P278" s="21"/>
      <c r="Q278" s="50"/>
      <c r="R278" s="21"/>
      <c r="S278" s="21"/>
      <c r="T278" s="50"/>
      <c r="U278" s="51">
        <f t="shared" si="40"/>
        <v>0</v>
      </c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>
        <v>234416238</v>
      </c>
      <c r="AN278" s="51">
        <f t="shared" ref="AN278:AN315" si="48">SUBTOTAL(9,AC278:AM278)</f>
        <v>234416238</v>
      </c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>
        <f>VLOOKUP(B278,[1]Hoja3!J$3:K$674,2,0)</f>
        <v>306277589</v>
      </c>
      <c r="BB278" s="51"/>
      <c r="BC278" s="52">
        <f t="shared" si="43"/>
        <v>540693827</v>
      </c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>
        <v>0</v>
      </c>
      <c r="BO278" s="51"/>
      <c r="BP278" s="52">
        <v>540693827</v>
      </c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>
        <v>0</v>
      </c>
      <c r="CD278" s="52"/>
      <c r="CE278" s="52"/>
      <c r="CF278" s="52"/>
      <c r="CG278" s="52">
        <f t="shared" si="44"/>
        <v>540693827</v>
      </c>
      <c r="CH278" s="52"/>
      <c r="CI278" s="52"/>
      <c r="CJ278" s="52"/>
      <c r="CK278" s="52"/>
      <c r="CL278" s="52"/>
      <c r="CM278" s="52"/>
      <c r="CN278" s="52"/>
      <c r="CO278" s="52"/>
      <c r="CP278" s="52"/>
      <c r="CQ278" s="52">
        <v>340902984</v>
      </c>
      <c r="CR278" s="52"/>
      <c r="CS278" s="52">
        <f t="shared" si="41"/>
        <v>881596811</v>
      </c>
      <c r="CT278" s="53">
        <v>340902984</v>
      </c>
      <c r="CU278" s="53">
        <f t="shared" si="42"/>
        <v>540693827</v>
      </c>
      <c r="CV278" s="54">
        <f t="shared" si="45"/>
        <v>881596811</v>
      </c>
      <c r="CW278" s="55">
        <f t="shared" si="46"/>
        <v>0</v>
      </c>
      <c r="CX278" s="16"/>
      <c r="CY278" s="16"/>
      <c r="CZ278" s="16"/>
    </row>
    <row r="279" spans="1:108" ht="15" customHeight="1" x14ac:dyDescent="0.2">
      <c r="A279" s="1">
        <v>8909002860</v>
      </c>
      <c r="B279" s="1">
        <v>890900286</v>
      </c>
      <c r="C279" s="9">
        <v>110505000</v>
      </c>
      <c r="D279" s="10" t="s">
        <v>30</v>
      </c>
      <c r="E279" s="47" t="s">
        <v>1047</v>
      </c>
      <c r="F279" s="57">
        <f>58389452408+1385842877</f>
        <v>59775295285</v>
      </c>
      <c r="G279" s="50"/>
      <c r="H279" s="21">
        <v>2762877812</v>
      </c>
      <c r="I279" s="50"/>
      <c r="J279" s="21">
        <v>4291897593</v>
      </c>
      <c r="K279" s="21">
        <v>8672249525</v>
      </c>
      <c r="L279" s="50"/>
      <c r="M279" s="52">
        <f t="shared" ref="M279:M319" si="49">SUM(F279:L279)</f>
        <v>75502320215</v>
      </c>
      <c r="N279" s="21">
        <f>58489087769+629928580</f>
        <v>59119016349</v>
      </c>
      <c r="O279" s="50"/>
      <c r="P279" s="21">
        <f>VLOOKUP(A279,'[3]PENS-CANC'!A$2:B$37,2,0)</f>
        <v>2762877812</v>
      </c>
      <c r="Q279" s="50"/>
      <c r="R279" s="21">
        <v>4294745665</v>
      </c>
      <c r="S279" s="21">
        <f>4380351932+4294745665</f>
        <v>8675097597</v>
      </c>
      <c r="T279" s="50"/>
      <c r="U279" s="51">
        <f t="shared" si="40"/>
        <v>150354057638</v>
      </c>
      <c r="V279" s="51">
        <v>95171702708</v>
      </c>
      <c r="W279" s="51"/>
      <c r="X279" s="51">
        <v>2762877812</v>
      </c>
      <c r="Y279" s="51"/>
      <c r="Z279" s="51">
        <v>3964309847</v>
      </c>
      <c r="AA279" s="51">
        <v>9073528622</v>
      </c>
      <c r="AB279" s="51"/>
      <c r="AC279" s="51">
        <f t="shared" ref="AC279:AC319" si="50">SUM(U279:AB279)</f>
        <v>261326476627</v>
      </c>
      <c r="AD279" s="51">
        <v>59861203590</v>
      </c>
      <c r="AE279" s="51">
        <v>8689104450</v>
      </c>
      <c r="AF279" s="51"/>
      <c r="AG279" s="51">
        <v>2762877812</v>
      </c>
      <c r="AH279" s="51"/>
      <c r="AI279" s="51"/>
      <c r="AJ279" s="51">
        <v>4331714024</v>
      </c>
      <c r="AK279" s="51">
        <v>10938579222</v>
      </c>
      <c r="AL279" s="51"/>
      <c r="AM279" s="51"/>
      <c r="AN279" s="51">
        <f t="shared" si="48"/>
        <v>347909955725</v>
      </c>
      <c r="AO279" s="51">
        <v>58146870236</v>
      </c>
      <c r="AP279" s="51"/>
      <c r="AQ279" s="51"/>
      <c r="AR279" s="51">
        <v>2762877812</v>
      </c>
      <c r="AS279" s="51">
        <v>3180000504</v>
      </c>
      <c r="AT279" s="51"/>
      <c r="AU279" s="51"/>
      <c r="AV279" s="51">
        <v>4331714024</v>
      </c>
      <c r="AW279" s="51">
        <v>7415114548</v>
      </c>
      <c r="AX279" s="51"/>
      <c r="AY279" s="51"/>
      <c r="AZ279" s="51"/>
      <c r="BA279" s="51"/>
      <c r="BB279" s="51"/>
      <c r="BC279" s="52">
        <f t="shared" si="43"/>
        <v>423746532849</v>
      </c>
      <c r="BD279" s="51">
        <v>58205327401</v>
      </c>
      <c r="BE279" s="51">
        <v>7325499857</v>
      </c>
      <c r="BF279" s="51"/>
      <c r="BG279" s="51">
        <v>5525755624</v>
      </c>
      <c r="BH279" s="51"/>
      <c r="BI279" s="51"/>
      <c r="BJ279" s="51"/>
      <c r="BK279" s="51">
        <v>4710375904</v>
      </c>
      <c r="BL279" s="51">
        <v>13483307991</v>
      </c>
      <c r="BM279" s="51"/>
      <c r="BN279" s="51"/>
      <c r="BO279" s="51"/>
      <c r="BP279" s="52">
        <v>512996799626</v>
      </c>
      <c r="BQ279" s="52">
        <v>59701091766</v>
      </c>
      <c r="BR279" s="52">
        <v>0</v>
      </c>
      <c r="BS279" s="52"/>
      <c r="BT279" s="52">
        <v>2762877812</v>
      </c>
      <c r="BU279" s="52">
        <v>26554670515</v>
      </c>
      <c r="BV279" s="52"/>
      <c r="BW279" s="52"/>
      <c r="BX279" s="52"/>
      <c r="BY279" s="52"/>
      <c r="BZ279" s="52">
        <v>4667481929</v>
      </c>
      <c r="CA279" s="52">
        <v>12000774286</v>
      </c>
      <c r="CB279" s="52"/>
      <c r="CC279" s="52"/>
      <c r="CD279" s="52"/>
      <c r="CE279" s="52"/>
      <c r="CF279" s="52"/>
      <c r="CG279" s="52">
        <f t="shared" si="44"/>
        <v>618683695934</v>
      </c>
      <c r="CH279" s="52">
        <v>59919416090</v>
      </c>
      <c r="CI279" s="52">
        <v>6990773698</v>
      </c>
      <c r="CJ279" s="52"/>
      <c r="CK279" s="52">
        <v>2762877810</v>
      </c>
      <c r="CL279" s="52"/>
      <c r="CM279" s="52"/>
      <c r="CN279" s="52">
        <v>4534331212</v>
      </c>
      <c r="CO279" s="52">
        <v>8208054787</v>
      </c>
      <c r="CP279" s="52"/>
      <c r="CQ279" s="52"/>
      <c r="CR279" s="52"/>
      <c r="CS279" s="52">
        <f t="shared" si="41"/>
        <v>701099149531</v>
      </c>
      <c r="CT279" s="53">
        <v>701099149531</v>
      </c>
      <c r="CU279" s="53">
        <f t="shared" si="42"/>
        <v>0</v>
      </c>
      <c r="CV279" s="54">
        <f t="shared" si="45"/>
        <v>701099149531</v>
      </c>
      <c r="CW279" s="55">
        <f t="shared" si="46"/>
        <v>0</v>
      </c>
      <c r="CX279" s="16"/>
      <c r="CY279" s="16"/>
      <c r="CZ279" s="8"/>
      <c r="DA279" s="8"/>
      <c r="DB279" s="8"/>
      <c r="DC279" s="8"/>
      <c r="DD279" s="8"/>
    </row>
    <row r="280" spans="1:108" ht="15" customHeight="1" x14ac:dyDescent="0.2">
      <c r="A280" s="1">
        <v>8001028385</v>
      </c>
      <c r="B280" s="1">
        <v>800102838</v>
      </c>
      <c r="C280" s="9">
        <v>118181000</v>
      </c>
      <c r="D280" s="10" t="s">
        <v>14</v>
      </c>
      <c r="E280" s="47" t="s">
        <v>1021</v>
      </c>
      <c r="F280" s="21">
        <f>9080681231+151217321</f>
        <v>9231898552</v>
      </c>
      <c r="G280" s="50"/>
      <c r="H280" s="21">
        <v>35483017</v>
      </c>
      <c r="I280" s="50"/>
      <c r="J280" s="21">
        <v>636196461</v>
      </c>
      <c r="K280" s="21">
        <v>1286846544</v>
      </c>
      <c r="L280" s="50"/>
      <c r="M280" s="52">
        <f t="shared" si="49"/>
        <v>11190424574</v>
      </c>
      <c r="N280" s="21">
        <f>8776356106+68735146</f>
        <v>8845091252</v>
      </c>
      <c r="O280" s="50"/>
      <c r="P280" s="21">
        <f>VLOOKUP(A280,'[3]PENS-CANC'!A$2:B$37,2,0)</f>
        <v>35483017</v>
      </c>
      <c r="Q280" s="50"/>
      <c r="R280" s="21">
        <v>636196461</v>
      </c>
      <c r="S280" s="21">
        <f>650650083+636196461</f>
        <v>1286846544</v>
      </c>
      <c r="T280" s="50"/>
      <c r="U280" s="51">
        <f t="shared" si="40"/>
        <v>21994041848</v>
      </c>
      <c r="V280" s="51">
        <v>10930317841</v>
      </c>
      <c r="W280" s="51"/>
      <c r="X280" s="51">
        <v>35483017</v>
      </c>
      <c r="Y280" s="51"/>
      <c r="Z280" s="51">
        <v>529685887</v>
      </c>
      <c r="AA280" s="51">
        <v>1179673462</v>
      </c>
      <c r="AB280" s="51"/>
      <c r="AC280" s="51">
        <f t="shared" si="50"/>
        <v>34669202055</v>
      </c>
      <c r="AD280" s="51">
        <v>8652746537</v>
      </c>
      <c r="AE280" s="51">
        <v>853011120</v>
      </c>
      <c r="AF280" s="51"/>
      <c r="AG280" s="51">
        <v>35483017</v>
      </c>
      <c r="AH280" s="51"/>
      <c r="AI280" s="51"/>
      <c r="AJ280" s="51">
        <v>590234599</v>
      </c>
      <c r="AK280" s="51">
        <v>1487902940</v>
      </c>
      <c r="AL280" s="51"/>
      <c r="AM280" s="51"/>
      <c r="AN280" s="51">
        <f t="shared" si="48"/>
        <v>46288580268</v>
      </c>
      <c r="AO280" s="51">
        <v>8652746537</v>
      </c>
      <c r="AP280" s="51"/>
      <c r="AQ280" s="51"/>
      <c r="AR280" s="51">
        <v>35483017</v>
      </c>
      <c r="AS280" s="51">
        <v>0</v>
      </c>
      <c r="AT280" s="51"/>
      <c r="AU280" s="51"/>
      <c r="AV280" s="51">
        <v>590234599</v>
      </c>
      <c r="AW280" s="51">
        <v>1009455404</v>
      </c>
      <c r="AX280" s="51"/>
      <c r="AY280" s="51"/>
      <c r="AZ280" s="51"/>
      <c r="BA280" s="51"/>
      <c r="BB280" s="51"/>
      <c r="BC280" s="52">
        <f t="shared" si="43"/>
        <v>56576499825</v>
      </c>
      <c r="BD280" s="51">
        <v>9469371750</v>
      </c>
      <c r="BE280" s="51">
        <v>1007967205</v>
      </c>
      <c r="BF280" s="51"/>
      <c r="BG280" s="51">
        <v>70966034</v>
      </c>
      <c r="BH280" s="51"/>
      <c r="BI280" s="51"/>
      <c r="BJ280" s="51"/>
      <c r="BK280" s="51">
        <v>882614129</v>
      </c>
      <c r="BL280" s="51">
        <v>2149243619</v>
      </c>
      <c r="BM280" s="51"/>
      <c r="BN280" s="51"/>
      <c r="BO280" s="51"/>
      <c r="BP280" s="52">
        <v>70156662562</v>
      </c>
      <c r="BQ280" s="52">
        <v>9487792590</v>
      </c>
      <c r="BR280" s="52">
        <v>0</v>
      </c>
      <c r="BS280" s="52"/>
      <c r="BT280" s="52">
        <v>35483017</v>
      </c>
      <c r="BU280" s="52">
        <v>4181758580</v>
      </c>
      <c r="BV280" s="52"/>
      <c r="BW280" s="52"/>
      <c r="BX280" s="52"/>
      <c r="BY280" s="52"/>
      <c r="BZ280" s="52">
        <v>656030108</v>
      </c>
      <c r="CA280" s="52">
        <v>1736097813</v>
      </c>
      <c r="CB280" s="52"/>
      <c r="CC280" s="52"/>
      <c r="CD280" s="52"/>
      <c r="CE280" s="52"/>
      <c r="CF280" s="52"/>
      <c r="CG280" s="52">
        <f t="shared" si="44"/>
        <v>86253824670</v>
      </c>
      <c r="CH280" s="52">
        <v>9377663681</v>
      </c>
      <c r="CI280" s="52">
        <v>408326094</v>
      </c>
      <c r="CJ280" s="52"/>
      <c r="CK280" s="52">
        <v>35483014</v>
      </c>
      <c r="CL280" s="52"/>
      <c r="CM280" s="52"/>
      <c r="CN280" s="52">
        <v>643693513</v>
      </c>
      <c r="CO280" s="52">
        <v>1186742147</v>
      </c>
      <c r="CP280" s="52"/>
      <c r="CQ280" s="52"/>
      <c r="CR280" s="52"/>
      <c r="CS280" s="52">
        <f t="shared" si="41"/>
        <v>97905733119</v>
      </c>
      <c r="CT280" s="53">
        <v>97905733119</v>
      </c>
      <c r="CU280" s="53">
        <f t="shared" si="42"/>
        <v>0</v>
      </c>
      <c r="CV280" s="54">
        <f t="shared" si="45"/>
        <v>97905733119</v>
      </c>
      <c r="CW280" s="55">
        <f t="shared" si="46"/>
        <v>0</v>
      </c>
      <c r="CX280" s="16"/>
      <c r="CY280" s="16"/>
      <c r="CZ280" s="8"/>
      <c r="DA280" s="8"/>
      <c r="DB280" s="8"/>
      <c r="DC280" s="8"/>
      <c r="DD280" s="8"/>
    </row>
    <row r="281" spans="1:108" ht="15" customHeight="1" x14ac:dyDescent="0.2">
      <c r="A281" s="1">
        <v>8904800591</v>
      </c>
      <c r="B281" s="1">
        <v>890480059</v>
      </c>
      <c r="C281" s="9">
        <v>111313000</v>
      </c>
      <c r="D281" s="10" t="s">
        <v>28</v>
      </c>
      <c r="E281" s="47" t="s">
        <v>1040</v>
      </c>
      <c r="F281" s="57">
        <f>32026659376+503365467</f>
        <v>32530024843</v>
      </c>
      <c r="G281" s="50"/>
      <c r="H281" s="21">
        <v>985171409</v>
      </c>
      <c r="I281" s="50"/>
      <c r="J281" s="21">
        <v>2332436867</v>
      </c>
      <c r="K281" s="21">
        <v>4734662380</v>
      </c>
      <c r="L281" s="50"/>
      <c r="M281" s="52">
        <f t="shared" si="49"/>
        <v>40582295499</v>
      </c>
      <c r="N281" s="21">
        <f>31955482129+228802485</f>
        <v>32184284614</v>
      </c>
      <c r="O281" s="50"/>
      <c r="P281" s="21">
        <f>VLOOKUP(A281,'[3]PENS-CANC'!A$2:B$37,2,0)</f>
        <v>985171409</v>
      </c>
      <c r="Q281" s="50"/>
      <c r="R281" s="21">
        <v>2333120125</v>
      </c>
      <c r="S281" s="21">
        <f>2402225513+2333120125</f>
        <v>4735345638</v>
      </c>
      <c r="T281" s="50"/>
      <c r="U281" s="51">
        <f t="shared" si="40"/>
        <v>80820217285</v>
      </c>
      <c r="V281" s="51">
        <v>46029005212</v>
      </c>
      <c r="W281" s="51"/>
      <c r="X281" s="51">
        <v>985171409</v>
      </c>
      <c r="Y281" s="51"/>
      <c r="Z281" s="51">
        <v>2274233432</v>
      </c>
      <c r="AA281" s="51">
        <v>5145670009</v>
      </c>
      <c r="AB281" s="51"/>
      <c r="AC281" s="51">
        <f t="shared" si="50"/>
        <v>135254297347</v>
      </c>
      <c r="AD281" s="51">
        <v>33394833721</v>
      </c>
      <c r="AE281" s="51">
        <v>2821811415</v>
      </c>
      <c r="AF281" s="51"/>
      <c r="AG281" s="51">
        <v>985171409</v>
      </c>
      <c r="AH281" s="51"/>
      <c r="AI281" s="51"/>
      <c r="AJ281" s="51">
        <v>2351267189</v>
      </c>
      <c r="AK281" s="51">
        <v>5942486649</v>
      </c>
      <c r="AL281" s="51"/>
      <c r="AM281" s="51"/>
      <c r="AN281" s="51">
        <f t="shared" si="48"/>
        <v>180749867730</v>
      </c>
      <c r="AO281" s="51">
        <v>33394833721</v>
      </c>
      <c r="AP281" s="51"/>
      <c r="AQ281" s="51"/>
      <c r="AR281" s="51">
        <v>985171409</v>
      </c>
      <c r="AS281" s="51">
        <v>0</v>
      </c>
      <c r="AT281" s="51"/>
      <c r="AU281" s="51"/>
      <c r="AV281" s="51">
        <v>2351267189</v>
      </c>
      <c r="AW281" s="51">
        <v>4028210797</v>
      </c>
      <c r="AX281" s="51"/>
      <c r="AY281" s="51"/>
      <c r="AZ281" s="51"/>
      <c r="BA281" s="51"/>
      <c r="BB281" s="51"/>
      <c r="BC281" s="52">
        <f t="shared" si="43"/>
        <v>221509350846</v>
      </c>
      <c r="BD281" s="51">
        <v>33665374215</v>
      </c>
      <c r="BE281" s="51">
        <v>1829209697</v>
      </c>
      <c r="BF281" s="51"/>
      <c r="BG281" s="51">
        <v>1970342818</v>
      </c>
      <c r="BH281" s="51"/>
      <c r="BI281" s="51"/>
      <c r="BJ281" s="51"/>
      <c r="BK281" s="51">
        <v>2424383744</v>
      </c>
      <c r="BL281" s="51">
        <v>6082123953</v>
      </c>
      <c r="BM281" s="51"/>
      <c r="BN281" s="51"/>
      <c r="BO281" s="51"/>
      <c r="BP281" s="52">
        <v>267480785273</v>
      </c>
      <c r="BQ281" s="52">
        <v>33893541825</v>
      </c>
      <c r="BR281" s="52">
        <v>0</v>
      </c>
      <c r="BS281" s="52"/>
      <c r="BT281" s="52">
        <v>985171409</v>
      </c>
      <c r="BU281" s="52">
        <v>14839188154</v>
      </c>
      <c r="BV281" s="52"/>
      <c r="BW281" s="52"/>
      <c r="BX281" s="52"/>
      <c r="BY281" s="52"/>
      <c r="BZ281" s="52">
        <v>2360949110</v>
      </c>
      <c r="CA281" s="52">
        <v>6320585498</v>
      </c>
      <c r="CB281" s="52"/>
      <c r="CC281" s="52"/>
      <c r="CD281" s="52"/>
      <c r="CE281" s="52"/>
      <c r="CF281" s="52"/>
      <c r="CG281" s="52">
        <f t="shared" si="44"/>
        <v>325880221269</v>
      </c>
      <c r="CH281" s="52">
        <v>34674808779</v>
      </c>
      <c r="CI281" s="52">
        <v>1062427572</v>
      </c>
      <c r="CJ281" s="52"/>
      <c r="CK281" s="52">
        <v>0</v>
      </c>
      <c r="CL281" s="52"/>
      <c r="CM281" s="52"/>
      <c r="CN281" s="52">
        <v>2523349165</v>
      </c>
      <c r="CO281" s="52">
        <v>4555577968</v>
      </c>
      <c r="CP281" s="52"/>
      <c r="CQ281" s="52">
        <v>985171408</v>
      </c>
      <c r="CR281" s="52"/>
      <c r="CS281" s="52">
        <f t="shared" si="41"/>
        <v>369681556161</v>
      </c>
      <c r="CT281" s="53">
        <v>369681556161</v>
      </c>
      <c r="CU281" s="53">
        <f t="shared" si="42"/>
        <v>0</v>
      </c>
      <c r="CV281" s="54">
        <f t="shared" si="45"/>
        <v>369681556161</v>
      </c>
      <c r="CW281" s="55">
        <f t="shared" si="46"/>
        <v>0</v>
      </c>
      <c r="CX281" s="16"/>
      <c r="CY281" s="16"/>
      <c r="CZ281" s="8"/>
      <c r="DA281" s="8"/>
      <c r="DB281" s="8"/>
      <c r="DC281" s="8"/>
      <c r="DD281" s="8"/>
    </row>
    <row r="282" spans="1:108" ht="15" customHeight="1" x14ac:dyDescent="0.2">
      <c r="A282" s="1">
        <v>8918004981</v>
      </c>
      <c r="B282" s="1">
        <v>891800498</v>
      </c>
      <c r="C282" s="9">
        <v>111515000</v>
      </c>
      <c r="D282" s="10" t="s">
        <v>34</v>
      </c>
      <c r="E282" s="47" t="s">
        <v>2090</v>
      </c>
      <c r="F282" s="21">
        <f>30350471031+584388343</f>
        <v>30934859374</v>
      </c>
      <c r="G282" s="50"/>
      <c r="H282" s="21">
        <v>1803337580</v>
      </c>
      <c r="I282" s="50"/>
      <c r="J282" s="21">
        <v>1958781520</v>
      </c>
      <c r="K282" s="21">
        <v>3980764111</v>
      </c>
      <c r="L282" s="50"/>
      <c r="M282" s="52">
        <f t="shared" si="49"/>
        <v>38677742585</v>
      </c>
      <c r="N282" s="21">
        <f>30265413276+265631065</f>
        <v>30531044341</v>
      </c>
      <c r="O282" s="50"/>
      <c r="P282" s="21">
        <f>VLOOKUP(A282,'[3]PENS-CANC'!A$2:B$37,2,0)</f>
        <v>1803337580</v>
      </c>
      <c r="Q282" s="50"/>
      <c r="R282" s="21">
        <v>1958781520</v>
      </c>
      <c r="S282" s="21">
        <f>2021982591+1958781520</f>
        <v>3980764111</v>
      </c>
      <c r="T282" s="50"/>
      <c r="U282" s="51">
        <f t="shared" si="40"/>
        <v>76951670137</v>
      </c>
      <c r="V282" s="51">
        <v>39462044899</v>
      </c>
      <c r="W282" s="51"/>
      <c r="X282" s="51">
        <v>1803337580</v>
      </c>
      <c r="Y282" s="51"/>
      <c r="Z282" s="51">
        <v>1992954453</v>
      </c>
      <c r="AA282" s="51">
        <v>4273956297</v>
      </c>
      <c r="AB282" s="51"/>
      <c r="AC282" s="51">
        <f t="shared" si="50"/>
        <v>124483963366</v>
      </c>
      <c r="AD282" s="51">
        <v>29304705943</v>
      </c>
      <c r="AE282" s="51">
        <v>2685960613</v>
      </c>
      <c r="AF282" s="51"/>
      <c r="AG282" s="51">
        <v>1803337580</v>
      </c>
      <c r="AH282" s="51"/>
      <c r="AI282" s="51"/>
      <c r="AJ282" s="51">
        <v>1998552905</v>
      </c>
      <c r="AK282" s="51">
        <v>5041009858</v>
      </c>
      <c r="AL282" s="51"/>
      <c r="AM282" s="51"/>
      <c r="AN282" s="51">
        <f t="shared" si="48"/>
        <v>165317530265</v>
      </c>
      <c r="AO282" s="51">
        <v>29304705943</v>
      </c>
      <c r="AP282" s="51"/>
      <c r="AQ282" s="51"/>
      <c r="AR282" s="51">
        <v>1803337580</v>
      </c>
      <c r="AS282" s="51">
        <v>534368936</v>
      </c>
      <c r="AT282" s="51"/>
      <c r="AU282" s="51"/>
      <c r="AV282" s="51">
        <v>1998552905</v>
      </c>
      <c r="AW282" s="51">
        <v>3415019968</v>
      </c>
      <c r="AX282" s="51"/>
      <c r="AY282" s="51"/>
      <c r="AZ282" s="51"/>
      <c r="BA282" s="51"/>
      <c r="BB282" s="51"/>
      <c r="BC282" s="52">
        <f t="shared" si="43"/>
        <v>202373515597</v>
      </c>
      <c r="BD282" s="51">
        <v>30825915509</v>
      </c>
      <c r="BE282" s="51">
        <v>534368936</v>
      </c>
      <c r="BF282" s="51"/>
      <c r="BG282" s="51">
        <v>3606675160</v>
      </c>
      <c r="BH282" s="51"/>
      <c r="BI282" s="51"/>
      <c r="BJ282" s="51"/>
      <c r="BK282" s="51">
        <v>1997401317</v>
      </c>
      <c r="BL282" s="51">
        <v>5104987737</v>
      </c>
      <c r="BM282" s="51"/>
      <c r="BN282" s="51"/>
      <c r="BO282" s="51"/>
      <c r="BP282" s="52">
        <v>244442864256</v>
      </c>
      <c r="BQ282" s="52">
        <v>30779604160</v>
      </c>
      <c r="BR282" s="52">
        <v>0</v>
      </c>
      <c r="BS282" s="52"/>
      <c r="BT282" s="52">
        <v>1803337580</v>
      </c>
      <c r="BU282" s="52">
        <v>13184700947</v>
      </c>
      <c r="BV282" s="52"/>
      <c r="BW282" s="52"/>
      <c r="BX282" s="52"/>
      <c r="BY282" s="52"/>
      <c r="BZ282" s="52">
        <v>2003968550</v>
      </c>
      <c r="CA282" s="52">
        <v>5359885127</v>
      </c>
      <c r="CB282" s="52"/>
      <c r="CC282" s="52"/>
      <c r="CD282" s="52"/>
      <c r="CE282" s="52"/>
      <c r="CF282" s="52"/>
      <c r="CG282" s="52">
        <f t="shared" si="44"/>
        <v>297574360620</v>
      </c>
      <c r="CH282" s="52">
        <v>29933718352</v>
      </c>
      <c r="CI282" s="52">
        <v>0</v>
      </c>
      <c r="CJ282" s="52"/>
      <c r="CK282" s="52">
        <v>1803337582</v>
      </c>
      <c r="CL282" s="52"/>
      <c r="CM282" s="52"/>
      <c r="CN282" s="52">
        <v>2048298940</v>
      </c>
      <c r="CO282" s="52">
        <v>3742753207</v>
      </c>
      <c r="CP282" s="52"/>
      <c r="CQ282" s="52"/>
      <c r="CR282" s="52"/>
      <c r="CS282" s="52">
        <f t="shared" si="41"/>
        <v>335102468701</v>
      </c>
      <c r="CT282" s="53">
        <v>335102468701</v>
      </c>
      <c r="CU282" s="53">
        <f t="shared" si="42"/>
        <v>0</v>
      </c>
      <c r="CV282" s="54">
        <f t="shared" si="45"/>
        <v>335102468701</v>
      </c>
      <c r="CW282" s="55">
        <f t="shared" si="46"/>
        <v>0</v>
      </c>
      <c r="CX282" s="16"/>
      <c r="CY282" s="16"/>
      <c r="CZ282" s="8"/>
      <c r="DA282" s="8"/>
      <c r="DB282" s="8"/>
      <c r="DC282" s="8"/>
      <c r="DD282" s="8"/>
    </row>
    <row r="283" spans="1:108" ht="15" customHeight="1" x14ac:dyDescent="0.2">
      <c r="A283" s="22">
        <v>8908010521</v>
      </c>
      <c r="B283" s="1">
        <v>890801052</v>
      </c>
      <c r="C283" s="9">
        <v>111717000</v>
      </c>
      <c r="D283" s="10" t="s">
        <v>29</v>
      </c>
      <c r="E283" s="47" t="s">
        <v>1045</v>
      </c>
      <c r="F283" s="21">
        <f>15593572584+428875575</f>
        <v>16022448159</v>
      </c>
      <c r="G283" s="50"/>
      <c r="H283" s="21">
        <v>0</v>
      </c>
      <c r="I283" s="50"/>
      <c r="J283" s="21">
        <v>1167545129</v>
      </c>
      <c r="K283" s="21">
        <v>2354473785</v>
      </c>
      <c r="L283" s="50"/>
      <c r="M283" s="52">
        <f t="shared" si="49"/>
        <v>19544467073</v>
      </c>
      <c r="N283" s="21">
        <f>15779474466+1991808660</f>
        <v>17771283126</v>
      </c>
      <c r="O283" s="50"/>
      <c r="P283" s="21">
        <f>VLOOKUP(A283,'[3]PENS-CANC'!A$2:B$37,2,0)</f>
        <v>0</v>
      </c>
      <c r="Q283" s="50"/>
      <c r="R283" s="21">
        <v>1184152647</v>
      </c>
      <c r="S283" s="21">
        <f>1186928656+1167545129</f>
        <v>2354473785</v>
      </c>
      <c r="T283" s="50"/>
      <c r="U283" s="51">
        <f t="shared" si="40"/>
        <v>40854376631</v>
      </c>
      <c r="V283" s="51">
        <v>22869902773</v>
      </c>
      <c r="W283" s="51"/>
      <c r="X283" s="51">
        <v>0</v>
      </c>
      <c r="Y283" s="51"/>
      <c r="Z283" s="51">
        <v>1186334175</v>
      </c>
      <c r="AA283" s="51">
        <v>2526668304</v>
      </c>
      <c r="AB283" s="51"/>
      <c r="AC283" s="51">
        <f t="shared" si="50"/>
        <v>67437281883</v>
      </c>
      <c r="AD283" s="51">
        <v>16282477813</v>
      </c>
      <c r="AE283" s="51">
        <v>2170827708</v>
      </c>
      <c r="AF283" s="51"/>
      <c r="AG283" s="51">
        <v>0</v>
      </c>
      <c r="AH283" s="51"/>
      <c r="AI283" s="51"/>
      <c r="AJ283" s="51">
        <v>1183537491</v>
      </c>
      <c r="AK283" s="51">
        <v>2988170981</v>
      </c>
      <c r="AL283" s="51"/>
      <c r="AM283" s="51"/>
      <c r="AN283" s="51">
        <f t="shared" si="48"/>
        <v>90062295876</v>
      </c>
      <c r="AO283" s="51">
        <v>16282477813</v>
      </c>
      <c r="AP283" s="51"/>
      <c r="AQ283" s="51"/>
      <c r="AR283" s="51"/>
      <c r="AS283" s="51">
        <v>968790045</v>
      </c>
      <c r="AT283" s="51"/>
      <c r="AU283" s="51"/>
      <c r="AV283" s="51">
        <v>1183537491</v>
      </c>
      <c r="AW283" s="51">
        <v>2025363477</v>
      </c>
      <c r="AX283" s="51"/>
      <c r="AY283" s="51"/>
      <c r="AZ283" s="51"/>
      <c r="BA283" s="51"/>
      <c r="BB283" s="51"/>
      <c r="BC283" s="52">
        <f t="shared" si="43"/>
        <v>110522464702</v>
      </c>
      <c r="BD283" s="51">
        <v>16840999679</v>
      </c>
      <c r="BE283" s="51">
        <v>228276358</v>
      </c>
      <c r="BF283" s="51"/>
      <c r="BG283" s="51"/>
      <c r="BH283" s="51"/>
      <c r="BI283" s="51"/>
      <c r="BJ283" s="51"/>
      <c r="BK283" s="51">
        <v>1138263150</v>
      </c>
      <c r="BL283" s="51">
        <v>3100214175</v>
      </c>
      <c r="BM283" s="51"/>
      <c r="BN283" s="51"/>
      <c r="BO283" s="51"/>
      <c r="BP283" s="52">
        <v>131830218064</v>
      </c>
      <c r="BQ283" s="52">
        <v>16674303377</v>
      </c>
      <c r="BR283" s="52">
        <v>0</v>
      </c>
      <c r="BS283" s="52"/>
      <c r="BT283" s="52">
        <v>0</v>
      </c>
      <c r="BU283" s="52">
        <v>7632142899</v>
      </c>
      <c r="BV283" s="52"/>
      <c r="BW283" s="52"/>
      <c r="BX283" s="52"/>
      <c r="BY283" s="52"/>
      <c r="BZ283" s="52">
        <v>1188740517</v>
      </c>
      <c r="CA283" s="52">
        <v>3158422600</v>
      </c>
      <c r="CB283" s="52"/>
      <c r="CC283" s="52"/>
      <c r="CD283" s="52"/>
      <c r="CE283" s="52"/>
      <c r="CF283" s="52"/>
      <c r="CG283" s="52">
        <f t="shared" si="44"/>
        <v>160483827457</v>
      </c>
      <c r="CH283" s="52">
        <v>16610724888</v>
      </c>
      <c r="CI283" s="52">
        <v>1599544903</v>
      </c>
      <c r="CJ283" s="52"/>
      <c r="CK283" s="52">
        <v>0</v>
      </c>
      <c r="CL283" s="52"/>
      <c r="CM283" s="52"/>
      <c r="CN283" s="52">
        <v>1206104730</v>
      </c>
      <c r="CO283" s="52">
        <v>2201770783</v>
      </c>
      <c r="CP283" s="52"/>
      <c r="CQ283" s="52"/>
      <c r="CR283" s="52"/>
      <c r="CS283" s="52">
        <f t="shared" si="41"/>
        <v>182101972761</v>
      </c>
      <c r="CT283" s="53">
        <v>182101972761</v>
      </c>
      <c r="CU283" s="53">
        <f t="shared" si="42"/>
        <v>0</v>
      </c>
      <c r="CV283" s="54">
        <f t="shared" si="45"/>
        <v>182101972761</v>
      </c>
      <c r="CW283" s="55">
        <f t="shared" si="46"/>
        <v>0</v>
      </c>
      <c r="CX283" s="16"/>
      <c r="CY283" s="16"/>
      <c r="CZ283" s="8"/>
      <c r="DA283" s="8"/>
      <c r="DB283" s="8"/>
      <c r="DC283" s="8"/>
      <c r="DD283" s="8"/>
    </row>
    <row r="284" spans="1:108" ht="15" customHeight="1" x14ac:dyDescent="0.2">
      <c r="A284" s="1">
        <v>8920992166</v>
      </c>
      <c r="B284" s="1">
        <v>892099216</v>
      </c>
      <c r="C284" s="9">
        <v>118585000</v>
      </c>
      <c r="D284" s="10" t="s">
        <v>37</v>
      </c>
      <c r="E284" s="47" t="s">
        <v>1068</v>
      </c>
      <c r="F284" s="21">
        <f>7889353542+368023993</f>
        <v>8257377535</v>
      </c>
      <c r="G284" s="50"/>
      <c r="H284" s="21">
        <v>62294604</v>
      </c>
      <c r="I284" s="50"/>
      <c r="J284" s="21">
        <v>576769237</v>
      </c>
      <c r="K284" s="21">
        <v>1169157034</v>
      </c>
      <c r="L284" s="50"/>
      <c r="M284" s="52">
        <f t="shared" si="49"/>
        <v>10065598410</v>
      </c>
      <c r="N284" s="21">
        <f>7918899136+167283633</f>
        <v>8086182769</v>
      </c>
      <c r="O284" s="50"/>
      <c r="P284" s="21">
        <f>VLOOKUP(A284,'[3]PENS-CANC'!A$2:B$37,2,0)</f>
        <v>62294604</v>
      </c>
      <c r="Q284" s="50"/>
      <c r="R284" s="21">
        <v>576769237</v>
      </c>
      <c r="S284" s="21">
        <f>592387797+576769237</f>
        <v>1169157034</v>
      </c>
      <c r="T284" s="50"/>
      <c r="U284" s="51">
        <f t="shared" si="40"/>
        <v>19960002054</v>
      </c>
      <c r="V284" s="51">
        <v>11311380602</v>
      </c>
      <c r="W284" s="51"/>
      <c r="X284" s="51">
        <v>62294604</v>
      </c>
      <c r="Y284" s="51"/>
      <c r="Z284" s="51">
        <v>500150206</v>
      </c>
      <c r="AA284" s="51">
        <v>1159242813</v>
      </c>
      <c r="AB284" s="51"/>
      <c r="AC284" s="51">
        <f t="shared" si="50"/>
        <v>32993070279</v>
      </c>
      <c r="AD284" s="51">
        <v>8154076506</v>
      </c>
      <c r="AE284" s="51">
        <v>1509018837</v>
      </c>
      <c r="AF284" s="51"/>
      <c r="AG284" s="51">
        <v>62294604</v>
      </c>
      <c r="AH284" s="51"/>
      <c r="AI284" s="51"/>
      <c r="AJ284" s="51">
        <v>573110661</v>
      </c>
      <c r="AK284" s="51">
        <v>1450526673</v>
      </c>
      <c r="AL284" s="51"/>
      <c r="AM284" s="51"/>
      <c r="AN284" s="51">
        <f t="shared" si="48"/>
        <v>44742097560</v>
      </c>
      <c r="AO284" s="51">
        <v>8154076506</v>
      </c>
      <c r="AP284" s="51">
        <v>795415907</v>
      </c>
      <c r="AQ284" s="51"/>
      <c r="AR284" s="51">
        <v>62294604</v>
      </c>
      <c r="AS284" s="51">
        <v>0</v>
      </c>
      <c r="AT284" s="51"/>
      <c r="AU284" s="51"/>
      <c r="AV284" s="51">
        <v>573110661</v>
      </c>
      <c r="AW284" s="51">
        <v>984038937</v>
      </c>
      <c r="AX284" s="51"/>
      <c r="AY284" s="51"/>
      <c r="AZ284" s="51"/>
      <c r="BA284" s="51"/>
      <c r="BB284" s="51"/>
      <c r="BC284" s="52">
        <f t="shared" si="43"/>
        <v>55311034175</v>
      </c>
      <c r="BD284" s="51">
        <v>8620298557</v>
      </c>
      <c r="BE284" s="51">
        <v>139212152</v>
      </c>
      <c r="BF284" s="51"/>
      <c r="BG284" s="51">
        <v>124589208</v>
      </c>
      <c r="BH284" s="51"/>
      <c r="BI284" s="51"/>
      <c r="BJ284" s="51"/>
      <c r="BK284" s="51">
        <v>506419223</v>
      </c>
      <c r="BL284" s="51">
        <v>1078754467</v>
      </c>
      <c r="BM284" s="51"/>
      <c r="BN284" s="51"/>
      <c r="BO284" s="51"/>
      <c r="BP284" s="52">
        <v>65780307782</v>
      </c>
      <c r="BQ284" s="52">
        <v>8214466110</v>
      </c>
      <c r="BR284" s="52">
        <v>883142000</v>
      </c>
      <c r="BS284" s="52"/>
      <c r="BT284" s="52">
        <v>62294604</v>
      </c>
      <c r="BU284" s="52">
        <v>3674111999</v>
      </c>
      <c r="BV284" s="52"/>
      <c r="BW284" s="52"/>
      <c r="BX284" s="52"/>
      <c r="BY284" s="52"/>
      <c r="BZ284" s="52">
        <v>674444175</v>
      </c>
      <c r="CA284" s="52">
        <v>1638066905</v>
      </c>
      <c r="CB284" s="52"/>
      <c r="CC284" s="52"/>
      <c r="CD284" s="52"/>
      <c r="CE284" s="52"/>
      <c r="CF284" s="52"/>
      <c r="CG284" s="52">
        <f t="shared" si="44"/>
        <v>80926833575</v>
      </c>
      <c r="CH284" s="52">
        <v>8331962159</v>
      </c>
      <c r="CI284" s="52">
        <v>989370912</v>
      </c>
      <c r="CJ284" s="52"/>
      <c r="CK284" s="52">
        <v>62294605</v>
      </c>
      <c r="CL284" s="52"/>
      <c r="CM284" s="52"/>
      <c r="CN284" s="52">
        <v>592495756</v>
      </c>
      <c r="CO284" s="52">
        <v>1089205811</v>
      </c>
      <c r="CP284" s="52"/>
      <c r="CQ284" s="52"/>
      <c r="CR284" s="52"/>
      <c r="CS284" s="52">
        <f t="shared" si="41"/>
        <v>91992162818</v>
      </c>
      <c r="CT284" s="53">
        <v>91992162818</v>
      </c>
      <c r="CU284" s="53">
        <f t="shared" si="42"/>
        <v>0</v>
      </c>
      <c r="CV284" s="54">
        <f t="shared" si="45"/>
        <v>91992162818</v>
      </c>
      <c r="CW284" s="55">
        <f t="shared" si="46"/>
        <v>0</v>
      </c>
      <c r="CX284" s="16"/>
      <c r="CY284" s="16"/>
      <c r="CZ284" s="8"/>
      <c r="DA284" s="8"/>
      <c r="DB284" s="8"/>
      <c r="DC284" s="8"/>
      <c r="DD284" s="8"/>
    </row>
    <row r="285" spans="1:108" ht="15" customHeight="1" x14ac:dyDescent="0.2">
      <c r="A285" s="1">
        <v>8001039356</v>
      </c>
      <c r="B285" s="1">
        <v>800103935</v>
      </c>
      <c r="C285" s="9">
        <v>112323000</v>
      </c>
      <c r="D285" s="10" t="s">
        <v>20</v>
      </c>
      <c r="E285" s="47" t="s">
        <v>1027</v>
      </c>
      <c r="F285" s="21">
        <f>34089591919+381128749</f>
        <v>34470720668</v>
      </c>
      <c r="G285" s="50"/>
      <c r="H285" s="21">
        <v>508966832</v>
      </c>
      <c r="I285" s="50"/>
      <c r="J285" s="21">
        <v>2497163883</v>
      </c>
      <c r="K285" s="21">
        <v>5120452154</v>
      </c>
      <c r="L285" s="50"/>
      <c r="M285" s="52">
        <f t="shared" si="49"/>
        <v>42597303537</v>
      </c>
      <c r="N285" s="21">
        <f>34587601351+173240341</f>
        <v>34760841692</v>
      </c>
      <c r="O285" s="50"/>
      <c r="P285" s="21">
        <f>VLOOKUP(A285,'[3]PENS-CANC'!A$2:B$37,2,0)</f>
        <v>508966832</v>
      </c>
      <c r="Q285" s="50"/>
      <c r="R285" s="21">
        <v>2497470601</v>
      </c>
      <c r="S285" s="21">
        <f>2623288271+2497470601</f>
        <v>5120758872</v>
      </c>
      <c r="T285" s="50"/>
      <c r="U285" s="51">
        <f t="shared" si="40"/>
        <v>85485341534</v>
      </c>
      <c r="V285" s="51">
        <v>53198249704</v>
      </c>
      <c r="W285" s="51"/>
      <c r="X285" s="51">
        <v>508966832</v>
      </c>
      <c r="Y285" s="51"/>
      <c r="Z285" s="51">
        <v>2482920616</v>
      </c>
      <c r="AA285" s="51">
        <v>5050941798</v>
      </c>
      <c r="AB285" s="51"/>
      <c r="AC285" s="51">
        <f t="shared" si="50"/>
        <v>146726420484</v>
      </c>
      <c r="AD285" s="51">
        <v>35384332660</v>
      </c>
      <c r="AE285" s="51">
        <v>2500080616</v>
      </c>
      <c r="AF285" s="51"/>
      <c r="AG285" s="51">
        <v>508966832</v>
      </c>
      <c r="AH285" s="51"/>
      <c r="AI285" s="51"/>
      <c r="AJ285" s="51">
        <v>2483133181</v>
      </c>
      <c r="AK285" s="51">
        <v>6266698266</v>
      </c>
      <c r="AL285" s="51"/>
      <c r="AM285" s="51"/>
      <c r="AN285" s="51">
        <f t="shared" si="48"/>
        <v>193869632039</v>
      </c>
      <c r="AO285" s="51">
        <v>35384332660</v>
      </c>
      <c r="AP285" s="51">
        <v>1527472493</v>
      </c>
      <c r="AQ285" s="51"/>
      <c r="AR285" s="51">
        <v>508966832</v>
      </c>
      <c r="AS285" s="51">
        <v>3208368204</v>
      </c>
      <c r="AT285" s="51"/>
      <c r="AU285" s="51"/>
      <c r="AV285" s="51">
        <v>2483133181</v>
      </c>
      <c r="AW285" s="51">
        <v>4245548800</v>
      </c>
      <c r="AX285" s="51"/>
      <c r="AY285" s="51"/>
      <c r="AZ285" s="51"/>
      <c r="BA285" s="51"/>
      <c r="BB285" s="51"/>
      <c r="BC285" s="52">
        <f t="shared" si="43"/>
        <v>241227454209</v>
      </c>
      <c r="BD285" s="51">
        <v>37468109489</v>
      </c>
      <c r="BE285" s="51">
        <v>913931535</v>
      </c>
      <c r="BF285" s="51"/>
      <c r="BG285" s="51">
        <v>1017933664</v>
      </c>
      <c r="BH285" s="51"/>
      <c r="BI285" s="51"/>
      <c r="BJ285" s="51"/>
      <c r="BK285" s="51">
        <v>2691604691</v>
      </c>
      <c r="BL285" s="51">
        <v>6094429502</v>
      </c>
      <c r="BM285" s="51"/>
      <c r="BN285" s="51"/>
      <c r="BO285" s="51"/>
      <c r="BP285" s="52">
        <v>289413463090</v>
      </c>
      <c r="BQ285" s="52">
        <v>37503621471</v>
      </c>
      <c r="BR285" s="52">
        <v>252747249</v>
      </c>
      <c r="BS285" s="52"/>
      <c r="BT285" s="52">
        <v>508966832</v>
      </c>
      <c r="BU285" s="52">
        <v>16754197902</v>
      </c>
      <c r="BV285" s="52"/>
      <c r="BW285" s="52"/>
      <c r="BX285" s="52"/>
      <c r="BY285" s="52"/>
      <c r="BZ285" s="52">
        <v>2546126240</v>
      </c>
      <c r="CA285" s="52">
        <v>6878968168</v>
      </c>
      <c r="CB285" s="52"/>
      <c r="CC285" s="52"/>
      <c r="CD285" s="52"/>
      <c r="CE285" s="52"/>
      <c r="CF285" s="52"/>
      <c r="CG285" s="52">
        <f t="shared" si="44"/>
        <v>353858090952</v>
      </c>
      <c r="CH285" s="52">
        <v>37695101760</v>
      </c>
      <c r="CI285" s="52">
        <v>5183000000</v>
      </c>
      <c r="CJ285" s="52"/>
      <c r="CK285" s="52">
        <v>508966836</v>
      </c>
      <c r="CL285" s="52"/>
      <c r="CM285" s="52"/>
      <c r="CN285" s="52">
        <v>2595370684</v>
      </c>
      <c r="CO285" s="52">
        <v>4847913775</v>
      </c>
      <c r="CP285" s="52"/>
      <c r="CQ285" s="52"/>
      <c r="CR285" s="52"/>
      <c r="CS285" s="52">
        <f t="shared" si="41"/>
        <v>404688444007</v>
      </c>
      <c r="CT285" s="53">
        <v>404688444007</v>
      </c>
      <c r="CU285" s="53">
        <f t="shared" si="42"/>
        <v>0</v>
      </c>
      <c r="CV285" s="54">
        <f t="shared" si="45"/>
        <v>404688444007</v>
      </c>
      <c r="CW285" s="55">
        <f t="shared" si="46"/>
        <v>0</v>
      </c>
      <c r="CX285" s="16"/>
      <c r="CY285" s="16"/>
      <c r="CZ285" s="8"/>
      <c r="DA285" s="8"/>
      <c r="DB285" s="8"/>
      <c r="DC285" s="8"/>
      <c r="DD285" s="8"/>
    </row>
    <row r="286" spans="1:108" s="23" customFormat="1" ht="15" customHeight="1" x14ac:dyDescent="0.2">
      <c r="A286" s="1">
        <v>8999991140</v>
      </c>
      <c r="B286" s="1">
        <v>899999114</v>
      </c>
      <c r="C286" s="9">
        <v>112525000</v>
      </c>
      <c r="D286" s="10" t="s">
        <v>42</v>
      </c>
      <c r="E286" s="71" t="s">
        <v>2277</v>
      </c>
      <c r="F286" s="21">
        <f>37575562160+652157325</f>
        <v>38227719485</v>
      </c>
      <c r="G286" s="58"/>
      <c r="H286" s="21">
        <v>3339633797</v>
      </c>
      <c r="I286" s="58"/>
      <c r="J286" s="21">
        <v>2648316571</v>
      </c>
      <c r="K286" s="21">
        <v>5321508198</v>
      </c>
      <c r="L286" s="58"/>
      <c r="M286" s="59">
        <f t="shared" si="49"/>
        <v>49537178051</v>
      </c>
      <c r="N286" s="21">
        <f>37175671815+296435148</f>
        <v>37472106963</v>
      </c>
      <c r="O286" s="58"/>
      <c r="P286" s="21">
        <f>VLOOKUP(A286,'[3]PENS-CANC'!A$2:B$37,2,0)</f>
        <v>3339633797</v>
      </c>
      <c r="Q286" s="50"/>
      <c r="R286" s="21">
        <v>2648316571</v>
      </c>
      <c r="S286" s="21">
        <f>2673191627+2648316571</f>
        <v>5321508198</v>
      </c>
      <c r="T286" s="58"/>
      <c r="U286" s="51">
        <f t="shared" si="40"/>
        <v>98318743580</v>
      </c>
      <c r="V286" s="51">
        <v>51819174889</v>
      </c>
      <c r="W286" s="51"/>
      <c r="X286" s="51">
        <v>3339633797</v>
      </c>
      <c r="Y286" s="51"/>
      <c r="Z286" s="51">
        <v>2504407690</v>
      </c>
      <c r="AA286" s="51">
        <v>5754753486</v>
      </c>
      <c r="AB286" s="51"/>
      <c r="AC286" s="51">
        <f t="shared" si="50"/>
        <v>161736713442</v>
      </c>
      <c r="AD286" s="51">
        <v>37416576849</v>
      </c>
      <c r="AE286" s="51">
        <v>11122408971</v>
      </c>
      <c r="AF286" s="51"/>
      <c r="AG286" s="51">
        <v>3339633797</v>
      </c>
      <c r="AH286" s="51"/>
      <c r="AI286" s="51"/>
      <c r="AJ286" s="51">
        <v>2707647015</v>
      </c>
      <c r="AK286" s="51">
        <v>6829918988</v>
      </c>
      <c r="AL286" s="51"/>
      <c r="AM286" s="51"/>
      <c r="AN286" s="51">
        <f t="shared" si="48"/>
        <v>223152899062</v>
      </c>
      <c r="AO286" s="51">
        <v>37416576849</v>
      </c>
      <c r="AP286" s="51"/>
      <c r="AQ286" s="51"/>
      <c r="AR286" s="51">
        <v>3339633797</v>
      </c>
      <c r="AS286" s="51">
        <v>3217459427</v>
      </c>
      <c r="AT286" s="51"/>
      <c r="AU286" s="51"/>
      <c r="AV286" s="51">
        <v>2707647015</v>
      </c>
      <c r="AW286" s="51">
        <v>4627539270</v>
      </c>
      <c r="AX286" s="51"/>
      <c r="AY286" s="51"/>
      <c r="AZ286" s="51"/>
      <c r="BA286" s="51"/>
      <c r="BB286" s="51"/>
      <c r="BC286" s="52">
        <f t="shared" si="43"/>
        <v>274461755420</v>
      </c>
      <c r="BD286" s="51">
        <v>38636002426</v>
      </c>
      <c r="BE286" s="51">
        <v>718690691</v>
      </c>
      <c r="BF286" s="51"/>
      <c r="BG286" s="51">
        <v>6679267594</v>
      </c>
      <c r="BH286" s="51"/>
      <c r="BI286" s="51"/>
      <c r="BJ286" s="51"/>
      <c r="BK286" s="51">
        <v>2971482989</v>
      </c>
      <c r="BL286" s="51">
        <v>7479354923</v>
      </c>
      <c r="BM286" s="51"/>
      <c r="BN286" s="51"/>
      <c r="BO286" s="51"/>
      <c r="BP286" s="52">
        <v>330946554043</v>
      </c>
      <c r="BQ286" s="52">
        <v>38759920633</v>
      </c>
      <c r="BR286" s="52">
        <v>0</v>
      </c>
      <c r="BS286" s="52"/>
      <c r="BT286" s="52">
        <v>3339633797</v>
      </c>
      <c r="BU286" s="52">
        <v>16872216086</v>
      </c>
      <c r="BV286" s="52"/>
      <c r="BW286" s="52"/>
      <c r="BX286" s="52"/>
      <c r="BY286" s="52"/>
      <c r="BZ286" s="52">
        <v>2749580954</v>
      </c>
      <c r="CA286" s="52">
        <v>7228015540</v>
      </c>
      <c r="CB286" s="52"/>
      <c r="CC286" s="52"/>
      <c r="CD286" s="52"/>
      <c r="CE286" s="52"/>
      <c r="CF286" s="52"/>
      <c r="CG286" s="52">
        <f t="shared" si="44"/>
        <v>399895921053</v>
      </c>
      <c r="CH286" s="52">
        <v>38587177377</v>
      </c>
      <c r="CI286" s="52">
        <v>513658240</v>
      </c>
      <c r="CJ286" s="52"/>
      <c r="CK286" s="52">
        <v>3339633801</v>
      </c>
      <c r="CL286" s="52"/>
      <c r="CM286" s="52"/>
      <c r="CN286" s="52">
        <v>2754823824</v>
      </c>
      <c r="CO286" s="52">
        <v>5019696186</v>
      </c>
      <c r="CP286" s="52"/>
      <c r="CQ286" s="52"/>
      <c r="CR286" s="52"/>
      <c r="CS286" s="52">
        <f t="shared" si="41"/>
        <v>450110910481</v>
      </c>
      <c r="CT286" s="53">
        <v>450110910481</v>
      </c>
      <c r="CU286" s="53">
        <f t="shared" si="42"/>
        <v>0</v>
      </c>
      <c r="CV286" s="54">
        <f t="shared" si="45"/>
        <v>450110910481</v>
      </c>
      <c r="CW286" s="55">
        <f t="shared" si="46"/>
        <v>0</v>
      </c>
      <c r="CX286" s="16"/>
      <c r="CY286" s="11"/>
      <c r="CZ286" s="8"/>
      <c r="DA286" s="24"/>
      <c r="DB286" s="24"/>
      <c r="DC286" s="24"/>
      <c r="DD286" s="24"/>
    </row>
    <row r="287" spans="1:108" ht="15" customHeight="1" x14ac:dyDescent="0.2">
      <c r="A287" s="1">
        <v>8920991490</v>
      </c>
      <c r="B287" s="1">
        <v>892099149</v>
      </c>
      <c r="C287" s="9">
        <v>119494000</v>
      </c>
      <c r="D287" s="10" t="s">
        <v>36</v>
      </c>
      <c r="E287" s="47" t="s">
        <v>1067</v>
      </c>
      <c r="F287" s="21">
        <f>1675611157+1199695701</f>
        <v>2875306858</v>
      </c>
      <c r="G287" s="50"/>
      <c r="H287" s="21">
        <v>15146835</v>
      </c>
      <c r="I287" s="50"/>
      <c r="J287" s="21">
        <v>77591840</v>
      </c>
      <c r="K287" s="21">
        <v>158768503</v>
      </c>
      <c r="L287" s="50"/>
      <c r="M287" s="52">
        <f t="shared" si="49"/>
        <v>3126814036</v>
      </c>
      <c r="N287" s="21">
        <f>1711260018+545316228</f>
        <v>2256576246</v>
      </c>
      <c r="O287" s="50"/>
      <c r="P287" s="21">
        <f>VLOOKUP(A287,'[3]PENS-CANC'!A$2:B$37,2,0)</f>
        <v>15146835</v>
      </c>
      <c r="Q287" s="50"/>
      <c r="R287" s="21">
        <v>77591840</v>
      </c>
      <c r="S287" s="21">
        <f>81176663+77591840</f>
        <v>158768503</v>
      </c>
      <c r="T287" s="50"/>
      <c r="U287" s="51">
        <f t="shared" si="40"/>
        <v>5634897460</v>
      </c>
      <c r="V287" s="51">
        <v>2985768178</v>
      </c>
      <c r="W287" s="51"/>
      <c r="X287" s="51">
        <v>15146835</v>
      </c>
      <c r="Y287" s="51"/>
      <c r="Z287" s="51">
        <v>70432084</v>
      </c>
      <c r="AA287" s="51">
        <v>160663459</v>
      </c>
      <c r="AB287" s="51"/>
      <c r="AC287" s="51">
        <f t="shared" si="50"/>
        <v>8866908016</v>
      </c>
      <c r="AD287" s="51">
        <v>2060758101</v>
      </c>
      <c r="AE287" s="51">
        <v>6732407370</v>
      </c>
      <c r="AF287" s="51"/>
      <c r="AG287" s="51">
        <v>15146835</v>
      </c>
      <c r="AH287" s="51"/>
      <c r="AI287" s="51"/>
      <c r="AJ287" s="51">
        <v>77369879</v>
      </c>
      <c r="AK287" s="51">
        <v>196948746</v>
      </c>
      <c r="AL287" s="51"/>
      <c r="AM287" s="51"/>
      <c r="AN287" s="51">
        <f t="shared" si="48"/>
        <v>17949538947</v>
      </c>
      <c r="AO287" s="51">
        <v>2060758101</v>
      </c>
      <c r="AP287" s="51"/>
      <c r="AQ287" s="51"/>
      <c r="AR287" s="51">
        <v>15146835</v>
      </c>
      <c r="AS287" s="51">
        <v>625737525</v>
      </c>
      <c r="AT287" s="51"/>
      <c r="AU287" s="51"/>
      <c r="AV287" s="51">
        <v>77369879</v>
      </c>
      <c r="AW287" s="51">
        <v>133923448</v>
      </c>
      <c r="AX287" s="51"/>
      <c r="AY287" s="51">
        <v>237255020</v>
      </c>
      <c r="AZ287" s="51"/>
      <c r="BA287" s="51"/>
      <c r="BB287" s="51"/>
      <c r="BC287" s="52">
        <f t="shared" si="43"/>
        <v>21099729755</v>
      </c>
      <c r="BD287" s="51">
        <v>1957824396</v>
      </c>
      <c r="BE287" s="51">
        <v>382088224</v>
      </c>
      <c r="BF287" s="51"/>
      <c r="BG287" s="51">
        <v>30293670</v>
      </c>
      <c r="BH287" s="51"/>
      <c r="BI287" s="51"/>
      <c r="BJ287" s="51"/>
      <c r="BK287" s="51">
        <v>85977413</v>
      </c>
      <c r="BL287" s="51">
        <v>213916663</v>
      </c>
      <c r="BM287" s="51"/>
      <c r="BN287" s="51">
        <v>47451004</v>
      </c>
      <c r="BO287" s="51"/>
      <c r="BP287" s="52">
        <v>23817281125</v>
      </c>
      <c r="BQ287" s="52">
        <v>1940933887</v>
      </c>
      <c r="BR287" s="52">
        <v>0</v>
      </c>
      <c r="BS287" s="52"/>
      <c r="BT287" s="52">
        <v>15146835</v>
      </c>
      <c r="BU287" s="52">
        <v>665897547</v>
      </c>
      <c r="BV287" s="52"/>
      <c r="BW287" s="52"/>
      <c r="BX287" s="52"/>
      <c r="BY287" s="52"/>
      <c r="BZ287" s="52">
        <v>79932767</v>
      </c>
      <c r="CA287" s="52">
        <v>212399196</v>
      </c>
      <c r="CB287" s="52"/>
      <c r="CC287" s="52">
        <v>47451004</v>
      </c>
      <c r="CD287" s="52"/>
      <c r="CE287" s="52"/>
      <c r="CF287" s="52"/>
      <c r="CG287" s="52">
        <f t="shared" si="44"/>
        <v>26779042361</v>
      </c>
      <c r="CH287" s="52">
        <v>1741011095</v>
      </c>
      <c r="CI287" s="52">
        <v>680995643</v>
      </c>
      <c r="CJ287" s="52"/>
      <c r="CK287" s="52">
        <v>0</v>
      </c>
      <c r="CL287" s="52"/>
      <c r="CM287" s="52"/>
      <c r="CN287" s="52">
        <v>83074287</v>
      </c>
      <c r="CO287" s="52">
        <v>151282822</v>
      </c>
      <c r="CP287" s="52"/>
      <c r="CQ287" s="52">
        <v>47451004</v>
      </c>
      <c r="CR287" s="52"/>
      <c r="CS287" s="52">
        <f t="shared" si="41"/>
        <v>29482857212</v>
      </c>
      <c r="CT287" s="53">
        <v>29482857212</v>
      </c>
      <c r="CU287" s="53">
        <f t="shared" si="42"/>
        <v>0</v>
      </c>
      <c r="CV287" s="54">
        <f t="shared" si="45"/>
        <v>29482857212</v>
      </c>
      <c r="CW287" s="55">
        <f t="shared" si="46"/>
        <v>0</v>
      </c>
      <c r="CX287" s="16"/>
      <c r="CY287" s="8"/>
      <c r="CZ287" s="8"/>
      <c r="DA287" s="8"/>
      <c r="DB287" s="8"/>
      <c r="DC287" s="8"/>
      <c r="DD287" s="8"/>
    </row>
    <row r="288" spans="1:108" ht="15" customHeight="1" x14ac:dyDescent="0.2">
      <c r="A288" s="1">
        <v>8001031961</v>
      </c>
      <c r="B288" s="1">
        <v>800103196</v>
      </c>
      <c r="C288" s="9">
        <v>119595000</v>
      </c>
      <c r="D288" s="10" t="s">
        <v>15</v>
      </c>
      <c r="E288" s="47" t="s">
        <v>1022</v>
      </c>
      <c r="F288" s="21">
        <f>3197296463+596690422</f>
        <v>3793986885</v>
      </c>
      <c r="G288" s="50"/>
      <c r="H288" s="21">
        <v>9575745</v>
      </c>
      <c r="I288" s="50"/>
      <c r="J288" s="21">
        <v>194358760</v>
      </c>
      <c r="K288" s="21">
        <v>397574857</v>
      </c>
      <c r="L288" s="50"/>
      <c r="M288" s="52">
        <f t="shared" si="49"/>
        <v>4395496247</v>
      </c>
      <c r="N288" s="21">
        <f>3232685656+271222919</f>
        <v>3503908575</v>
      </c>
      <c r="O288" s="50"/>
      <c r="P288" s="21">
        <f>VLOOKUP(A288,'[3]PENS-CANC'!A$2:B$37,2,0)</f>
        <v>9575745</v>
      </c>
      <c r="Q288" s="50"/>
      <c r="R288" s="21">
        <v>194358760</v>
      </c>
      <c r="S288" s="21">
        <f>203216097+194358760</f>
        <v>397574857</v>
      </c>
      <c r="T288" s="50"/>
      <c r="U288" s="51">
        <f t="shared" si="40"/>
        <v>8500914184</v>
      </c>
      <c r="V288" s="51">
        <v>5620349330</v>
      </c>
      <c r="W288" s="51"/>
      <c r="X288" s="51">
        <v>0</v>
      </c>
      <c r="Y288" s="51"/>
      <c r="Z288" s="51">
        <v>163330329</v>
      </c>
      <c r="AA288" s="51">
        <v>376907694</v>
      </c>
      <c r="AB288" s="51"/>
      <c r="AC288" s="51">
        <f t="shared" si="50"/>
        <v>14661501537</v>
      </c>
      <c r="AD288" s="51">
        <v>3251335017</v>
      </c>
      <c r="AE288" s="51">
        <v>2217802942</v>
      </c>
      <c r="AF288" s="51"/>
      <c r="AG288" s="51">
        <v>9575745</v>
      </c>
      <c r="AH288" s="51"/>
      <c r="AI288" s="51"/>
      <c r="AJ288" s="51">
        <v>191511734</v>
      </c>
      <c r="AK288" s="51">
        <v>485371842</v>
      </c>
      <c r="AL288" s="51"/>
      <c r="AM288" s="51"/>
      <c r="AN288" s="51">
        <f t="shared" si="48"/>
        <v>20817098817</v>
      </c>
      <c r="AO288" s="51">
        <v>3251335017</v>
      </c>
      <c r="AP288" s="51"/>
      <c r="AQ288" s="51"/>
      <c r="AR288" s="51">
        <v>9575745</v>
      </c>
      <c r="AS288" s="51">
        <v>643541716</v>
      </c>
      <c r="AT288" s="51"/>
      <c r="AU288" s="51"/>
      <c r="AV288" s="51">
        <v>191511734</v>
      </c>
      <c r="AW288" s="51">
        <v>329442670</v>
      </c>
      <c r="AX288" s="51"/>
      <c r="AY288" s="51"/>
      <c r="AZ288" s="51"/>
      <c r="BA288" s="51"/>
      <c r="BB288" s="51"/>
      <c r="BC288" s="52">
        <f t="shared" si="43"/>
        <v>25242505699</v>
      </c>
      <c r="BD288" s="51">
        <v>3233325718</v>
      </c>
      <c r="BE288" s="51">
        <v>144153747</v>
      </c>
      <c r="BF288" s="51"/>
      <c r="BG288" s="51">
        <v>19151490</v>
      </c>
      <c r="BH288" s="51"/>
      <c r="BI288" s="51"/>
      <c r="BJ288" s="51"/>
      <c r="BK288" s="51">
        <v>189166943</v>
      </c>
      <c r="BL288" s="51">
        <v>480052949</v>
      </c>
      <c r="BM288" s="51"/>
      <c r="BN288" s="51"/>
      <c r="BO288" s="51"/>
      <c r="BP288" s="52">
        <v>29308356546</v>
      </c>
      <c r="BQ288" s="52">
        <v>3259659732</v>
      </c>
      <c r="BR288" s="52">
        <v>0</v>
      </c>
      <c r="BS288" s="52"/>
      <c r="BT288" s="52">
        <v>9575745</v>
      </c>
      <c r="BU288" s="52">
        <v>1302439216</v>
      </c>
      <c r="BV288" s="52"/>
      <c r="BW288" s="52"/>
      <c r="BX288" s="52"/>
      <c r="BY288" s="52"/>
      <c r="BZ288" s="52">
        <v>192155840</v>
      </c>
      <c r="CA288" s="52">
        <v>514815707</v>
      </c>
      <c r="CB288" s="52"/>
      <c r="CC288" s="52"/>
      <c r="CD288" s="52"/>
      <c r="CE288" s="52"/>
      <c r="CF288" s="52"/>
      <c r="CG288" s="52">
        <f t="shared" si="44"/>
        <v>34587002786</v>
      </c>
      <c r="CH288" s="52">
        <v>3203266223</v>
      </c>
      <c r="CI288" s="52">
        <v>481642537</v>
      </c>
      <c r="CJ288" s="52"/>
      <c r="CK288" s="52">
        <v>0</v>
      </c>
      <c r="CL288" s="52"/>
      <c r="CM288" s="52"/>
      <c r="CN288" s="52">
        <v>193525227</v>
      </c>
      <c r="CO288" s="52">
        <v>356066024</v>
      </c>
      <c r="CP288" s="52"/>
      <c r="CQ288" s="52"/>
      <c r="CR288" s="52"/>
      <c r="CS288" s="52">
        <f t="shared" si="41"/>
        <v>38821502797</v>
      </c>
      <c r="CT288" s="53">
        <v>38821502797</v>
      </c>
      <c r="CU288" s="53">
        <f t="shared" si="42"/>
        <v>0</v>
      </c>
      <c r="CV288" s="54">
        <f t="shared" si="45"/>
        <v>38821502797</v>
      </c>
      <c r="CW288" s="55">
        <f t="shared" si="46"/>
        <v>0</v>
      </c>
      <c r="CX288" s="16"/>
      <c r="CY288" s="8"/>
      <c r="CZ288" s="8"/>
      <c r="DA288" s="8"/>
      <c r="DB288" s="8"/>
      <c r="DC288" s="8"/>
      <c r="DD288" s="8"/>
    </row>
    <row r="289" spans="1:108" ht="15" customHeight="1" x14ac:dyDescent="0.2">
      <c r="A289" s="1">
        <v>8921150151</v>
      </c>
      <c r="B289" s="1">
        <v>892115015</v>
      </c>
      <c r="C289" s="9">
        <v>114444000</v>
      </c>
      <c r="D289" s="10" t="s">
        <v>38</v>
      </c>
      <c r="E289" s="47" t="s">
        <v>1069</v>
      </c>
      <c r="F289" s="21">
        <f>9365013815+514782153</f>
        <v>9879795968</v>
      </c>
      <c r="G289" s="50"/>
      <c r="H289" s="21">
        <v>142898927</v>
      </c>
      <c r="I289" s="50"/>
      <c r="J289" s="21">
        <v>603464099</v>
      </c>
      <c r="K289" s="21">
        <v>1210098541</v>
      </c>
      <c r="L289" s="50"/>
      <c r="M289" s="52">
        <f t="shared" si="49"/>
        <v>11836257535</v>
      </c>
      <c r="N289" s="21">
        <f>10500000000+627994000+233991888</f>
        <v>11361985888</v>
      </c>
      <c r="O289" s="50"/>
      <c r="P289" s="21">
        <f>VLOOKUP(A289,'[3]PENS-CANC'!A$2:B$37,2,0)</f>
        <v>142898927</v>
      </c>
      <c r="Q289" s="50"/>
      <c r="R289" s="21">
        <v>679138146</v>
      </c>
      <c r="S289" s="21">
        <f>606634442+603464099</f>
        <v>1210098541</v>
      </c>
      <c r="T289" s="50"/>
      <c r="U289" s="51">
        <f t="shared" si="40"/>
        <v>25230379037</v>
      </c>
      <c r="V289" s="51">
        <v>14175810297</v>
      </c>
      <c r="W289" s="51"/>
      <c r="X289" s="51">
        <v>142898927</v>
      </c>
      <c r="Y289" s="51"/>
      <c r="Z289" s="51">
        <v>475542661</v>
      </c>
      <c r="AA289" s="51">
        <v>1291965290</v>
      </c>
      <c r="AB289" s="51"/>
      <c r="AC289" s="51">
        <f t="shared" si="50"/>
        <v>41316596212</v>
      </c>
      <c r="AD289" s="51">
        <v>11837007398</v>
      </c>
      <c r="AE289" s="51">
        <v>4817269551</v>
      </c>
      <c r="AF289" s="51"/>
      <c r="AG289" s="51">
        <v>142898927</v>
      </c>
      <c r="AH289" s="51"/>
      <c r="AI289" s="51"/>
      <c r="AJ289" s="51">
        <v>597974443</v>
      </c>
      <c r="AK289" s="51">
        <v>1510259011</v>
      </c>
      <c r="AL289" s="51"/>
      <c r="AM289" s="51"/>
      <c r="AN289" s="51">
        <f t="shared" si="48"/>
        <v>60222005542</v>
      </c>
      <c r="AO289" s="51">
        <f>11837007398+1500000000</f>
        <v>13337007398</v>
      </c>
      <c r="AP289" s="51">
        <v>1625270207</v>
      </c>
      <c r="AQ289" s="51"/>
      <c r="AR289" s="51">
        <v>142898927</v>
      </c>
      <c r="AS289" s="51">
        <v>3316078012</v>
      </c>
      <c r="AT289" s="51"/>
      <c r="AU289" s="51"/>
      <c r="AV289" s="51">
        <v>597974443</v>
      </c>
      <c r="AW289" s="51">
        <v>1023488881</v>
      </c>
      <c r="AX289" s="51"/>
      <c r="AY289" s="51"/>
      <c r="AZ289" s="51"/>
      <c r="BA289" s="51"/>
      <c r="BB289" s="51"/>
      <c r="BC289" s="52">
        <f t="shared" si="43"/>
        <v>80264723410</v>
      </c>
      <c r="BD289" s="51">
        <v>11863710911</v>
      </c>
      <c r="BE289" s="51">
        <v>1279430649</v>
      </c>
      <c r="BF289" s="51"/>
      <c r="BG289" s="51">
        <v>285797854</v>
      </c>
      <c r="BH289" s="51"/>
      <c r="BI289" s="51"/>
      <c r="BJ289" s="51"/>
      <c r="BK289" s="51">
        <v>1183878274</v>
      </c>
      <c r="BL289" s="51">
        <v>3048450999</v>
      </c>
      <c r="BM289" s="51"/>
      <c r="BN289" s="51"/>
      <c r="BO289" s="51"/>
      <c r="BP289" s="52">
        <v>97925992097</v>
      </c>
      <c r="BQ289" s="52">
        <v>11268311534</v>
      </c>
      <c r="BR289" s="52">
        <v>2776069480</v>
      </c>
      <c r="BS289" s="52"/>
      <c r="BT289" s="52">
        <v>142898927</v>
      </c>
      <c r="BU289" s="52">
        <v>3796576743</v>
      </c>
      <c r="BV289" s="52"/>
      <c r="BW289" s="52"/>
      <c r="BX289" s="52"/>
      <c r="BY289" s="52"/>
      <c r="BZ289" s="52">
        <v>762441277</v>
      </c>
      <c r="CA289" s="52">
        <v>1933155635</v>
      </c>
      <c r="CB289" s="52"/>
      <c r="CC289" s="52"/>
      <c r="CD289" s="52"/>
      <c r="CE289" s="52"/>
      <c r="CF289" s="52"/>
      <c r="CG289" s="52">
        <f t="shared" si="44"/>
        <v>118605445693</v>
      </c>
      <c r="CH289" s="52">
        <v>11294751991</v>
      </c>
      <c r="CI289" s="52">
        <v>1914051399</v>
      </c>
      <c r="CJ289" s="52"/>
      <c r="CK289" s="52">
        <v>142898929</v>
      </c>
      <c r="CL289" s="52"/>
      <c r="CM289" s="52"/>
      <c r="CN289" s="52">
        <v>760186857</v>
      </c>
      <c r="CO289" s="52">
        <v>1394619518</v>
      </c>
      <c r="CP289" s="52"/>
      <c r="CQ289" s="52"/>
      <c r="CR289" s="52"/>
      <c r="CS289" s="52">
        <f t="shared" si="41"/>
        <v>134111954387</v>
      </c>
      <c r="CT289" s="53">
        <v>134111954387</v>
      </c>
      <c r="CU289" s="53">
        <f t="shared" si="42"/>
        <v>0</v>
      </c>
      <c r="CV289" s="54">
        <f t="shared" si="45"/>
        <v>134111954387</v>
      </c>
      <c r="CW289" s="55">
        <f t="shared" si="46"/>
        <v>0</v>
      </c>
      <c r="CX289" s="16"/>
      <c r="CY289" s="8"/>
      <c r="CZ289" s="8"/>
      <c r="DA289" s="8"/>
      <c r="DB289" s="8"/>
      <c r="DC289" s="8"/>
      <c r="DD289" s="8"/>
    </row>
    <row r="290" spans="1:108" ht="15" customHeight="1" x14ac:dyDescent="0.2">
      <c r="A290" s="1">
        <v>8001039238</v>
      </c>
      <c r="B290" s="1">
        <v>800103923</v>
      </c>
      <c r="C290" s="9">
        <v>115252000</v>
      </c>
      <c r="D290" s="10" t="s">
        <v>18</v>
      </c>
      <c r="E290" s="47" t="s">
        <v>1025</v>
      </c>
      <c r="F290" s="21">
        <f>30756578522+648104243</f>
        <v>31404682765</v>
      </c>
      <c r="G290" s="50"/>
      <c r="H290" s="21">
        <v>1025228897</v>
      </c>
      <c r="I290" s="50"/>
      <c r="J290" s="21">
        <v>2040364942</v>
      </c>
      <c r="K290" s="21">
        <v>4194530554</v>
      </c>
      <c r="L290" s="50"/>
      <c r="M290" s="52">
        <f t="shared" si="49"/>
        <v>38664807158</v>
      </c>
      <c r="N290" s="21">
        <f>30893494943+294592838</f>
        <v>31188087781</v>
      </c>
      <c r="O290" s="50"/>
      <c r="P290" s="21">
        <f>VLOOKUP(A290,'[3]PENS-CANC'!A$2:B$37,2,0)</f>
        <v>1025228897</v>
      </c>
      <c r="Q290" s="50"/>
      <c r="R290" s="21">
        <v>2040364942</v>
      </c>
      <c r="S290" s="21">
        <f>2154165612+2040364942</f>
        <v>4194530554</v>
      </c>
      <c r="T290" s="50"/>
      <c r="U290" s="51">
        <f t="shared" si="40"/>
        <v>77113019332</v>
      </c>
      <c r="V290" s="51">
        <v>46624258190</v>
      </c>
      <c r="W290" s="51"/>
      <c r="X290" s="51">
        <v>1025228897</v>
      </c>
      <c r="Y290" s="51"/>
      <c r="Z290" s="51">
        <v>2006391135</v>
      </c>
      <c r="AA290" s="51">
        <v>4390806918</v>
      </c>
      <c r="AB290" s="51"/>
      <c r="AC290" s="51">
        <f t="shared" si="50"/>
        <v>131159704472</v>
      </c>
      <c r="AD290" s="51">
        <v>32492570926</v>
      </c>
      <c r="AE290" s="51">
        <v>2962388744</v>
      </c>
      <c r="AF290" s="51"/>
      <c r="AG290" s="51">
        <v>1025228897</v>
      </c>
      <c r="AH290" s="51"/>
      <c r="AI290" s="51"/>
      <c r="AJ290" s="51">
        <v>2059854051</v>
      </c>
      <c r="AK290" s="51">
        <v>5208527032</v>
      </c>
      <c r="AL290" s="51"/>
      <c r="AM290" s="51"/>
      <c r="AN290" s="51">
        <f t="shared" si="48"/>
        <v>174908274122</v>
      </c>
      <c r="AO290" s="51">
        <v>32492570926</v>
      </c>
      <c r="AP290" s="51"/>
      <c r="AQ290" s="51"/>
      <c r="AR290" s="51">
        <v>1025228897</v>
      </c>
      <c r="AS290" s="51">
        <v>2061997362</v>
      </c>
      <c r="AT290" s="51"/>
      <c r="AU290" s="51"/>
      <c r="AV290" s="51">
        <v>2059854051</v>
      </c>
      <c r="AW290" s="51">
        <v>3530863452</v>
      </c>
      <c r="AX290" s="51"/>
      <c r="AY290" s="51"/>
      <c r="AZ290" s="51"/>
      <c r="BA290" s="51"/>
      <c r="BB290" s="51"/>
      <c r="BC290" s="52">
        <f t="shared" si="43"/>
        <v>216078788810</v>
      </c>
      <c r="BD290" s="51">
        <v>32708490612</v>
      </c>
      <c r="BE290" s="51">
        <v>486622633</v>
      </c>
      <c r="BF290" s="51"/>
      <c r="BG290" s="51">
        <v>2050457794</v>
      </c>
      <c r="BH290" s="51"/>
      <c r="BI290" s="51"/>
      <c r="BJ290" s="51"/>
      <c r="BK290" s="51">
        <v>2106588529</v>
      </c>
      <c r="BL290" s="51">
        <v>5053748752</v>
      </c>
      <c r="BM290" s="51"/>
      <c r="BN290" s="51"/>
      <c r="BO290" s="51"/>
      <c r="BP290" s="52">
        <v>258484697130</v>
      </c>
      <c r="BQ290" s="52">
        <v>32879023173</v>
      </c>
      <c r="BR290" s="52">
        <v>0</v>
      </c>
      <c r="BS290" s="52"/>
      <c r="BT290" s="52">
        <v>1025228897</v>
      </c>
      <c r="BU290" s="52">
        <v>14519679213</v>
      </c>
      <c r="BV290" s="52"/>
      <c r="BW290" s="52"/>
      <c r="BX290" s="52"/>
      <c r="BY290" s="52"/>
      <c r="BZ290" s="52">
        <v>2090856272</v>
      </c>
      <c r="CA290" s="52">
        <v>5641847265</v>
      </c>
      <c r="CB290" s="52"/>
      <c r="CC290" s="52"/>
      <c r="CD290" s="52"/>
      <c r="CE290" s="52"/>
      <c r="CF290" s="52"/>
      <c r="CG290" s="52">
        <f t="shared" si="44"/>
        <v>314641331950</v>
      </c>
      <c r="CH290" s="52">
        <v>32791930783</v>
      </c>
      <c r="CI290" s="52">
        <v>1205836677</v>
      </c>
      <c r="CJ290" s="52"/>
      <c r="CK290" s="52">
        <v>1025228900</v>
      </c>
      <c r="CL290" s="52"/>
      <c r="CM290" s="52"/>
      <c r="CN290" s="52">
        <v>2093450470</v>
      </c>
      <c r="CO290" s="52">
        <v>3922876473</v>
      </c>
      <c r="CP290" s="52"/>
      <c r="CQ290" s="52"/>
      <c r="CR290" s="52"/>
      <c r="CS290" s="52">
        <f t="shared" si="41"/>
        <v>355680655253</v>
      </c>
      <c r="CT290" s="53">
        <v>355680655253</v>
      </c>
      <c r="CU290" s="53">
        <f t="shared" si="42"/>
        <v>0</v>
      </c>
      <c r="CV290" s="54">
        <f t="shared" si="45"/>
        <v>355680655253</v>
      </c>
      <c r="CW290" s="55">
        <f t="shared" si="46"/>
        <v>0</v>
      </c>
      <c r="CX290" s="16"/>
      <c r="CY290" s="8"/>
      <c r="CZ290" s="8"/>
      <c r="DA290" s="8"/>
      <c r="DB290" s="8"/>
      <c r="DC290" s="8"/>
      <c r="DD290" s="8"/>
    </row>
    <row r="291" spans="1:108" ht="15" customHeight="1" x14ac:dyDescent="0.2">
      <c r="A291" s="1">
        <v>8001039277</v>
      </c>
      <c r="B291" s="1">
        <v>800103927</v>
      </c>
      <c r="C291" s="9">
        <v>115454000</v>
      </c>
      <c r="D291" s="10" t="s">
        <v>19</v>
      </c>
      <c r="E291" s="47" t="s">
        <v>1026</v>
      </c>
      <c r="F291" s="21">
        <f>22219402510+383972849</f>
        <v>22603375359</v>
      </c>
      <c r="G291" s="50"/>
      <c r="H291" s="21">
        <v>1114881956</v>
      </c>
      <c r="I291" s="50"/>
      <c r="J291" s="21">
        <v>1466127053</v>
      </c>
      <c r="K291" s="21">
        <v>2946574100</v>
      </c>
      <c r="L291" s="50"/>
      <c r="M291" s="52">
        <f t="shared" si="49"/>
        <v>28130958468</v>
      </c>
      <c r="N291" s="21">
        <f>20721705786+174533113</f>
        <v>20896238899</v>
      </c>
      <c r="O291" s="50"/>
      <c r="P291" s="21">
        <f>VLOOKUP(A291,'[3]PENS-CANC'!A$2:B$37,2,0)</f>
        <v>1114881956</v>
      </c>
      <c r="Q291" s="50"/>
      <c r="R291" s="21">
        <v>1466127053</v>
      </c>
      <c r="S291" s="21">
        <f>1480447047+1466127053</f>
        <v>2946574100</v>
      </c>
      <c r="T291" s="50"/>
      <c r="U291" s="51">
        <f t="shared" si="40"/>
        <v>54554780476</v>
      </c>
      <c r="V291" s="51">
        <v>28512494438</v>
      </c>
      <c r="W291" s="51"/>
      <c r="X291" s="51">
        <v>1114881956</v>
      </c>
      <c r="Y291" s="51"/>
      <c r="Z291" s="51">
        <v>1562389758</v>
      </c>
      <c r="AA291" s="51">
        <v>3347621571</v>
      </c>
      <c r="AB291" s="51"/>
      <c r="AC291" s="51">
        <f t="shared" si="50"/>
        <v>89092168199</v>
      </c>
      <c r="AD291" s="51">
        <v>21102926969</v>
      </c>
      <c r="AE291" s="51">
        <v>2041416074</v>
      </c>
      <c r="AF291" s="51"/>
      <c r="AG291" s="51">
        <v>1114881956</v>
      </c>
      <c r="AH291" s="51"/>
      <c r="AI291" s="51"/>
      <c r="AJ291" s="51">
        <v>1467952527</v>
      </c>
      <c r="AK291" s="51">
        <v>3704465834</v>
      </c>
      <c r="AL291" s="51"/>
      <c r="AM291" s="51"/>
      <c r="AN291" s="51">
        <f t="shared" si="48"/>
        <v>118523811559</v>
      </c>
      <c r="AO291" s="51">
        <f>25351621946+5256000000</f>
        <v>30607621946</v>
      </c>
      <c r="AP291" s="51">
        <v>2058850000</v>
      </c>
      <c r="AQ291" s="51"/>
      <c r="AR291" s="51">
        <v>1114881956</v>
      </c>
      <c r="AS291" s="51">
        <v>0</v>
      </c>
      <c r="AT291" s="51"/>
      <c r="AU291" s="51"/>
      <c r="AV291" s="51">
        <v>1467952527</v>
      </c>
      <c r="AW291" s="51">
        <v>2509130398</v>
      </c>
      <c r="AX291" s="51"/>
      <c r="AY291" s="51"/>
      <c r="AZ291" s="51"/>
      <c r="BA291" s="51"/>
      <c r="BB291" s="51"/>
      <c r="BC291" s="52">
        <f t="shared" si="43"/>
        <v>156282248386</v>
      </c>
      <c r="BD291" s="51">
        <v>24576275097</v>
      </c>
      <c r="BE291" s="51">
        <v>2156096613</v>
      </c>
      <c r="BF291" s="51"/>
      <c r="BG291" s="51">
        <v>2229763912</v>
      </c>
      <c r="BH291" s="51"/>
      <c r="BI291" s="51"/>
      <c r="BJ291" s="51"/>
      <c r="BK291" s="51">
        <v>2218253593</v>
      </c>
      <c r="BL291" s="51">
        <v>5525569374</v>
      </c>
      <c r="BM291" s="51"/>
      <c r="BN291" s="51"/>
      <c r="BO291" s="51"/>
      <c r="BP291" s="52">
        <v>192988206975</v>
      </c>
      <c r="BQ291" s="52">
        <v>24235938137</v>
      </c>
      <c r="BR291" s="52">
        <v>1889632000</v>
      </c>
      <c r="BS291" s="52"/>
      <c r="BT291" s="52">
        <v>1114881956</v>
      </c>
      <c r="BU291" s="52">
        <v>9738030548</v>
      </c>
      <c r="BV291" s="52"/>
      <c r="BW291" s="52"/>
      <c r="BX291" s="52"/>
      <c r="BY291" s="52"/>
      <c r="BZ291" s="52">
        <v>1626023709</v>
      </c>
      <c r="CA291" s="52">
        <v>4274964710</v>
      </c>
      <c r="CB291" s="52"/>
      <c r="CC291" s="52"/>
      <c r="CD291" s="52"/>
      <c r="CE291" s="52"/>
      <c r="CF291" s="52"/>
      <c r="CG291" s="52">
        <f t="shared" si="44"/>
        <v>235867678035</v>
      </c>
      <c r="CH291" s="52">
        <v>23801899610</v>
      </c>
      <c r="CI291" s="52">
        <v>390924586</v>
      </c>
      <c r="CJ291" s="52"/>
      <c r="CK291" s="52">
        <v>1114881957</v>
      </c>
      <c r="CL291" s="52"/>
      <c r="CM291" s="52"/>
      <c r="CN291" s="52">
        <v>1652304432</v>
      </c>
      <c r="CO291" s="52">
        <v>3017843571</v>
      </c>
      <c r="CP291" s="52"/>
      <c r="CQ291" s="52"/>
      <c r="CR291" s="52"/>
      <c r="CS291" s="52">
        <f t="shared" si="41"/>
        <v>265845532191</v>
      </c>
      <c r="CT291" s="53">
        <v>265845532191</v>
      </c>
      <c r="CU291" s="53">
        <f t="shared" si="42"/>
        <v>0</v>
      </c>
      <c r="CV291" s="54">
        <f t="shared" si="45"/>
        <v>265845532191</v>
      </c>
      <c r="CW291" s="55">
        <f t="shared" si="46"/>
        <v>0</v>
      </c>
      <c r="CX291" s="16"/>
      <c r="CY291" s="8"/>
      <c r="CZ291" s="8"/>
      <c r="DA291" s="8"/>
      <c r="DB291" s="8"/>
      <c r="DC291" s="8"/>
      <c r="DD291" s="8"/>
    </row>
    <row r="292" spans="1:108" ht="15" customHeight="1" x14ac:dyDescent="0.2">
      <c r="A292" s="1">
        <v>8914800857</v>
      </c>
      <c r="B292" s="1">
        <v>891480085</v>
      </c>
      <c r="C292" s="9">
        <v>116666000</v>
      </c>
      <c r="D292" s="10" t="s">
        <v>31</v>
      </c>
      <c r="E292" s="47" t="s">
        <v>1057</v>
      </c>
      <c r="F292" s="21">
        <f>8270843670+233650029</f>
        <v>8504493699</v>
      </c>
      <c r="G292" s="50"/>
      <c r="H292" s="21">
        <v>544946956</v>
      </c>
      <c r="I292" s="50"/>
      <c r="J292" s="21">
        <v>541833500</v>
      </c>
      <c r="K292" s="21">
        <v>1090554298</v>
      </c>
      <c r="L292" s="50"/>
      <c r="M292" s="52">
        <f t="shared" si="49"/>
        <v>10681828453</v>
      </c>
      <c r="N292" s="21">
        <f>8217396241+106204559</f>
        <v>8323600800</v>
      </c>
      <c r="O292" s="50"/>
      <c r="P292" s="21">
        <f>VLOOKUP(A292,'[3]PENS-CANC'!A$2:B$37,2,0)</f>
        <v>544946956</v>
      </c>
      <c r="Q292" s="50"/>
      <c r="R292" s="21">
        <v>541833500</v>
      </c>
      <c r="S292" s="21">
        <f>548720798+541833500</f>
        <v>1090554298</v>
      </c>
      <c r="T292" s="50"/>
      <c r="U292" s="51">
        <f t="shared" si="40"/>
        <v>21182764007</v>
      </c>
      <c r="V292" s="51">
        <v>10326347839</v>
      </c>
      <c r="W292" s="51"/>
      <c r="X292" s="51">
        <v>544946956</v>
      </c>
      <c r="Y292" s="51"/>
      <c r="Z292" s="51">
        <v>539217768</v>
      </c>
      <c r="AA292" s="51">
        <v>1245248484</v>
      </c>
      <c r="AB292" s="51"/>
      <c r="AC292" s="51">
        <f t="shared" si="50"/>
        <v>33838525054</v>
      </c>
      <c r="AD292" s="51">
        <v>8197260768</v>
      </c>
      <c r="AE292" s="51">
        <v>1060888441</v>
      </c>
      <c r="AF292" s="51"/>
      <c r="AG292" s="51">
        <v>544946956</v>
      </c>
      <c r="AH292" s="51"/>
      <c r="AI292" s="51"/>
      <c r="AJ292" s="51">
        <v>562300938</v>
      </c>
      <c r="AK292" s="51">
        <v>1420128230</v>
      </c>
      <c r="AL292" s="51"/>
      <c r="AM292" s="51"/>
      <c r="AN292" s="51">
        <f t="shared" si="48"/>
        <v>45624050387</v>
      </c>
      <c r="AO292" s="51">
        <v>8197260768</v>
      </c>
      <c r="AP292" s="51"/>
      <c r="AQ292" s="51"/>
      <c r="AR292" s="51">
        <v>544946956</v>
      </c>
      <c r="AS292" s="51">
        <v>0</v>
      </c>
      <c r="AT292" s="51"/>
      <c r="AU292" s="51"/>
      <c r="AV292" s="51">
        <v>562300938</v>
      </c>
      <c r="AW292" s="51">
        <v>962738894</v>
      </c>
      <c r="AX292" s="51"/>
      <c r="AY292" s="51"/>
      <c r="AZ292" s="51"/>
      <c r="BA292" s="51"/>
      <c r="BB292" s="51"/>
      <c r="BC292" s="52">
        <f t="shared" si="43"/>
        <v>55891297943</v>
      </c>
      <c r="BD292" s="51">
        <v>8677517326</v>
      </c>
      <c r="BE292" s="51">
        <v>330398400</v>
      </c>
      <c r="BF292" s="51"/>
      <c r="BG292" s="51">
        <v>1089893912</v>
      </c>
      <c r="BH292" s="51"/>
      <c r="BI292" s="51"/>
      <c r="BJ292" s="51"/>
      <c r="BK292" s="51">
        <v>619540317</v>
      </c>
      <c r="BL292" s="51">
        <v>1572078396</v>
      </c>
      <c r="BM292" s="51"/>
      <c r="BN292" s="51"/>
      <c r="BO292" s="51"/>
      <c r="BP292" s="52">
        <v>68180726294</v>
      </c>
      <c r="BQ292" s="52">
        <v>8623650545</v>
      </c>
      <c r="BR292" s="52">
        <v>0</v>
      </c>
      <c r="BS292" s="52"/>
      <c r="BT292" s="52">
        <v>544946956</v>
      </c>
      <c r="BU292" s="52">
        <v>3922369960</v>
      </c>
      <c r="BV292" s="52"/>
      <c r="BW292" s="52"/>
      <c r="BX292" s="52"/>
      <c r="BY292" s="52"/>
      <c r="BZ292" s="52">
        <v>571757403</v>
      </c>
      <c r="CA292" s="52">
        <v>1519754345</v>
      </c>
      <c r="CB292" s="52"/>
      <c r="CC292" s="52"/>
      <c r="CD292" s="52"/>
      <c r="CE292" s="52"/>
      <c r="CF292" s="52"/>
      <c r="CG292" s="52">
        <f t="shared" si="44"/>
        <v>83363205503</v>
      </c>
      <c r="CH292" s="52">
        <v>8445021197</v>
      </c>
      <c r="CI292" s="52">
        <v>129478702</v>
      </c>
      <c r="CJ292" s="52"/>
      <c r="CK292" s="52">
        <v>544946957</v>
      </c>
      <c r="CL292" s="52"/>
      <c r="CM292" s="52"/>
      <c r="CN292" s="52">
        <v>572882782</v>
      </c>
      <c r="CO292" s="52">
        <v>1042208848</v>
      </c>
      <c r="CP292" s="52"/>
      <c r="CQ292" s="52"/>
      <c r="CR292" s="52"/>
      <c r="CS292" s="52">
        <f t="shared" si="41"/>
        <v>94097743989</v>
      </c>
      <c r="CT292" s="53">
        <v>94097743989</v>
      </c>
      <c r="CU292" s="53">
        <f t="shared" si="42"/>
        <v>0</v>
      </c>
      <c r="CV292" s="54">
        <f t="shared" si="45"/>
        <v>94097743989</v>
      </c>
      <c r="CW292" s="55">
        <f t="shared" si="46"/>
        <v>0</v>
      </c>
      <c r="CX292" s="16"/>
      <c r="CY292" s="8"/>
      <c r="CZ292" s="8"/>
      <c r="DA292" s="8"/>
      <c r="DB292" s="8"/>
      <c r="DC292" s="8"/>
      <c r="DD292" s="8"/>
    </row>
    <row r="293" spans="1:108" s="23" customFormat="1" ht="15" customHeight="1" x14ac:dyDescent="0.2">
      <c r="A293" s="1">
        <v>8924000382</v>
      </c>
      <c r="B293" s="1">
        <v>892400038</v>
      </c>
      <c r="C293" s="9">
        <v>118888000</v>
      </c>
      <c r="D293" s="10" t="s">
        <v>41</v>
      </c>
      <c r="E293" s="47" t="s">
        <v>1073</v>
      </c>
      <c r="F293" s="21">
        <v>1603078138</v>
      </c>
      <c r="G293" s="58"/>
      <c r="H293" s="21">
        <v>128164044</v>
      </c>
      <c r="I293" s="58"/>
      <c r="J293" s="21">
        <v>90549836</v>
      </c>
      <c r="K293" s="21">
        <v>180010776</v>
      </c>
      <c r="L293" s="58"/>
      <c r="M293" s="59">
        <f t="shared" si="49"/>
        <v>2001802794</v>
      </c>
      <c r="N293" s="21">
        <f>1541856776+7598020</f>
        <v>1549454796</v>
      </c>
      <c r="O293" s="58"/>
      <c r="P293" s="21">
        <f>VLOOKUP(A293,'[3]PENS-CANC'!A$2:B$37,2,0)</f>
        <v>128164044</v>
      </c>
      <c r="Q293" s="50"/>
      <c r="R293" s="21">
        <v>90549836</v>
      </c>
      <c r="S293" s="21">
        <f>89460940+90549836</f>
        <v>180010776</v>
      </c>
      <c r="T293" s="58"/>
      <c r="U293" s="51">
        <f t="shared" si="40"/>
        <v>3949982246</v>
      </c>
      <c r="V293" s="51">
        <v>2081442942</v>
      </c>
      <c r="W293" s="51"/>
      <c r="X293" s="51">
        <v>128164044</v>
      </c>
      <c r="Y293" s="51"/>
      <c r="Z293" s="51">
        <v>186678595</v>
      </c>
      <c r="AA293" s="51">
        <v>203249288</v>
      </c>
      <c r="AB293" s="51"/>
      <c r="AC293" s="51">
        <f t="shared" si="50"/>
        <v>6549517115</v>
      </c>
      <c r="AD293" s="51">
        <v>1478979931</v>
      </c>
      <c r="AE293" s="51">
        <v>138556857</v>
      </c>
      <c r="AF293" s="51"/>
      <c r="AG293" s="51">
        <v>128164044</v>
      </c>
      <c r="AH293" s="51"/>
      <c r="AI293" s="51"/>
      <c r="AJ293" s="51">
        <v>92052364</v>
      </c>
      <c r="AK293" s="51">
        <v>232762702</v>
      </c>
      <c r="AL293" s="51"/>
      <c r="AM293" s="51">
        <v>279437134</v>
      </c>
      <c r="AN293" s="51">
        <f t="shared" si="48"/>
        <v>8899470147</v>
      </c>
      <c r="AO293" s="51">
        <v>1478979931</v>
      </c>
      <c r="AP293" s="51"/>
      <c r="AQ293" s="51"/>
      <c r="AR293" s="51">
        <v>128164044</v>
      </c>
      <c r="AS293" s="51">
        <v>1683168466</v>
      </c>
      <c r="AT293" s="51"/>
      <c r="AU293" s="51"/>
      <c r="AV293" s="51">
        <v>92052364</v>
      </c>
      <c r="AW293" s="51">
        <v>157807690</v>
      </c>
      <c r="AX293" s="51"/>
      <c r="AY293" s="51">
        <v>310588310</v>
      </c>
      <c r="AZ293" s="51"/>
      <c r="BA293" s="51">
        <f>VLOOKUP(B293,[1]Hoja3!J$3:K$674,2,0)</f>
        <v>245152074</v>
      </c>
      <c r="BB293" s="51"/>
      <c r="BC293" s="52">
        <f t="shared" si="43"/>
        <v>12995383026</v>
      </c>
      <c r="BD293" s="51">
        <v>1500878276</v>
      </c>
      <c r="BE293" s="51">
        <v>76192530</v>
      </c>
      <c r="BF293" s="51"/>
      <c r="BG293" s="51">
        <v>256328088</v>
      </c>
      <c r="BH293" s="51"/>
      <c r="BI293" s="51"/>
      <c r="BJ293" s="51"/>
      <c r="BK293" s="51">
        <v>0</v>
      </c>
      <c r="BL293" s="51">
        <v>196243808</v>
      </c>
      <c r="BM293" s="51"/>
      <c r="BN293" s="51">
        <v>62117662</v>
      </c>
      <c r="BO293" s="51"/>
      <c r="BP293" s="52">
        <v>15087143390</v>
      </c>
      <c r="BQ293" s="52">
        <v>1518769400</v>
      </c>
      <c r="BR293" s="52">
        <v>0</v>
      </c>
      <c r="BS293" s="52"/>
      <c r="BT293" s="52">
        <v>128164044</v>
      </c>
      <c r="BU293" s="52">
        <v>685495714</v>
      </c>
      <c r="BV293" s="52"/>
      <c r="BW293" s="52"/>
      <c r="BX293" s="52"/>
      <c r="BY293" s="52"/>
      <c r="BZ293" s="52">
        <v>92797449</v>
      </c>
      <c r="CA293" s="52">
        <v>241673304</v>
      </c>
      <c r="CB293" s="52"/>
      <c r="CC293" s="52">
        <v>62117662</v>
      </c>
      <c r="CD293" s="52"/>
      <c r="CE293" s="52"/>
      <c r="CF293" s="52"/>
      <c r="CG293" s="52">
        <f t="shared" si="44"/>
        <v>17816160963</v>
      </c>
      <c r="CH293" s="52">
        <v>1527229943</v>
      </c>
      <c r="CI293" s="52">
        <v>0</v>
      </c>
      <c r="CJ293" s="52"/>
      <c r="CK293" s="52">
        <v>0</v>
      </c>
      <c r="CL293" s="52"/>
      <c r="CM293" s="52"/>
      <c r="CN293" s="52">
        <v>91341279</v>
      </c>
      <c r="CO293" s="52">
        <v>165446785</v>
      </c>
      <c r="CP293" s="52"/>
      <c r="CQ293" s="52">
        <v>190281705</v>
      </c>
      <c r="CR293" s="52"/>
      <c r="CS293" s="52">
        <f t="shared" si="41"/>
        <v>19790460675</v>
      </c>
      <c r="CT293" s="53">
        <v>19265871467</v>
      </c>
      <c r="CU293" s="53">
        <f t="shared" si="42"/>
        <v>524589208</v>
      </c>
      <c r="CV293" s="54">
        <f t="shared" si="45"/>
        <v>19790460675</v>
      </c>
      <c r="CW293" s="55">
        <f t="shared" si="46"/>
        <v>0</v>
      </c>
      <c r="CX293" s="16"/>
      <c r="CY293" s="16"/>
      <c r="CZ293" s="16"/>
    </row>
    <row r="294" spans="1:108" ht="15" customHeight="1" x14ac:dyDescent="0.2">
      <c r="A294" s="1">
        <v>8902012356</v>
      </c>
      <c r="B294" s="1">
        <v>890201235</v>
      </c>
      <c r="C294" s="9">
        <v>116868000</v>
      </c>
      <c r="D294" s="10" t="s">
        <v>26</v>
      </c>
      <c r="E294" s="47" t="s">
        <v>1036</v>
      </c>
      <c r="F294" s="21">
        <v>29582757348</v>
      </c>
      <c r="G294" s="50"/>
      <c r="H294" s="21">
        <v>1555200516</v>
      </c>
      <c r="I294" s="50"/>
      <c r="J294" s="21">
        <v>1878454361</v>
      </c>
      <c r="K294" s="21">
        <v>3847392052</v>
      </c>
      <c r="L294" s="50"/>
      <c r="M294" s="52">
        <f t="shared" si="49"/>
        <v>36863804277</v>
      </c>
      <c r="N294" s="21">
        <f>29521877814+247390366</f>
        <v>29769268180</v>
      </c>
      <c r="O294" s="50"/>
      <c r="P294" s="21">
        <f>VLOOKUP(A294,'[3]PENS-CANC'!A$2:B$37,2,0)</f>
        <v>1555200516</v>
      </c>
      <c r="Q294" s="50"/>
      <c r="R294" s="21">
        <v>1878454361</v>
      </c>
      <c r="S294" s="21">
        <f>1968937691+1878454361</f>
        <v>3847392052</v>
      </c>
      <c r="T294" s="50"/>
      <c r="U294" s="51">
        <f t="shared" si="40"/>
        <v>73914119386</v>
      </c>
      <c r="V294" s="51">
        <v>35338913150</v>
      </c>
      <c r="W294" s="51"/>
      <c r="X294" s="51">
        <v>1555200516</v>
      </c>
      <c r="Y294" s="51"/>
      <c r="Z294" s="51">
        <v>1838730664</v>
      </c>
      <c r="AA294" s="51">
        <v>4116266879</v>
      </c>
      <c r="AB294" s="51"/>
      <c r="AC294" s="51">
        <f t="shared" si="50"/>
        <v>116763230595</v>
      </c>
      <c r="AD294" s="51">
        <v>28852022379</v>
      </c>
      <c r="AE294" s="51">
        <v>2487897359</v>
      </c>
      <c r="AF294" s="51"/>
      <c r="AG294" s="51">
        <v>1555200516</v>
      </c>
      <c r="AH294" s="51"/>
      <c r="AI294" s="51"/>
      <c r="AJ294" s="51">
        <v>1903281205</v>
      </c>
      <c r="AK294" s="51">
        <v>4803411743</v>
      </c>
      <c r="AL294" s="51"/>
      <c r="AM294" s="51"/>
      <c r="AN294" s="51">
        <f t="shared" si="48"/>
        <v>156365043797</v>
      </c>
      <c r="AO294" s="51">
        <v>28852022379</v>
      </c>
      <c r="AP294" s="51"/>
      <c r="AQ294" s="51"/>
      <c r="AR294" s="51">
        <v>1555200516</v>
      </c>
      <c r="AS294" s="51">
        <v>4509058973</v>
      </c>
      <c r="AT294" s="51"/>
      <c r="AU294" s="51"/>
      <c r="AV294" s="51">
        <v>1903281205</v>
      </c>
      <c r="AW294" s="51">
        <v>3255194255</v>
      </c>
      <c r="AX294" s="51"/>
      <c r="AY294" s="51"/>
      <c r="AZ294" s="51"/>
      <c r="BA294" s="51"/>
      <c r="BB294" s="51"/>
      <c r="BC294" s="52">
        <f t="shared" si="43"/>
        <v>196439801125</v>
      </c>
      <c r="BD294" s="51">
        <v>29558464307</v>
      </c>
      <c r="BE294" s="51">
        <v>184003630</v>
      </c>
      <c r="BF294" s="51"/>
      <c r="BG294" s="51">
        <v>3110401032</v>
      </c>
      <c r="BH294" s="51"/>
      <c r="BI294" s="51"/>
      <c r="BJ294" s="51"/>
      <c r="BK294" s="51">
        <v>2071337276</v>
      </c>
      <c r="BL294" s="51">
        <v>5133676658</v>
      </c>
      <c r="BM294" s="51"/>
      <c r="BN294" s="51"/>
      <c r="BO294" s="51"/>
      <c r="BP294" s="52">
        <v>236497684028</v>
      </c>
      <c r="BQ294" s="52">
        <v>29615856168</v>
      </c>
      <c r="BR294" s="52">
        <v>2442566415</v>
      </c>
      <c r="BS294" s="52"/>
      <c r="BT294" s="52">
        <v>1555200516</v>
      </c>
      <c r="BU294" s="52">
        <v>12989162263</v>
      </c>
      <c r="BV294" s="52"/>
      <c r="BW294" s="52"/>
      <c r="BX294" s="52"/>
      <c r="BY294" s="52"/>
      <c r="BZ294" s="52">
        <v>1926003403</v>
      </c>
      <c r="CA294" s="52">
        <v>5184703943</v>
      </c>
      <c r="CB294" s="52"/>
      <c r="CC294" s="52"/>
      <c r="CD294" s="52"/>
      <c r="CE294" s="52"/>
      <c r="CF294" s="52"/>
      <c r="CG294" s="52">
        <f t="shared" si="44"/>
        <v>290211176736</v>
      </c>
      <c r="CH294" s="52">
        <v>29588988369</v>
      </c>
      <c r="CI294" s="52">
        <v>0</v>
      </c>
      <c r="CJ294" s="52"/>
      <c r="CK294" s="52">
        <v>1555200512</v>
      </c>
      <c r="CL294" s="52"/>
      <c r="CM294" s="52"/>
      <c r="CN294" s="52">
        <v>1975430562</v>
      </c>
      <c r="CO294" s="52">
        <v>3649857270</v>
      </c>
      <c r="CP294" s="52"/>
      <c r="CQ294" s="52"/>
      <c r="CR294" s="52"/>
      <c r="CS294" s="52">
        <f t="shared" si="41"/>
        <v>326980653449</v>
      </c>
      <c r="CT294" s="53">
        <v>326980653449</v>
      </c>
      <c r="CU294" s="53">
        <f t="shared" si="42"/>
        <v>0</v>
      </c>
      <c r="CV294" s="54">
        <f t="shared" si="45"/>
        <v>326980653449</v>
      </c>
      <c r="CW294" s="55">
        <f t="shared" si="46"/>
        <v>0</v>
      </c>
      <c r="CX294" s="16"/>
      <c r="CY294" s="8"/>
      <c r="CZ294" s="8"/>
      <c r="DA294" s="8"/>
      <c r="DB294" s="8"/>
      <c r="DC294" s="8"/>
      <c r="DD294" s="8"/>
    </row>
    <row r="295" spans="1:108" ht="15" customHeight="1" x14ac:dyDescent="0.2">
      <c r="A295" s="1">
        <v>8922800211</v>
      </c>
      <c r="B295" s="1">
        <v>892280021</v>
      </c>
      <c r="C295" s="9">
        <v>117070000</v>
      </c>
      <c r="D295" s="10" t="s">
        <v>39</v>
      </c>
      <c r="E295" s="47" t="s">
        <v>1071</v>
      </c>
      <c r="F295" s="21">
        <v>23663229040</v>
      </c>
      <c r="G295" s="50"/>
      <c r="H295" s="21">
        <v>0</v>
      </c>
      <c r="I295" s="50"/>
      <c r="J295" s="21">
        <v>1699195260</v>
      </c>
      <c r="K295" s="21">
        <v>3462893803</v>
      </c>
      <c r="L295" s="50"/>
      <c r="M295" s="52">
        <f t="shared" si="49"/>
        <v>28825318103</v>
      </c>
      <c r="N295" s="21">
        <f>23318712352+124637160</f>
        <v>23443349512</v>
      </c>
      <c r="O295" s="50"/>
      <c r="P295" s="21">
        <f>VLOOKUP(A295,'[3]PENS-CANC'!A$2:B$37,2,0)</f>
        <v>0</v>
      </c>
      <c r="Q295" s="50"/>
      <c r="R295" s="21">
        <v>1700275806</v>
      </c>
      <c r="S295" s="21">
        <f>1763698543+1700275806</f>
        <v>3463974349</v>
      </c>
      <c r="T295" s="50"/>
      <c r="U295" s="51">
        <f t="shared" si="40"/>
        <v>57432917770</v>
      </c>
      <c r="V295" s="51">
        <v>28892409241</v>
      </c>
      <c r="W295" s="51"/>
      <c r="X295" s="51">
        <v>0</v>
      </c>
      <c r="Y295" s="51"/>
      <c r="Z295" s="51">
        <v>1476368389</v>
      </c>
      <c r="AA295" s="51">
        <v>3270024882</v>
      </c>
      <c r="AB295" s="51"/>
      <c r="AC295" s="51">
        <f t="shared" si="50"/>
        <v>91071720282</v>
      </c>
      <c r="AD295" s="51">
        <v>24071857622</v>
      </c>
      <c r="AE295" s="51">
        <v>1691866311</v>
      </c>
      <c r="AF295" s="51"/>
      <c r="AG295" s="51">
        <v>0</v>
      </c>
      <c r="AH295" s="51"/>
      <c r="AI295" s="51"/>
      <c r="AJ295" s="51">
        <v>1662158266</v>
      </c>
      <c r="AK295" s="51">
        <v>4197068183</v>
      </c>
      <c r="AL295" s="51"/>
      <c r="AM295" s="51"/>
      <c r="AN295" s="51">
        <f t="shared" si="48"/>
        <v>122694670664</v>
      </c>
      <c r="AO295" s="51">
        <v>24071857622</v>
      </c>
      <c r="AP295" s="51"/>
      <c r="AQ295" s="51"/>
      <c r="AR295" s="51"/>
      <c r="AS295" s="51">
        <v>1246034921</v>
      </c>
      <c r="AT295" s="51"/>
      <c r="AU295" s="51"/>
      <c r="AV295" s="51">
        <v>1662158266</v>
      </c>
      <c r="AW295" s="51">
        <v>2843743297</v>
      </c>
      <c r="AX295" s="51"/>
      <c r="AY295" s="51"/>
      <c r="AZ295" s="51"/>
      <c r="BA295" s="51"/>
      <c r="BB295" s="51"/>
      <c r="BC295" s="52">
        <f t="shared" si="43"/>
        <v>152518464770</v>
      </c>
      <c r="BD295" s="51">
        <v>24634488353</v>
      </c>
      <c r="BE295" s="51">
        <v>726818544</v>
      </c>
      <c r="BF295" s="51"/>
      <c r="BG295" s="51"/>
      <c r="BH295" s="51"/>
      <c r="BI295" s="51"/>
      <c r="BJ295" s="51"/>
      <c r="BK295" s="51">
        <v>1646944600</v>
      </c>
      <c r="BL295" s="51">
        <v>4205768830</v>
      </c>
      <c r="BM295" s="51"/>
      <c r="BN295" s="51"/>
      <c r="BO295" s="51"/>
      <c r="BP295" s="52">
        <v>183732485097</v>
      </c>
      <c r="BQ295" s="52">
        <v>24354510804</v>
      </c>
      <c r="BR295" s="52">
        <v>0</v>
      </c>
      <c r="BS295" s="52"/>
      <c r="BT295" s="52">
        <v>0</v>
      </c>
      <c r="BU295" s="52">
        <v>10708278587</v>
      </c>
      <c r="BV295" s="52"/>
      <c r="BW295" s="52"/>
      <c r="BX295" s="52"/>
      <c r="BY295" s="52"/>
      <c r="BZ295" s="52">
        <v>1658215589</v>
      </c>
      <c r="CA295" s="52">
        <v>4431284251</v>
      </c>
      <c r="CB295" s="52"/>
      <c r="CC295" s="52"/>
      <c r="CD295" s="52"/>
      <c r="CE295" s="52"/>
      <c r="CF295" s="52"/>
      <c r="CG295" s="52">
        <f t="shared" si="44"/>
        <v>224884774328</v>
      </c>
      <c r="CH295" s="52">
        <v>25504998443</v>
      </c>
      <c r="CI295" s="52">
        <v>97887449</v>
      </c>
      <c r="CJ295" s="52"/>
      <c r="CK295" s="52">
        <v>0</v>
      </c>
      <c r="CL295" s="52"/>
      <c r="CM295" s="52"/>
      <c r="CN295" s="52">
        <v>1730627148</v>
      </c>
      <c r="CO295" s="52">
        <v>3203380647</v>
      </c>
      <c r="CP295" s="52"/>
      <c r="CQ295" s="52"/>
      <c r="CR295" s="52"/>
      <c r="CS295" s="52">
        <f t="shared" si="41"/>
        <v>255421668015</v>
      </c>
      <c r="CT295" s="53">
        <v>255421668015</v>
      </c>
      <c r="CU295" s="53">
        <f t="shared" si="42"/>
        <v>0</v>
      </c>
      <c r="CV295" s="54">
        <f t="shared" si="45"/>
        <v>255421668015</v>
      </c>
      <c r="CW295" s="55">
        <f t="shared" si="46"/>
        <v>0</v>
      </c>
      <c r="CX295" s="16"/>
      <c r="CY295" s="8"/>
      <c r="CZ295" s="8"/>
      <c r="DA295" s="8"/>
      <c r="DB295" s="8"/>
      <c r="DC295" s="8"/>
      <c r="DD295" s="8"/>
    </row>
    <row r="296" spans="1:108" ht="15" customHeight="1" x14ac:dyDescent="0.2">
      <c r="A296" s="1">
        <v>8450000210</v>
      </c>
      <c r="B296" s="1">
        <v>845000021</v>
      </c>
      <c r="C296" s="9">
        <v>119797000</v>
      </c>
      <c r="D296" s="10" t="s">
        <v>22</v>
      </c>
      <c r="E296" s="47" t="s">
        <v>1031</v>
      </c>
      <c r="F296" s="21">
        <v>2590230017</v>
      </c>
      <c r="G296" s="50"/>
      <c r="H296" s="21">
        <v>9017382</v>
      </c>
      <c r="I296" s="50"/>
      <c r="J296" s="21">
        <v>72118750</v>
      </c>
      <c r="K296" s="21">
        <v>150052818</v>
      </c>
      <c r="L296" s="50"/>
      <c r="M296" s="52">
        <f t="shared" si="49"/>
        <v>2821418967</v>
      </c>
      <c r="N296" s="21">
        <f>1388507520+574622416</f>
        <v>1963129936</v>
      </c>
      <c r="O296" s="50"/>
      <c r="P296" s="21">
        <f>VLOOKUP(A296,'[3]PENS-CANC'!A$2:B$37,2,0)</f>
        <v>9017382</v>
      </c>
      <c r="Q296" s="50"/>
      <c r="R296" s="21">
        <v>72118750</v>
      </c>
      <c r="S296" s="21">
        <f>77934068+72118750</f>
        <v>150052818</v>
      </c>
      <c r="T296" s="50"/>
      <c r="U296" s="51">
        <f t="shared" si="40"/>
        <v>5015737853</v>
      </c>
      <c r="V296" s="51">
        <v>4382025637</v>
      </c>
      <c r="W296" s="51"/>
      <c r="X296" s="51">
        <v>9017382</v>
      </c>
      <c r="Y296" s="51"/>
      <c r="Z296" s="51">
        <v>68438824</v>
      </c>
      <c r="AA296" s="51">
        <v>153437537</v>
      </c>
      <c r="AB296" s="51"/>
      <c r="AC296" s="51">
        <f t="shared" si="50"/>
        <v>9628657233</v>
      </c>
      <c r="AD296" s="51">
        <v>1656941579</v>
      </c>
      <c r="AE296" s="51">
        <v>3407027936</v>
      </c>
      <c r="AF296" s="51"/>
      <c r="AG296" s="51">
        <v>9017382</v>
      </c>
      <c r="AH296" s="51"/>
      <c r="AI296" s="51"/>
      <c r="AJ296" s="51">
        <v>73545589</v>
      </c>
      <c r="AK296" s="51">
        <v>187662907</v>
      </c>
      <c r="AL296" s="51"/>
      <c r="AM296" s="51"/>
      <c r="AN296" s="51">
        <f t="shared" si="48"/>
        <v>14962852626</v>
      </c>
      <c r="AO296" s="51">
        <v>1656941579</v>
      </c>
      <c r="AP296" s="51"/>
      <c r="AQ296" s="51"/>
      <c r="AR296" s="51">
        <v>9017382</v>
      </c>
      <c r="AS296" s="51">
        <v>514858411</v>
      </c>
      <c r="AT296" s="51"/>
      <c r="AU296" s="51"/>
      <c r="AV296" s="51">
        <v>73545589</v>
      </c>
      <c r="AW296" s="51">
        <v>127761085</v>
      </c>
      <c r="AX296" s="51"/>
      <c r="AY296" s="51"/>
      <c r="AZ296" s="51"/>
      <c r="BA296" s="51"/>
      <c r="BB296" s="51"/>
      <c r="BC296" s="52">
        <f t="shared" si="43"/>
        <v>17344976672</v>
      </c>
      <c r="BD296" s="51">
        <v>1519318278</v>
      </c>
      <c r="BE296" s="51">
        <v>197353584</v>
      </c>
      <c r="BF296" s="51"/>
      <c r="BG296" s="51">
        <v>18034764</v>
      </c>
      <c r="BH296" s="51"/>
      <c r="BI296" s="51"/>
      <c r="BJ296" s="51"/>
      <c r="BK296" s="51">
        <v>71729513</v>
      </c>
      <c r="BL296" s="51">
        <v>152449741</v>
      </c>
      <c r="BM296" s="51"/>
      <c r="BN296" s="51">
        <v>0</v>
      </c>
      <c r="BO296" s="51"/>
      <c r="BP296" s="52">
        <v>19303862552</v>
      </c>
      <c r="BQ296" s="52">
        <v>1493060194</v>
      </c>
      <c r="BR296" s="52">
        <v>0</v>
      </c>
      <c r="BS296" s="52"/>
      <c r="BT296" s="52">
        <v>9017382</v>
      </c>
      <c r="BU296" s="52">
        <v>611664343</v>
      </c>
      <c r="BV296" s="52"/>
      <c r="BW296" s="52"/>
      <c r="BX296" s="52"/>
      <c r="BY296" s="52"/>
      <c r="BZ296" s="52">
        <v>73849576</v>
      </c>
      <c r="CA296" s="52">
        <v>198077033</v>
      </c>
      <c r="CB296" s="52"/>
      <c r="CC296" s="52">
        <v>0</v>
      </c>
      <c r="CD296" s="52"/>
      <c r="CE296" s="52"/>
      <c r="CF296" s="52"/>
      <c r="CG296" s="52">
        <f t="shared" si="44"/>
        <v>21689531080</v>
      </c>
      <c r="CH296" s="52">
        <v>1493001495</v>
      </c>
      <c r="CI296" s="52">
        <v>0</v>
      </c>
      <c r="CJ296" s="52"/>
      <c r="CK296" s="52">
        <v>9017382</v>
      </c>
      <c r="CL296" s="52"/>
      <c r="CM296" s="52"/>
      <c r="CN296" s="52">
        <v>74537798</v>
      </c>
      <c r="CO296" s="52">
        <v>138013984</v>
      </c>
      <c r="CP296" s="52"/>
      <c r="CQ296" s="52">
        <v>0</v>
      </c>
      <c r="CR296" s="52"/>
      <c r="CS296" s="52">
        <f t="shared" si="41"/>
        <v>23404101739</v>
      </c>
      <c r="CT296" s="53">
        <v>23404101739</v>
      </c>
      <c r="CU296" s="53">
        <f t="shared" si="42"/>
        <v>0</v>
      </c>
      <c r="CV296" s="54">
        <f t="shared" si="45"/>
        <v>23404101739</v>
      </c>
      <c r="CW296" s="55">
        <f t="shared" si="46"/>
        <v>0</v>
      </c>
      <c r="CX296" s="16"/>
      <c r="CY296" s="8"/>
      <c r="CZ296" s="8"/>
      <c r="DA296" s="8"/>
      <c r="DB296" s="8"/>
      <c r="DC296" s="8"/>
      <c r="DD296" s="8"/>
    </row>
    <row r="297" spans="1:108" ht="15" customHeight="1" x14ac:dyDescent="0.2">
      <c r="A297" s="1">
        <v>8000940678</v>
      </c>
      <c r="B297" s="1">
        <v>800094067</v>
      </c>
      <c r="C297" s="9">
        <v>119999000</v>
      </c>
      <c r="D297" s="10" t="s">
        <v>12</v>
      </c>
      <c r="E297" s="47" t="s">
        <v>1012</v>
      </c>
      <c r="F297" s="21">
        <v>2455252586</v>
      </c>
      <c r="G297" s="50"/>
      <c r="H297" s="21">
        <v>22666318</v>
      </c>
      <c r="I297" s="50"/>
      <c r="J297" s="21">
        <v>117283074</v>
      </c>
      <c r="K297" s="21">
        <v>243865076</v>
      </c>
      <c r="L297" s="50"/>
      <c r="M297" s="52">
        <f t="shared" si="49"/>
        <v>2839067054</v>
      </c>
      <c r="N297" s="21">
        <f>2077251369+221896409</f>
        <v>2299147778</v>
      </c>
      <c r="O297" s="50"/>
      <c r="P297" s="21">
        <f>VLOOKUP(A297,'[3]PENS-CANC'!A$2:B$37,2,0)</f>
        <v>22666318</v>
      </c>
      <c r="Q297" s="50"/>
      <c r="R297" s="21">
        <v>117283074</v>
      </c>
      <c r="S297" s="21">
        <f>126582002+117283074</f>
        <v>243865076</v>
      </c>
      <c r="T297" s="50"/>
      <c r="U297" s="51">
        <f t="shared" si="40"/>
        <v>5522029300</v>
      </c>
      <c r="V297" s="51">
        <v>4112466693</v>
      </c>
      <c r="W297" s="51"/>
      <c r="X297" s="51">
        <v>22666318</v>
      </c>
      <c r="Y297" s="51"/>
      <c r="Z297" s="51">
        <v>102680129</v>
      </c>
      <c r="AA297" s="51">
        <v>232382042</v>
      </c>
      <c r="AB297" s="51"/>
      <c r="AC297" s="51">
        <f t="shared" si="50"/>
        <v>9992224482</v>
      </c>
      <c r="AD297" s="51">
        <v>2324094665</v>
      </c>
      <c r="AE297" s="51">
        <v>2869869560</v>
      </c>
      <c r="AF297" s="51"/>
      <c r="AG297" s="51">
        <v>22666318</v>
      </c>
      <c r="AH297" s="51"/>
      <c r="AI297" s="51"/>
      <c r="AJ297" s="51">
        <v>115265460</v>
      </c>
      <c r="AK297" s="51">
        <v>295169843</v>
      </c>
      <c r="AL297" s="51"/>
      <c r="AM297" s="51"/>
      <c r="AN297" s="51">
        <f t="shared" si="48"/>
        <v>15619290328</v>
      </c>
      <c r="AO297" s="51">
        <v>2324094665</v>
      </c>
      <c r="AP297" s="51"/>
      <c r="AQ297" s="51"/>
      <c r="AR297" s="51">
        <v>22666318</v>
      </c>
      <c r="AS297" s="51">
        <v>1236598635</v>
      </c>
      <c r="AT297" s="51"/>
      <c r="AU297" s="51"/>
      <c r="AV297" s="51">
        <v>115265460</v>
      </c>
      <c r="AW297" s="51">
        <v>201267861</v>
      </c>
      <c r="AX297" s="51"/>
      <c r="AY297" s="51"/>
      <c r="AZ297" s="51"/>
      <c r="BA297" s="51"/>
      <c r="BB297" s="51"/>
      <c r="BC297" s="52">
        <f t="shared" si="43"/>
        <v>19519183267</v>
      </c>
      <c r="BD297" s="51">
        <v>2062162960</v>
      </c>
      <c r="BE297" s="51">
        <v>306821928</v>
      </c>
      <c r="BF297" s="51"/>
      <c r="BG297" s="51">
        <v>45332636</v>
      </c>
      <c r="BH297" s="51"/>
      <c r="BI297" s="51"/>
      <c r="BJ297" s="51"/>
      <c r="BK297" s="51">
        <v>139958732</v>
      </c>
      <c r="BL297" s="51">
        <v>345346329</v>
      </c>
      <c r="BM297" s="51"/>
      <c r="BN297" s="51"/>
      <c r="BO297" s="51"/>
      <c r="BP297" s="52">
        <v>22418805852</v>
      </c>
      <c r="BQ297" s="52">
        <v>2054225002</v>
      </c>
      <c r="BR297" s="52">
        <v>0</v>
      </c>
      <c r="BS297" s="52"/>
      <c r="BT297" s="52">
        <v>22666318</v>
      </c>
      <c r="BU297" s="52">
        <v>845649150</v>
      </c>
      <c r="BV297" s="52"/>
      <c r="BW297" s="52"/>
      <c r="BX297" s="52"/>
      <c r="BY297" s="52"/>
      <c r="BZ297" s="52">
        <v>119060953</v>
      </c>
      <c r="CA297" s="52">
        <v>325912038</v>
      </c>
      <c r="CB297" s="52"/>
      <c r="CC297" s="52"/>
      <c r="CD297" s="52"/>
      <c r="CE297" s="52"/>
      <c r="CF297" s="52"/>
      <c r="CG297" s="52">
        <f t="shared" si="44"/>
        <v>25786319313</v>
      </c>
      <c r="CH297" s="52">
        <v>2051633613</v>
      </c>
      <c r="CI297" s="52">
        <v>920215478</v>
      </c>
      <c r="CJ297" s="52"/>
      <c r="CK297" s="52">
        <v>22666314</v>
      </c>
      <c r="CL297" s="52"/>
      <c r="CM297" s="52"/>
      <c r="CN297" s="52">
        <v>120963242</v>
      </c>
      <c r="CO297" s="52">
        <v>226569709</v>
      </c>
      <c r="CP297" s="52"/>
      <c r="CQ297" s="52"/>
      <c r="CR297" s="52"/>
      <c r="CS297" s="52">
        <f t="shared" si="41"/>
        <v>29128367669</v>
      </c>
      <c r="CT297" s="53">
        <v>29128367669</v>
      </c>
      <c r="CU297" s="53">
        <f t="shared" si="42"/>
        <v>0</v>
      </c>
      <c r="CV297" s="54">
        <f t="shared" si="45"/>
        <v>29128367669</v>
      </c>
      <c r="CW297" s="55">
        <f t="shared" si="46"/>
        <v>0</v>
      </c>
      <c r="CX297" s="16"/>
      <c r="CY297" s="8"/>
      <c r="CZ297" s="8"/>
      <c r="DA297" s="8"/>
      <c r="DB297" s="8"/>
      <c r="DC297" s="8"/>
      <c r="DD297" s="8"/>
    </row>
    <row r="298" spans="1:108" ht="15" customHeight="1" x14ac:dyDescent="0.2">
      <c r="A298" s="1">
        <v>8999993369</v>
      </c>
      <c r="B298" s="1">
        <v>899999336</v>
      </c>
      <c r="C298" s="9">
        <v>119191000</v>
      </c>
      <c r="D298" s="10" t="s">
        <v>2193</v>
      </c>
      <c r="E298" s="47" t="s">
        <v>1075</v>
      </c>
      <c r="F298" s="21">
        <v>2989940179</v>
      </c>
      <c r="G298" s="50"/>
      <c r="H298" s="21">
        <v>0</v>
      </c>
      <c r="I298" s="50"/>
      <c r="J298" s="21">
        <v>154800974</v>
      </c>
      <c r="K298" s="21">
        <v>317610055</v>
      </c>
      <c r="L298" s="50"/>
      <c r="M298" s="52">
        <f t="shared" si="49"/>
        <v>3462351208</v>
      </c>
      <c r="N298" s="21">
        <f>2630020993+201955476</f>
        <v>2831976469</v>
      </c>
      <c r="O298" s="50"/>
      <c r="P298" s="21">
        <f>VLOOKUP(A298,'[3]PENS-CANC'!A$2:B$37,2,0)</f>
        <v>0</v>
      </c>
      <c r="Q298" s="50"/>
      <c r="R298" s="21">
        <v>155119255</v>
      </c>
      <c r="S298" s="21">
        <f>162809081+155119255</f>
        <v>317928336</v>
      </c>
      <c r="T298" s="50"/>
      <c r="U298" s="51">
        <f t="shared" si="40"/>
        <v>6767375268</v>
      </c>
      <c r="V298" s="51">
        <v>4813138767</v>
      </c>
      <c r="W298" s="51"/>
      <c r="X298" s="51">
        <v>0</v>
      </c>
      <c r="Y298" s="51"/>
      <c r="Z298" s="51">
        <v>138033604</v>
      </c>
      <c r="AA298" s="51">
        <v>318191755</v>
      </c>
      <c r="AB298" s="51"/>
      <c r="AC298" s="51">
        <f t="shared" si="50"/>
        <v>12036739394</v>
      </c>
      <c r="AD298" s="51">
        <v>2761977644</v>
      </c>
      <c r="AE298" s="51">
        <v>1565589793</v>
      </c>
      <c r="AF298" s="51"/>
      <c r="AG298" s="51">
        <v>0</v>
      </c>
      <c r="AH298" s="51"/>
      <c r="AI298" s="51"/>
      <c r="AJ298" s="51">
        <v>152681034</v>
      </c>
      <c r="AK298" s="51">
        <v>389162668</v>
      </c>
      <c r="AL298" s="51"/>
      <c r="AM298" s="51">
        <v>233476594</v>
      </c>
      <c r="AN298" s="51">
        <f t="shared" si="48"/>
        <v>17139627127</v>
      </c>
      <c r="AO298" s="51">
        <v>2761977644</v>
      </c>
      <c r="AP298" s="51"/>
      <c r="AQ298" s="51"/>
      <c r="AR298" s="51"/>
      <c r="AS298" s="51"/>
      <c r="AT298" s="51"/>
      <c r="AU298" s="51"/>
      <c r="AV298" s="51">
        <v>152681034</v>
      </c>
      <c r="AW298" s="51">
        <v>264802876</v>
      </c>
      <c r="AX298" s="51"/>
      <c r="AY298" s="51">
        <v>198030070</v>
      </c>
      <c r="AZ298" s="51"/>
      <c r="BA298" s="51"/>
      <c r="BB298" s="51"/>
      <c r="BC298" s="52">
        <f t="shared" si="43"/>
        <v>20517118751</v>
      </c>
      <c r="BD298" s="51">
        <v>2977477106</v>
      </c>
      <c r="BE298" s="51">
        <v>159792510</v>
      </c>
      <c r="BF298" s="51"/>
      <c r="BG298" s="51"/>
      <c r="BH298" s="51"/>
      <c r="BI298" s="51"/>
      <c r="BJ298" s="51"/>
      <c r="BK298" s="51">
        <v>159429942</v>
      </c>
      <c r="BL298" s="51">
        <v>402327662</v>
      </c>
      <c r="BM298" s="51"/>
      <c r="BN298" s="51">
        <v>39606014</v>
      </c>
      <c r="BO298" s="51"/>
      <c r="BP298" s="52">
        <v>24255751985</v>
      </c>
      <c r="BQ298" s="52">
        <v>2884341704</v>
      </c>
      <c r="BR298" s="52">
        <v>0</v>
      </c>
      <c r="BS298" s="52"/>
      <c r="BT298" s="52">
        <v>0</v>
      </c>
      <c r="BU298" s="52">
        <v>1251068866</v>
      </c>
      <c r="BV298" s="52"/>
      <c r="BW298" s="52"/>
      <c r="BX298" s="52"/>
      <c r="BY298" s="52"/>
      <c r="BZ298" s="52">
        <v>157191893</v>
      </c>
      <c r="CA298" s="52">
        <v>419781403</v>
      </c>
      <c r="CB298" s="52"/>
      <c r="CC298" s="52">
        <v>39606014</v>
      </c>
      <c r="CD298" s="52"/>
      <c r="CE298" s="52"/>
      <c r="CF298" s="52"/>
      <c r="CG298" s="52">
        <f t="shared" si="44"/>
        <v>29007741865</v>
      </c>
      <c r="CH298" s="52">
        <v>2806428296</v>
      </c>
      <c r="CI298" s="52">
        <v>221701459</v>
      </c>
      <c r="CJ298" s="52"/>
      <c r="CK298" s="52">
        <v>0</v>
      </c>
      <c r="CL298" s="52"/>
      <c r="CM298" s="52"/>
      <c r="CN298" s="52">
        <v>158264739</v>
      </c>
      <c r="CO298" s="52">
        <v>293739669</v>
      </c>
      <c r="CP298" s="52"/>
      <c r="CQ298" s="52">
        <v>39606014</v>
      </c>
      <c r="CR298" s="52"/>
      <c r="CS298" s="52">
        <f t="shared" si="41"/>
        <v>32527482042</v>
      </c>
      <c r="CT298" s="53">
        <v>32294005448</v>
      </c>
      <c r="CU298" s="53">
        <f t="shared" si="42"/>
        <v>233476594</v>
      </c>
      <c r="CV298" s="54">
        <f t="shared" si="45"/>
        <v>32527482042</v>
      </c>
      <c r="CW298" s="55">
        <f t="shared" si="46"/>
        <v>0</v>
      </c>
      <c r="CX298" s="16"/>
      <c r="CY298" s="16"/>
      <c r="CZ298" s="16"/>
    </row>
    <row r="299" spans="1:108" ht="15" customHeight="1" x14ac:dyDescent="0.2">
      <c r="A299" s="1">
        <v>8901020061</v>
      </c>
      <c r="B299" s="1">
        <v>890102006</v>
      </c>
      <c r="C299" s="9">
        <v>110808000</v>
      </c>
      <c r="D299" s="10" t="s">
        <v>24</v>
      </c>
      <c r="E299" s="47" t="s">
        <v>1034</v>
      </c>
      <c r="F299" s="21">
        <v>15333846164</v>
      </c>
      <c r="G299" s="50"/>
      <c r="H299" s="21">
        <v>1116272390</v>
      </c>
      <c r="I299" s="50"/>
      <c r="J299" s="21">
        <v>1077543108</v>
      </c>
      <c r="K299" s="21">
        <v>2145223656</v>
      </c>
      <c r="L299" s="50"/>
      <c r="M299" s="52">
        <f t="shared" si="49"/>
        <v>19672885318</v>
      </c>
      <c r="N299" s="21">
        <f>14377416609+145306637</f>
        <v>14522723246</v>
      </c>
      <c r="O299" s="50"/>
      <c r="P299" s="21">
        <f>VLOOKUP(A299,'[3]PENS-CANC'!A$2:B$37,2,0)</f>
        <v>1116272390</v>
      </c>
      <c r="Q299" s="50"/>
      <c r="R299" s="21">
        <v>1077902818</v>
      </c>
      <c r="S299" s="21">
        <f>1067680548+1077902818</f>
        <v>2145583366</v>
      </c>
      <c r="T299" s="50"/>
      <c r="U299" s="51">
        <f t="shared" si="40"/>
        <v>38535367138</v>
      </c>
      <c r="V299" s="51">
        <v>28223885592</v>
      </c>
      <c r="W299" s="51"/>
      <c r="X299" s="51">
        <v>1116272390</v>
      </c>
      <c r="Y299" s="51"/>
      <c r="Z299" s="51">
        <v>1039825826</v>
      </c>
      <c r="AA299" s="51">
        <v>2322321627</v>
      </c>
      <c r="AB299" s="51"/>
      <c r="AC299" s="51">
        <f t="shared" si="50"/>
        <v>71237672573</v>
      </c>
      <c r="AD299" s="51">
        <v>15309755104</v>
      </c>
      <c r="AE299" s="51">
        <v>1613391017</v>
      </c>
      <c r="AF299" s="51"/>
      <c r="AG299" s="51">
        <v>1116272390</v>
      </c>
      <c r="AH299" s="51"/>
      <c r="AI299" s="51"/>
      <c r="AJ299" s="51">
        <v>1079122421</v>
      </c>
      <c r="AK299" s="51">
        <v>2722776520</v>
      </c>
      <c r="AL299" s="51"/>
      <c r="AM299" s="51"/>
      <c r="AN299" s="51">
        <f t="shared" si="48"/>
        <v>93078990025</v>
      </c>
      <c r="AO299" s="51">
        <v>15309755104</v>
      </c>
      <c r="AP299" s="51"/>
      <c r="AQ299" s="51"/>
      <c r="AR299" s="51">
        <v>1116272390</v>
      </c>
      <c r="AS299" s="51">
        <v>488341796</v>
      </c>
      <c r="AT299" s="51"/>
      <c r="AU299" s="51"/>
      <c r="AV299" s="51">
        <v>1079122421</v>
      </c>
      <c r="AW299" s="51">
        <v>1844481984</v>
      </c>
      <c r="AX299" s="51"/>
      <c r="AY299" s="51"/>
      <c r="AZ299" s="51"/>
      <c r="BA299" s="51"/>
      <c r="BB299" s="51"/>
      <c r="BC299" s="52">
        <f t="shared" si="43"/>
        <v>112916963720</v>
      </c>
      <c r="BD299" s="51">
        <v>15472389583</v>
      </c>
      <c r="BE299" s="51">
        <v>464475463</v>
      </c>
      <c r="BF299" s="51"/>
      <c r="BG299" s="51">
        <v>2232544780</v>
      </c>
      <c r="BH299" s="51"/>
      <c r="BI299" s="51"/>
      <c r="BJ299" s="51"/>
      <c r="BK299" s="51">
        <v>1173118789</v>
      </c>
      <c r="BL299" s="51">
        <v>3036902844</v>
      </c>
      <c r="BM299" s="51"/>
      <c r="BN299" s="51"/>
      <c r="BO299" s="51"/>
      <c r="BP299" s="52">
        <v>135296395179</v>
      </c>
      <c r="BQ299" s="52">
        <v>15564384514</v>
      </c>
      <c r="BR299" s="52">
        <v>0</v>
      </c>
      <c r="BS299" s="52"/>
      <c r="BT299" s="52">
        <v>1116272390</v>
      </c>
      <c r="BU299" s="52">
        <v>6831593895</v>
      </c>
      <c r="BV299" s="52"/>
      <c r="BW299" s="52"/>
      <c r="BX299" s="52"/>
      <c r="BY299" s="52"/>
      <c r="BZ299" s="52">
        <v>1108279778</v>
      </c>
      <c r="CA299" s="52">
        <v>2901797829</v>
      </c>
      <c r="CB299" s="52"/>
      <c r="CC299" s="52"/>
      <c r="CD299" s="52"/>
      <c r="CE299" s="52"/>
      <c r="CF299" s="52"/>
      <c r="CG299" s="52">
        <f t="shared" si="44"/>
        <v>162818723585</v>
      </c>
      <c r="CH299" s="52">
        <v>15776821377</v>
      </c>
      <c r="CI299" s="52">
        <v>630474104</v>
      </c>
      <c r="CJ299" s="52"/>
      <c r="CK299" s="52">
        <v>1116272393</v>
      </c>
      <c r="CL299" s="52"/>
      <c r="CM299" s="52"/>
      <c r="CN299" s="52">
        <v>1118004807</v>
      </c>
      <c r="CO299" s="52">
        <v>2024776232</v>
      </c>
      <c r="CP299" s="52"/>
      <c r="CQ299" s="52"/>
      <c r="CR299" s="52"/>
      <c r="CS299" s="52">
        <f t="shared" si="41"/>
        <v>183485072498</v>
      </c>
      <c r="CT299" s="53">
        <v>183485072498</v>
      </c>
      <c r="CU299" s="53">
        <f t="shared" si="42"/>
        <v>0</v>
      </c>
      <c r="CV299" s="54">
        <f t="shared" si="45"/>
        <v>183485072498</v>
      </c>
      <c r="CW299" s="55">
        <f t="shared" si="46"/>
        <v>0</v>
      </c>
      <c r="CX299" s="16"/>
      <c r="CY299" s="8"/>
      <c r="CZ299" s="8"/>
      <c r="DA299" s="8"/>
      <c r="DB299" s="8"/>
      <c r="DC299" s="8"/>
      <c r="DD299" s="8"/>
    </row>
    <row r="300" spans="1:108" ht="15" customHeight="1" x14ac:dyDescent="0.2">
      <c r="A300" s="1">
        <v>8000915944</v>
      </c>
      <c r="B300" s="1">
        <v>800091594</v>
      </c>
      <c r="C300" s="9">
        <v>111818000</v>
      </c>
      <c r="D300" s="10" t="s">
        <v>11</v>
      </c>
      <c r="E300" s="47" t="s">
        <v>1011</v>
      </c>
      <c r="F300" s="21">
        <v>10466480026</v>
      </c>
      <c r="G300" s="50"/>
      <c r="H300" s="21">
        <v>0</v>
      </c>
      <c r="I300" s="50"/>
      <c r="J300" s="21">
        <v>653090813</v>
      </c>
      <c r="K300" s="21">
        <v>1343451736</v>
      </c>
      <c r="L300" s="50"/>
      <c r="M300" s="52">
        <f t="shared" si="49"/>
        <v>12463022575</v>
      </c>
      <c r="N300" s="21">
        <f>9907190945+403583334</f>
        <v>10310774279</v>
      </c>
      <c r="O300" s="50"/>
      <c r="P300" s="21">
        <f>VLOOKUP(A300,'[3]PENS-CANC'!A$2:B$37,2,0)</f>
        <v>0</v>
      </c>
      <c r="Q300" s="50"/>
      <c r="R300" s="21">
        <v>653090813</v>
      </c>
      <c r="S300" s="21">
        <f>690360923+653090813</f>
        <v>1343451736</v>
      </c>
      <c r="T300" s="50"/>
      <c r="U300" s="51">
        <f t="shared" si="40"/>
        <v>24770339403</v>
      </c>
      <c r="V300" s="51">
        <v>13380286932</v>
      </c>
      <c r="W300" s="51"/>
      <c r="X300" s="51">
        <v>0</v>
      </c>
      <c r="Y300" s="51"/>
      <c r="Z300" s="51">
        <v>673922874</v>
      </c>
      <c r="AA300" s="51">
        <v>1480293835</v>
      </c>
      <c r="AB300" s="51"/>
      <c r="AC300" s="51">
        <f t="shared" si="50"/>
        <v>40304843044</v>
      </c>
      <c r="AD300" s="51">
        <v>9829558062</v>
      </c>
      <c r="AE300" s="51">
        <v>3159394335</v>
      </c>
      <c r="AF300" s="51"/>
      <c r="AG300" s="51">
        <v>0</v>
      </c>
      <c r="AH300" s="51"/>
      <c r="AI300" s="51"/>
      <c r="AJ300" s="51">
        <v>670430893</v>
      </c>
      <c r="AK300" s="51">
        <v>1700243451</v>
      </c>
      <c r="AL300" s="51"/>
      <c r="AM300" s="51"/>
      <c r="AN300" s="51">
        <f t="shared" si="48"/>
        <v>55664469785</v>
      </c>
      <c r="AO300" s="51">
        <v>9829558062</v>
      </c>
      <c r="AP300" s="51"/>
      <c r="AQ300" s="51"/>
      <c r="AR300" s="51"/>
      <c r="AS300" s="51">
        <v>300000000</v>
      </c>
      <c r="AT300" s="51"/>
      <c r="AU300" s="51"/>
      <c r="AV300" s="51">
        <v>670430893</v>
      </c>
      <c r="AW300" s="51">
        <v>1154656861</v>
      </c>
      <c r="AX300" s="51"/>
      <c r="AY300" s="51"/>
      <c r="AZ300" s="51"/>
      <c r="BA300" s="51"/>
      <c r="BB300" s="51"/>
      <c r="BC300" s="52">
        <f t="shared" si="43"/>
        <v>67619115601</v>
      </c>
      <c r="BD300" s="51">
        <v>10118108834</v>
      </c>
      <c r="BE300" s="51">
        <v>563459604</v>
      </c>
      <c r="BF300" s="51"/>
      <c r="BG300" s="51"/>
      <c r="BH300" s="51"/>
      <c r="BI300" s="51"/>
      <c r="BJ300" s="51"/>
      <c r="BK300" s="51">
        <v>670065614</v>
      </c>
      <c r="BL300" s="51">
        <v>1714716676</v>
      </c>
      <c r="BM300" s="51"/>
      <c r="BN300" s="51"/>
      <c r="BO300" s="51"/>
      <c r="BP300" s="52">
        <v>80685466329</v>
      </c>
      <c r="BQ300" s="52">
        <v>10126331980</v>
      </c>
      <c r="BR300" s="52">
        <v>0</v>
      </c>
      <c r="BS300" s="52"/>
      <c r="BT300" s="52">
        <v>0</v>
      </c>
      <c r="BU300" s="52">
        <v>4635102411</v>
      </c>
      <c r="BV300" s="52"/>
      <c r="BW300" s="52"/>
      <c r="BX300" s="52"/>
      <c r="BY300" s="52"/>
      <c r="BZ300" s="52">
        <v>666906805</v>
      </c>
      <c r="CA300" s="52">
        <v>1802603715</v>
      </c>
      <c r="CB300" s="52"/>
      <c r="CC300" s="52"/>
      <c r="CD300" s="52"/>
      <c r="CE300" s="52"/>
      <c r="CF300" s="52"/>
      <c r="CG300" s="52">
        <f t="shared" si="44"/>
        <v>97916411240</v>
      </c>
      <c r="CH300" s="52">
        <v>10166168704</v>
      </c>
      <c r="CI300" s="52">
        <v>249068678</v>
      </c>
      <c r="CJ300" s="52"/>
      <c r="CK300" s="52">
        <v>0</v>
      </c>
      <c r="CL300" s="52"/>
      <c r="CM300" s="52"/>
      <c r="CN300" s="52">
        <v>669145522</v>
      </c>
      <c r="CO300" s="52">
        <v>1253676404</v>
      </c>
      <c r="CP300" s="52"/>
      <c r="CQ300" s="52"/>
      <c r="CR300" s="52"/>
      <c r="CS300" s="52">
        <f t="shared" si="41"/>
        <v>110254470548</v>
      </c>
      <c r="CT300" s="53">
        <v>110254470548</v>
      </c>
      <c r="CU300" s="53">
        <f t="shared" si="42"/>
        <v>0</v>
      </c>
      <c r="CV300" s="54">
        <f t="shared" si="45"/>
        <v>110254470548</v>
      </c>
      <c r="CW300" s="55">
        <f t="shared" si="46"/>
        <v>0</v>
      </c>
      <c r="CX300" s="16"/>
      <c r="CY300" s="8"/>
      <c r="CZ300" s="8"/>
      <c r="DA300" s="8"/>
      <c r="DB300" s="8"/>
      <c r="DC300" s="8"/>
      <c r="DD300" s="8"/>
    </row>
    <row r="301" spans="1:108" ht="15" customHeight="1" x14ac:dyDescent="0.2">
      <c r="A301" s="1">
        <v>8915800168</v>
      </c>
      <c r="B301" s="1">
        <v>891580016</v>
      </c>
      <c r="C301" s="9">
        <v>111919000</v>
      </c>
      <c r="D301" s="10" t="s">
        <v>32</v>
      </c>
      <c r="E301" s="70" t="s">
        <v>2253</v>
      </c>
      <c r="F301" s="21">
        <v>34751988507</v>
      </c>
      <c r="G301" s="50"/>
      <c r="H301" s="21">
        <v>837384827</v>
      </c>
      <c r="I301" s="50"/>
      <c r="J301" s="21">
        <v>2386597062</v>
      </c>
      <c r="K301" s="21">
        <v>4938873270</v>
      </c>
      <c r="L301" s="50"/>
      <c r="M301" s="52">
        <f t="shared" si="49"/>
        <v>42914843666</v>
      </c>
      <c r="N301" s="21">
        <f>35152235975+37153496682</f>
        <v>72305732657</v>
      </c>
      <c r="O301" s="50"/>
      <c r="P301" s="21">
        <f>VLOOKUP(A301,'[3]PENS-CANC'!A$2:B$37,2,0)</f>
        <v>837384827</v>
      </c>
      <c r="Q301" s="50"/>
      <c r="R301" s="21">
        <v>2387792429</v>
      </c>
      <c r="S301" s="21">
        <f>2552276208+2387792429</f>
        <v>4940068637</v>
      </c>
      <c r="T301" s="50"/>
      <c r="U301" s="51">
        <f t="shared" si="40"/>
        <v>123385822216</v>
      </c>
      <c r="V301" s="51">
        <v>54484532435</v>
      </c>
      <c r="W301" s="51"/>
      <c r="X301" s="51">
        <v>837384827</v>
      </c>
      <c r="Y301" s="51"/>
      <c r="Z301" s="51">
        <v>2324376303</v>
      </c>
      <c r="AA301" s="51">
        <v>4999246440</v>
      </c>
      <c r="AB301" s="51"/>
      <c r="AC301" s="51">
        <f t="shared" si="50"/>
        <v>186031362221</v>
      </c>
      <c r="AD301" s="51">
        <v>35684154502</v>
      </c>
      <c r="AE301" s="51">
        <v>5467289320</v>
      </c>
      <c r="AF301" s="51"/>
      <c r="AG301" s="51">
        <v>837384827</v>
      </c>
      <c r="AH301" s="51"/>
      <c r="AI301" s="51"/>
      <c r="AJ301" s="51">
        <v>2421546804</v>
      </c>
      <c r="AK301" s="51">
        <v>6123350783</v>
      </c>
      <c r="AL301" s="51"/>
      <c r="AM301" s="51"/>
      <c r="AN301" s="51">
        <f t="shared" si="48"/>
        <v>236565088457</v>
      </c>
      <c r="AO301" s="51">
        <v>35684154502</v>
      </c>
      <c r="AP301" s="51"/>
      <c r="AQ301" s="51"/>
      <c r="AR301" s="51">
        <v>837384827</v>
      </c>
      <c r="AS301" s="51">
        <v>0</v>
      </c>
      <c r="AT301" s="51"/>
      <c r="AU301" s="51"/>
      <c r="AV301" s="51">
        <v>2421546804</v>
      </c>
      <c r="AW301" s="51">
        <v>4151376001</v>
      </c>
      <c r="AX301" s="51"/>
      <c r="AY301" s="51"/>
      <c r="AZ301" s="51"/>
      <c r="BA301" s="51"/>
      <c r="BB301" s="51"/>
      <c r="BC301" s="52">
        <f t="shared" si="43"/>
        <v>279659550591</v>
      </c>
      <c r="BD301" s="51">
        <v>36927296313</v>
      </c>
      <c r="BE301" s="51">
        <v>1533540711</v>
      </c>
      <c r="BF301" s="51"/>
      <c r="BG301" s="51">
        <v>1674769654</v>
      </c>
      <c r="BH301" s="51"/>
      <c r="BI301" s="51"/>
      <c r="BJ301" s="51"/>
      <c r="BK301" s="51">
        <v>2576352938</v>
      </c>
      <c r="BL301" s="51">
        <v>6517546282</v>
      </c>
      <c r="BM301" s="51"/>
      <c r="BN301" s="51"/>
      <c r="BO301" s="51"/>
      <c r="BP301" s="52">
        <v>328889056489</v>
      </c>
      <c r="BQ301" s="52">
        <v>36122648201</v>
      </c>
      <c r="BR301" s="52">
        <v>16000000000</v>
      </c>
      <c r="BS301" s="52"/>
      <c r="BT301" s="52">
        <v>837384827</v>
      </c>
      <c r="BU301" s="52">
        <v>16387958669</v>
      </c>
      <c r="BV301" s="52"/>
      <c r="BW301" s="52"/>
      <c r="BX301" s="52"/>
      <c r="BY301" s="52"/>
      <c r="BZ301" s="52">
        <v>2439081367</v>
      </c>
      <c r="CA301" s="52">
        <v>6543893725</v>
      </c>
      <c r="CB301" s="52"/>
      <c r="CC301" s="52"/>
      <c r="CD301" s="52"/>
      <c r="CE301" s="52"/>
      <c r="CF301" s="52"/>
      <c r="CG301" s="52">
        <f t="shared" si="44"/>
        <v>407220023278</v>
      </c>
      <c r="CH301" s="52">
        <v>37407605303</v>
      </c>
      <c r="CI301" s="52">
        <v>7036028366</v>
      </c>
      <c r="CJ301" s="52"/>
      <c r="CK301" s="52">
        <v>837384829</v>
      </c>
      <c r="CL301" s="52"/>
      <c r="CM301" s="52"/>
      <c r="CN301" s="52">
        <v>2614461692</v>
      </c>
      <c r="CO301" s="52">
        <v>4781475554</v>
      </c>
      <c r="CP301" s="52"/>
      <c r="CQ301" s="52"/>
      <c r="CR301" s="52"/>
      <c r="CS301" s="52">
        <f t="shared" si="41"/>
        <v>459896979022</v>
      </c>
      <c r="CT301" s="53">
        <v>459896979022</v>
      </c>
      <c r="CU301" s="53">
        <f t="shared" si="42"/>
        <v>0</v>
      </c>
      <c r="CV301" s="54">
        <f t="shared" si="45"/>
        <v>459896979022</v>
      </c>
      <c r="CW301" s="55">
        <f t="shared" si="46"/>
        <v>0</v>
      </c>
      <c r="CX301" s="16"/>
      <c r="CY301" s="8"/>
      <c r="CZ301" s="8"/>
      <c r="DA301" s="8"/>
      <c r="DB301" s="8"/>
      <c r="DC301" s="8"/>
      <c r="DD301" s="8"/>
    </row>
    <row r="302" spans="1:108" ht="15" customHeight="1" x14ac:dyDescent="0.2">
      <c r="A302" s="1">
        <v>8923999991</v>
      </c>
      <c r="B302" s="1">
        <v>892399999</v>
      </c>
      <c r="C302" s="9">
        <v>112020000</v>
      </c>
      <c r="D302" s="10" t="s">
        <v>40</v>
      </c>
      <c r="E302" s="47" t="s">
        <v>1072</v>
      </c>
      <c r="F302" s="21">
        <v>20609936511</v>
      </c>
      <c r="G302" s="50"/>
      <c r="H302" s="21">
        <v>227779843</v>
      </c>
      <c r="I302" s="50"/>
      <c r="J302" s="21">
        <v>1455901023</v>
      </c>
      <c r="K302" s="21">
        <v>2935720813</v>
      </c>
      <c r="L302" s="50"/>
      <c r="M302" s="52">
        <f t="shared" si="49"/>
        <v>25229338190</v>
      </c>
      <c r="N302" s="21">
        <f>19916711657+163651457</f>
        <v>20080363114</v>
      </c>
      <c r="O302" s="50"/>
      <c r="P302" s="21">
        <f>VLOOKUP(A302,'[3]PENS-CANC'!A$2:B$37,2,0)</f>
        <v>227779843</v>
      </c>
      <c r="Q302" s="50"/>
      <c r="R302" s="21">
        <v>1456073652</v>
      </c>
      <c r="S302" s="21">
        <f>1456073652+1479819790</f>
        <v>2935893442</v>
      </c>
      <c r="T302" s="50"/>
      <c r="U302" s="51">
        <f t="shared" si="40"/>
        <v>49929448241</v>
      </c>
      <c r="V302" s="51">
        <v>32778626939</v>
      </c>
      <c r="W302" s="51"/>
      <c r="X302" s="51">
        <v>227779843</v>
      </c>
      <c r="Y302" s="51"/>
      <c r="Z302" s="51">
        <v>1321842753</v>
      </c>
      <c r="AA302" s="51">
        <v>2998428406</v>
      </c>
      <c r="AB302" s="51"/>
      <c r="AC302" s="51">
        <f t="shared" si="50"/>
        <v>87256126182</v>
      </c>
      <c r="AD302" s="51">
        <v>20393902994</v>
      </c>
      <c r="AE302" s="51">
        <v>2049981265</v>
      </c>
      <c r="AF302" s="51"/>
      <c r="AG302" s="51">
        <v>227779843</v>
      </c>
      <c r="AH302" s="51"/>
      <c r="AI302" s="51"/>
      <c r="AJ302" s="51">
        <v>1443735016</v>
      </c>
      <c r="AK302" s="51">
        <v>3648235319</v>
      </c>
      <c r="AL302" s="51"/>
      <c r="AM302" s="51"/>
      <c r="AN302" s="51">
        <f t="shared" si="48"/>
        <v>115019760619</v>
      </c>
      <c r="AO302" s="51">
        <v>20393902994</v>
      </c>
      <c r="AP302" s="51"/>
      <c r="AQ302" s="51"/>
      <c r="AR302" s="51">
        <v>227779843</v>
      </c>
      <c r="AS302" s="51">
        <v>0</v>
      </c>
      <c r="AT302" s="51"/>
      <c r="AU302" s="51"/>
      <c r="AV302" s="51">
        <v>1443735016</v>
      </c>
      <c r="AW302" s="51">
        <v>2472784615</v>
      </c>
      <c r="AX302" s="51"/>
      <c r="AY302" s="51"/>
      <c r="AZ302" s="51"/>
      <c r="BA302" s="51"/>
      <c r="BB302" s="51"/>
      <c r="BC302" s="52">
        <f t="shared" si="43"/>
        <v>139557963087</v>
      </c>
      <c r="BD302" s="51">
        <v>21017108609</v>
      </c>
      <c r="BE302" s="51">
        <v>1529153100</v>
      </c>
      <c r="BF302" s="51"/>
      <c r="BG302" s="51">
        <v>455559686</v>
      </c>
      <c r="BH302" s="51"/>
      <c r="BI302" s="51"/>
      <c r="BJ302" s="51"/>
      <c r="BK302" s="51">
        <v>1604609452</v>
      </c>
      <c r="BL302" s="51">
        <v>4041930836</v>
      </c>
      <c r="BM302" s="51"/>
      <c r="BN302" s="51"/>
      <c r="BO302" s="51"/>
      <c r="BP302" s="52">
        <v>168206324770</v>
      </c>
      <c r="BQ302" s="52">
        <v>22659000000</v>
      </c>
      <c r="BR302" s="52">
        <v>2613186563</v>
      </c>
      <c r="BS302" s="52"/>
      <c r="BT302" s="52">
        <v>227779843</v>
      </c>
      <c r="BU302" s="52">
        <v>9492795250</v>
      </c>
      <c r="BV302" s="52">
        <v>1484450562</v>
      </c>
      <c r="BW302" s="52"/>
      <c r="BX302" s="52"/>
      <c r="BY302" s="52"/>
      <c r="BZ302" s="52">
        <v>1500665627</v>
      </c>
      <c r="CA302" s="52">
        <v>3916927133</v>
      </c>
      <c r="CB302" s="52"/>
      <c r="CC302" s="52"/>
      <c r="CD302" s="52"/>
      <c r="CE302" s="52"/>
      <c r="CF302" s="52"/>
      <c r="CG302" s="52">
        <f t="shared" si="44"/>
        <v>210101129748</v>
      </c>
      <c r="CH302" s="52">
        <v>21690595689</v>
      </c>
      <c r="CI302" s="52">
        <v>6607390400</v>
      </c>
      <c r="CJ302" s="52"/>
      <c r="CK302" s="52">
        <v>227779840</v>
      </c>
      <c r="CL302" s="52"/>
      <c r="CM302" s="52"/>
      <c r="CN302" s="52">
        <v>1500379109</v>
      </c>
      <c r="CO302" s="52">
        <v>2748439224</v>
      </c>
      <c r="CP302" s="52"/>
      <c r="CQ302" s="52"/>
      <c r="CR302" s="52"/>
      <c r="CS302" s="52">
        <f t="shared" si="41"/>
        <v>242875714010</v>
      </c>
      <c r="CT302" s="53">
        <v>242875714010</v>
      </c>
      <c r="CU302" s="53">
        <f t="shared" si="42"/>
        <v>0</v>
      </c>
      <c r="CV302" s="54">
        <f t="shared" si="45"/>
        <v>242875714010</v>
      </c>
      <c r="CW302" s="55">
        <f t="shared" si="46"/>
        <v>0</v>
      </c>
      <c r="CX302" s="16"/>
      <c r="CY302" s="8"/>
      <c r="CZ302" s="8"/>
      <c r="DA302" s="8"/>
      <c r="DB302" s="8"/>
      <c r="DC302" s="8"/>
      <c r="DD302" s="8"/>
    </row>
    <row r="303" spans="1:108" ht="15" customHeight="1" x14ac:dyDescent="0.2">
      <c r="A303" s="1">
        <v>8916800103</v>
      </c>
      <c r="B303" s="1">
        <v>891680010</v>
      </c>
      <c r="C303" s="9">
        <v>112727000</v>
      </c>
      <c r="D303" s="10" t="s">
        <v>33</v>
      </c>
      <c r="E303" s="70" t="s">
        <v>1058</v>
      </c>
      <c r="F303" s="21">
        <f>12904248264+194066399</f>
        <v>13098314663</v>
      </c>
      <c r="G303" s="50"/>
      <c r="H303" s="21">
        <v>591168652</v>
      </c>
      <c r="I303" s="50"/>
      <c r="J303" s="21">
        <v>925389047</v>
      </c>
      <c r="K303" s="21">
        <v>1904014514</v>
      </c>
      <c r="L303" s="50"/>
      <c r="M303" s="52">
        <f t="shared" si="49"/>
        <v>16518886876</v>
      </c>
      <c r="N303" s="21">
        <f>13285880819+88211999</f>
        <v>13374092818</v>
      </c>
      <c r="O303" s="50"/>
      <c r="P303" s="21">
        <f>VLOOKUP(A303,'[3]PENS-CANC'!A$2:B$37,2,0)</f>
        <v>591168652</v>
      </c>
      <c r="Q303" s="50"/>
      <c r="R303" s="21">
        <v>925389047</v>
      </c>
      <c r="S303" s="21">
        <f>978625467+925389047</f>
        <v>1904014514</v>
      </c>
      <c r="T303" s="50"/>
      <c r="U303" s="51">
        <f t="shared" si="40"/>
        <v>33313551907</v>
      </c>
      <c r="V303" s="51">
        <f>31862520757+82344090</f>
        <v>31944864847</v>
      </c>
      <c r="W303" s="51"/>
      <c r="X303" s="51">
        <v>591168652</v>
      </c>
      <c r="Y303" s="51"/>
      <c r="Z303" s="51">
        <v>1061658676</v>
      </c>
      <c r="AA303" s="51">
        <v>1842885716</v>
      </c>
      <c r="AB303" s="51"/>
      <c r="AC303" s="51">
        <f t="shared" si="50"/>
        <v>68754129798</v>
      </c>
      <c r="AD303" s="51">
        <v>13508061327</v>
      </c>
      <c r="AE303" s="51">
        <v>1247422025</v>
      </c>
      <c r="AF303" s="51"/>
      <c r="AG303" s="51">
        <v>591168652</v>
      </c>
      <c r="AH303" s="51"/>
      <c r="AI303" s="51"/>
      <c r="AJ303" s="51">
        <v>908942595</v>
      </c>
      <c r="AK303" s="51">
        <v>2302220444</v>
      </c>
      <c r="AL303" s="51"/>
      <c r="AM303" s="51"/>
      <c r="AN303" s="51">
        <f t="shared" si="48"/>
        <v>87311944841</v>
      </c>
      <c r="AO303" s="51">
        <f>13508061327</f>
        <v>13508061327</v>
      </c>
      <c r="AP303" s="51">
        <f>3797000000+5764000000</f>
        <v>9561000000</v>
      </c>
      <c r="AQ303" s="51"/>
      <c r="AR303" s="51">
        <v>591168652</v>
      </c>
      <c r="AS303" s="51">
        <v>0</v>
      </c>
      <c r="AT303" s="51"/>
      <c r="AU303" s="51"/>
      <c r="AV303" s="51">
        <v>908942595</v>
      </c>
      <c r="AW303" s="51">
        <v>1562086788</v>
      </c>
      <c r="AX303" s="51"/>
      <c r="AY303" s="51"/>
      <c r="AZ303" s="51"/>
      <c r="BA303" s="51"/>
      <c r="BB303" s="51"/>
      <c r="BC303" s="52">
        <f t="shared" si="43"/>
        <v>113443204203</v>
      </c>
      <c r="BD303" s="51">
        <v>13513706218</v>
      </c>
      <c r="BE303" s="51">
        <v>1275996809</v>
      </c>
      <c r="BF303" s="51"/>
      <c r="BG303" s="51">
        <v>1182337304</v>
      </c>
      <c r="BH303" s="51"/>
      <c r="BI303" s="51"/>
      <c r="BJ303" s="51"/>
      <c r="BK303" s="51">
        <v>687901987</v>
      </c>
      <c r="BL303" s="51">
        <v>2339145320</v>
      </c>
      <c r="BM303" s="51"/>
      <c r="BN303" s="51"/>
      <c r="BO303" s="51"/>
      <c r="BP303" s="52">
        <v>132442291841</v>
      </c>
      <c r="BQ303" s="52">
        <v>13546006821</v>
      </c>
      <c r="BR303" s="52">
        <v>10188543515</v>
      </c>
      <c r="BS303" s="52"/>
      <c r="BT303" s="52">
        <v>591168652</v>
      </c>
      <c r="BU303" s="52">
        <v>6005912220</v>
      </c>
      <c r="BV303" s="52"/>
      <c r="BW303" s="52"/>
      <c r="BX303" s="52"/>
      <c r="BY303" s="52"/>
      <c r="BZ303" s="52">
        <v>919221881</v>
      </c>
      <c r="CA303" s="52">
        <v>2475230074</v>
      </c>
      <c r="CB303" s="52"/>
      <c r="CC303" s="52"/>
      <c r="CD303" s="52"/>
      <c r="CE303" s="52"/>
      <c r="CF303" s="52"/>
      <c r="CG303" s="52">
        <f t="shared" si="44"/>
        <v>166168375004</v>
      </c>
      <c r="CH303" s="52">
        <v>13537619803</v>
      </c>
      <c r="CI303" s="52">
        <v>1713105783</v>
      </c>
      <c r="CJ303" s="52"/>
      <c r="CK303" s="52">
        <v>591168650</v>
      </c>
      <c r="CL303" s="52"/>
      <c r="CM303" s="52"/>
      <c r="CN303" s="52">
        <v>929717965</v>
      </c>
      <c r="CO303" s="52">
        <v>1724130945</v>
      </c>
      <c r="CP303" s="52"/>
      <c r="CQ303" s="52"/>
      <c r="CR303" s="52"/>
      <c r="CS303" s="52">
        <f t="shared" si="41"/>
        <v>184664118150</v>
      </c>
      <c r="CT303" s="53">
        <v>184664118150</v>
      </c>
      <c r="CU303" s="53">
        <f t="shared" si="42"/>
        <v>0</v>
      </c>
      <c r="CV303" s="54">
        <f t="shared" si="45"/>
        <v>184664118150</v>
      </c>
      <c r="CW303" s="55">
        <f t="shared" si="46"/>
        <v>0</v>
      </c>
      <c r="CX303" s="16"/>
      <c r="CY303" s="8"/>
      <c r="CZ303" s="8"/>
      <c r="DA303" s="8"/>
      <c r="DB303" s="8"/>
      <c r="DC303" s="8"/>
      <c r="DD303" s="8"/>
    </row>
    <row r="304" spans="1:108" ht="15" customHeight="1" x14ac:dyDescent="0.2">
      <c r="A304" s="1">
        <v>8001039134</v>
      </c>
      <c r="B304" s="1">
        <v>800103913</v>
      </c>
      <c r="C304" s="9">
        <v>114141000</v>
      </c>
      <c r="D304" s="10" t="s">
        <v>16</v>
      </c>
      <c r="E304" s="47" t="s">
        <v>1023</v>
      </c>
      <c r="F304" s="21">
        <v>20047120505</v>
      </c>
      <c r="G304" s="50"/>
      <c r="H304" s="21">
        <v>537128221</v>
      </c>
      <c r="I304" s="50"/>
      <c r="J304" s="21">
        <v>1425443195</v>
      </c>
      <c r="K304" s="21">
        <v>2908620605</v>
      </c>
      <c r="L304" s="50"/>
      <c r="M304" s="52">
        <f t="shared" si="49"/>
        <v>24918312526</v>
      </c>
      <c r="N304" s="21">
        <f>20136368336+438306238</f>
        <v>20574674574</v>
      </c>
      <c r="O304" s="50"/>
      <c r="P304" s="21">
        <f>VLOOKUP(A304,'[3]PENS-CANC'!A$2:B$37,2,0)</f>
        <v>537128221</v>
      </c>
      <c r="Q304" s="50"/>
      <c r="R304" s="21">
        <v>1298800320</v>
      </c>
      <c r="S304" s="21">
        <f>1483177410+1425443195</f>
        <v>2908620605</v>
      </c>
      <c r="T304" s="50"/>
      <c r="U304" s="51">
        <f t="shared" si="40"/>
        <v>50237536246</v>
      </c>
      <c r="V304" s="51">
        <v>29352497114</v>
      </c>
      <c r="W304" s="51"/>
      <c r="X304" s="51">
        <v>537128221</v>
      </c>
      <c r="Y304" s="51"/>
      <c r="Z304" s="51">
        <v>2116822590</v>
      </c>
      <c r="AA304" s="51">
        <v>3241357152</v>
      </c>
      <c r="AB304" s="51"/>
      <c r="AC304" s="51">
        <f t="shared" si="50"/>
        <v>85485341323</v>
      </c>
      <c r="AD304" s="51">
        <v>20978520523</v>
      </c>
      <c r="AE304" s="51">
        <v>1846533410</v>
      </c>
      <c r="AF304" s="51"/>
      <c r="AG304" s="51">
        <v>537128221</v>
      </c>
      <c r="AH304" s="51"/>
      <c r="AI304" s="51"/>
      <c r="AJ304" s="51">
        <v>1453290250</v>
      </c>
      <c r="AK304" s="51">
        <v>3666965524</v>
      </c>
      <c r="AL304" s="51"/>
      <c r="AM304" s="51"/>
      <c r="AN304" s="51">
        <f t="shared" si="48"/>
        <v>113967779251</v>
      </c>
      <c r="AO304" s="51">
        <v>20978520523</v>
      </c>
      <c r="AP304" s="51"/>
      <c r="AQ304" s="51"/>
      <c r="AR304" s="51">
        <v>537128221</v>
      </c>
      <c r="AS304" s="51">
        <v>0</v>
      </c>
      <c r="AT304" s="51"/>
      <c r="AU304" s="51"/>
      <c r="AV304" s="51">
        <v>1453290250</v>
      </c>
      <c r="AW304" s="51">
        <v>2485039532</v>
      </c>
      <c r="AX304" s="51"/>
      <c r="AY304" s="51"/>
      <c r="AZ304" s="51"/>
      <c r="BA304" s="51"/>
      <c r="BB304" s="51"/>
      <c r="BC304" s="52">
        <f t="shared" si="43"/>
        <v>139421757777</v>
      </c>
      <c r="BD304" s="51">
        <v>21723182840</v>
      </c>
      <c r="BE304" s="51">
        <v>1307106350</v>
      </c>
      <c r="BF304" s="51"/>
      <c r="BG304" s="51">
        <v>1074256442</v>
      </c>
      <c r="BH304" s="51"/>
      <c r="BI304" s="51"/>
      <c r="BJ304" s="51"/>
      <c r="BK304" s="51">
        <v>1038826815</v>
      </c>
      <c r="BL304" s="51">
        <v>3776690417</v>
      </c>
      <c r="BM304" s="51"/>
      <c r="BN304" s="51"/>
      <c r="BO304" s="51"/>
      <c r="BP304" s="52">
        <v>168341820641</v>
      </c>
      <c r="BQ304" s="52">
        <v>21795335523</v>
      </c>
      <c r="BR304" s="52">
        <v>0</v>
      </c>
      <c r="BS304" s="52"/>
      <c r="BT304" s="52">
        <v>537128221</v>
      </c>
      <c r="BU304" s="52">
        <v>8820542009</v>
      </c>
      <c r="BV304" s="52"/>
      <c r="BW304" s="52"/>
      <c r="BX304" s="52"/>
      <c r="BY304" s="52"/>
      <c r="BZ304" s="52">
        <v>1452524802</v>
      </c>
      <c r="CA304" s="52">
        <v>3945621422</v>
      </c>
      <c r="CB304" s="52"/>
      <c r="CC304" s="52"/>
      <c r="CD304" s="52"/>
      <c r="CE304" s="52"/>
      <c r="CF304" s="52"/>
      <c r="CG304" s="52">
        <f t="shared" si="44"/>
        <v>204892972618</v>
      </c>
      <c r="CH304" s="52">
        <v>21360518777</v>
      </c>
      <c r="CI304" s="52">
        <v>618823267</v>
      </c>
      <c r="CJ304" s="52"/>
      <c r="CK304" s="52">
        <v>537128223</v>
      </c>
      <c r="CL304" s="52"/>
      <c r="CM304" s="52"/>
      <c r="CN304" s="52">
        <v>1477183251</v>
      </c>
      <c r="CO304" s="52">
        <v>2739321260</v>
      </c>
      <c r="CP304" s="52"/>
      <c r="CQ304" s="52"/>
      <c r="CR304" s="52"/>
      <c r="CS304" s="52">
        <f t="shared" si="41"/>
        <v>231625947396</v>
      </c>
      <c r="CT304" s="53">
        <v>231625947396</v>
      </c>
      <c r="CU304" s="53">
        <f t="shared" si="42"/>
        <v>0</v>
      </c>
      <c r="CV304" s="54">
        <f t="shared" si="45"/>
        <v>231625947396</v>
      </c>
      <c r="CW304" s="55">
        <f t="shared" si="46"/>
        <v>0</v>
      </c>
      <c r="CX304" s="16"/>
      <c r="CY304" s="8"/>
      <c r="CZ304" s="8"/>
      <c r="DA304" s="8"/>
      <c r="DB304" s="8"/>
      <c r="DC304" s="8"/>
      <c r="DD304" s="8"/>
    </row>
    <row r="305" spans="1:108" ht="15" customHeight="1" x14ac:dyDescent="0.2">
      <c r="A305" s="1">
        <v>8001039206</v>
      </c>
      <c r="B305" s="1">
        <v>800103920</v>
      </c>
      <c r="C305" s="9">
        <v>114747000</v>
      </c>
      <c r="D305" s="10" t="s">
        <v>17</v>
      </c>
      <c r="E305" s="47" t="s">
        <v>1024</v>
      </c>
      <c r="F305" s="21">
        <v>27111560141</v>
      </c>
      <c r="G305" s="50"/>
      <c r="H305" s="21">
        <v>600431291</v>
      </c>
      <c r="I305" s="50"/>
      <c r="J305" s="21">
        <v>2020344839</v>
      </c>
      <c r="K305" s="21">
        <v>4144121848</v>
      </c>
      <c r="L305" s="50"/>
      <c r="M305" s="52">
        <f t="shared" si="49"/>
        <v>33876458119</v>
      </c>
      <c r="N305" s="21">
        <f>27415031808+154580352</f>
        <v>27569612160</v>
      </c>
      <c r="O305" s="50"/>
      <c r="P305" s="21">
        <f>VLOOKUP(A305,'[3]PENS-CANC'!A$2:B$37,2,0)</f>
        <v>600431291</v>
      </c>
      <c r="Q305" s="50"/>
      <c r="R305" s="21">
        <v>2021093460</v>
      </c>
      <c r="S305" s="21">
        <f>2123777009+2021093460</f>
        <v>4144870469</v>
      </c>
      <c r="T305" s="50"/>
      <c r="U305" s="51">
        <f t="shared" si="40"/>
        <v>68212465499</v>
      </c>
      <c r="V305" s="51">
        <v>33759127359</v>
      </c>
      <c r="W305" s="51"/>
      <c r="X305" s="51">
        <v>600431291</v>
      </c>
      <c r="Y305" s="51"/>
      <c r="Z305" s="51">
        <v>1948750000</v>
      </c>
      <c r="AA305" s="51">
        <v>3497677526</v>
      </c>
      <c r="AB305" s="51"/>
      <c r="AC305" s="51">
        <f t="shared" si="50"/>
        <v>108018451675</v>
      </c>
      <c r="AD305" s="51">
        <v>30752217304</v>
      </c>
      <c r="AE305" s="51">
        <v>9918565105</v>
      </c>
      <c r="AF305" s="51"/>
      <c r="AG305" s="51">
        <v>600431291</v>
      </c>
      <c r="AH305" s="51"/>
      <c r="AI305" s="51"/>
      <c r="AJ305" s="51">
        <v>1906229663</v>
      </c>
      <c r="AK305" s="51">
        <v>4817409213</v>
      </c>
      <c r="AL305" s="51"/>
      <c r="AM305" s="51"/>
      <c r="AN305" s="51">
        <f t="shared" si="48"/>
        <v>156013304251</v>
      </c>
      <c r="AO305" s="51">
        <v>31257969165</v>
      </c>
      <c r="AP305" s="51"/>
      <c r="AQ305" s="51"/>
      <c r="AR305" s="51">
        <v>600431291</v>
      </c>
      <c r="AS305" s="51">
        <v>2382883670</v>
      </c>
      <c r="AT305" s="51"/>
      <c r="AU305" s="51"/>
      <c r="AV305" s="51">
        <v>1906229663</v>
      </c>
      <c r="AW305" s="51">
        <v>3265679645</v>
      </c>
      <c r="AX305" s="51"/>
      <c r="AY305" s="51"/>
      <c r="AZ305" s="51"/>
      <c r="BA305" s="51"/>
      <c r="BB305" s="51"/>
      <c r="BC305" s="52">
        <f t="shared" si="43"/>
        <v>195426497685</v>
      </c>
      <c r="BD305" s="51">
        <v>28800639761</v>
      </c>
      <c r="BE305" s="51">
        <v>3081525044</v>
      </c>
      <c r="BF305" s="51"/>
      <c r="BG305" s="51">
        <v>1200862582</v>
      </c>
      <c r="BH305" s="51"/>
      <c r="BI305" s="51"/>
      <c r="BJ305" s="51"/>
      <c r="BK305" s="51">
        <v>1978557897</v>
      </c>
      <c r="BL305" s="51">
        <v>6063056246</v>
      </c>
      <c r="BM305" s="51"/>
      <c r="BN305" s="51"/>
      <c r="BO305" s="51"/>
      <c r="BP305" s="52">
        <v>236551139215</v>
      </c>
      <c r="BQ305" s="52">
        <v>28567811637</v>
      </c>
      <c r="BR305" s="52">
        <v>4881902116</v>
      </c>
      <c r="BS305" s="52"/>
      <c r="BT305" s="52">
        <v>600431291</v>
      </c>
      <c r="BU305" s="52">
        <v>12195085839</v>
      </c>
      <c r="BV305" s="52"/>
      <c r="BW305" s="52"/>
      <c r="BX305" s="52"/>
      <c r="BY305" s="52"/>
      <c r="BZ305" s="52">
        <v>2039353364</v>
      </c>
      <c r="CA305" s="52">
        <v>5375258911</v>
      </c>
      <c r="CB305" s="52"/>
      <c r="CC305" s="52"/>
      <c r="CD305" s="52"/>
      <c r="CE305" s="52"/>
      <c r="CF305" s="52"/>
      <c r="CG305" s="52">
        <f t="shared" si="44"/>
        <v>290210982373</v>
      </c>
      <c r="CH305" s="52">
        <v>29087060804</v>
      </c>
      <c r="CI305" s="52">
        <v>827323931</v>
      </c>
      <c r="CJ305" s="52"/>
      <c r="CK305" s="52">
        <v>600431288</v>
      </c>
      <c r="CL305" s="52"/>
      <c r="CM305" s="52"/>
      <c r="CN305" s="52">
        <v>2030989254</v>
      </c>
      <c r="CO305" s="52">
        <v>3797016725</v>
      </c>
      <c r="CP305" s="52"/>
      <c r="CQ305" s="52"/>
      <c r="CR305" s="52"/>
      <c r="CS305" s="52">
        <f t="shared" si="41"/>
        <v>326553804375</v>
      </c>
      <c r="CT305" s="53">
        <v>326553804375</v>
      </c>
      <c r="CU305" s="53">
        <f t="shared" si="42"/>
        <v>0</v>
      </c>
      <c r="CV305" s="54">
        <f t="shared" si="45"/>
        <v>326553804375</v>
      </c>
      <c r="CW305" s="55">
        <f t="shared" si="46"/>
        <v>0</v>
      </c>
      <c r="CX305" s="16"/>
      <c r="CY305" s="8"/>
      <c r="CZ305" s="8"/>
      <c r="DA305" s="8"/>
      <c r="DB305" s="8"/>
      <c r="DC305" s="8"/>
      <c r="DD305" s="8"/>
    </row>
    <row r="306" spans="1:108" ht="15" customHeight="1" x14ac:dyDescent="0.2">
      <c r="A306" s="1">
        <v>8920001488</v>
      </c>
      <c r="B306" s="1">
        <v>892000148</v>
      </c>
      <c r="C306" s="9">
        <v>115050000</v>
      </c>
      <c r="D306" s="10" t="s">
        <v>35</v>
      </c>
      <c r="E306" s="47" t="s">
        <v>1066</v>
      </c>
      <c r="F306" s="21">
        <v>12872063449</v>
      </c>
      <c r="G306" s="50"/>
      <c r="H306" s="21">
        <v>262233485</v>
      </c>
      <c r="I306" s="50"/>
      <c r="J306" s="21">
        <v>878129875</v>
      </c>
      <c r="K306" s="21">
        <v>1772557660</v>
      </c>
      <c r="L306" s="50"/>
      <c r="M306" s="52">
        <f t="shared" si="49"/>
        <v>15784984469</v>
      </c>
      <c r="N306" s="21">
        <f>12124882953+332217601</f>
        <v>12457100554</v>
      </c>
      <c r="O306" s="50"/>
      <c r="P306" s="21">
        <f>VLOOKUP(A306,'[3]PENS-CANC'!A$2:B$37,2,0)</f>
        <v>262233485</v>
      </c>
      <c r="Q306" s="50"/>
      <c r="R306" s="21">
        <v>878207048</v>
      </c>
      <c r="S306" s="21">
        <f>894427785+878207048</f>
        <v>1772634833</v>
      </c>
      <c r="T306" s="50"/>
      <c r="U306" s="51">
        <f t="shared" si="40"/>
        <v>31155160389</v>
      </c>
      <c r="V306" s="51">
        <v>24085711039</v>
      </c>
      <c r="W306" s="51"/>
      <c r="X306" s="51">
        <v>262233485</v>
      </c>
      <c r="Y306" s="51"/>
      <c r="Z306" s="51">
        <v>827267261</v>
      </c>
      <c r="AA306" s="51">
        <v>1887580445</v>
      </c>
      <c r="AB306" s="51"/>
      <c r="AC306" s="51">
        <f t="shared" si="50"/>
        <v>58217952619</v>
      </c>
      <c r="AD306" s="51">
        <v>12897160032</v>
      </c>
      <c r="AE306" s="51">
        <v>3830965261</v>
      </c>
      <c r="AF306" s="51"/>
      <c r="AG306" s="51">
        <v>262233485</v>
      </c>
      <c r="AH306" s="51"/>
      <c r="AI306" s="51"/>
      <c r="AJ306" s="51">
        <v>882960490</v>
      </c>
      <c r="AK306" s="51">
        <v>2233587496</v>
      </c>
      <c r="AL306" s="51"/>
      <c r="AM306" s="51"/>
      <c r="AN306" s="51">
        <f t="shared" si="48"/>
        <v>78324859383</v>
      </c>
      <c r="AO306" s="51">
        <v>12897160032</v>
      </c>
      <c r="AP306" s="51"/>
      <c r="AQ306" s="51"/>
      <c r="AR306" s="51">
        <v>262233485</v>
      </c>
      <c r="AS306" s="51">
        <v>3847619111</v>
      </c>
      <c r="AT306" s="51"/>
      <c r="AU306" s="51"/>
      <c r="AV306" s="51">
        <v>882960490</v>
      </c>
      <c r="AW306" s="51">
        <v>1514910958</v>
      </c>
      <c r="AX306" s="51"/>
      <c r="AY306" s="51"/>
      <c r="AZ306" s="51"/>
      <c r="BA306" s="51"/>
      <c r="BB306" s="51"/>
      <c r="BC306" s="52">
        <f t="shared" si="43"/>
        <v>97729743459</v>
      </c>
      <c r="BD306" s="51">
        <v>12983825370</v>
      </c>
      <c r="BE306" s="51">
        <v>1075742514</v>
      </c>
      <c r="BF306" s="51"/>
      <c r="BG306" s="51">
        <v>524466970</v>
      </c>
      <c r="BH306" s="51"/>
      <c r="BI306" s="51"/>
      <c r="BJ306" s="51"/>
      <c r="BK306" s="51">
        <v>957502003</v>
      </c>
      <c r="BL306" s="51">
        <v>2445298360</v>
      </c>
      <c r="BM306" s="51"/>
      <c r="BN306" s="51"/>
      <c r="BO306" s="51"/>
      <c r="BP306" s="52">
        <v>115716578676</v>
      </c>
      <c r="BQ306" s="52">
        <v>12675211263</v>
      </c>
      <c r="BR306" s="52">
        <v>0</v>
      </c>
      <c r="BS306" s="52"/>
      <c r="BT306" s="52">
        <v>262233485</v>
      </c>
      <c r="BU306" s="52">
        <v>5433074082</v>
      </c>
      <c r="BV306" s="52"/>
      <c r="BW306" s="52"/>
      <c r="BX306" s="52"/>
      <c r="BY306" s="52"/>
      <c r="BZ306" s="52">
        <v>897775664</v>
      </c>
      <c r="CA306" s="52">
        <v>2401214463</v>
      </c>
      <c r="CB306" s="52"/>
      <c r="CC306" s="52"/>
      <c r="CD306" s="52"/>
      <c r="CE306" s="52"/>
      <c r="CF306" s="52"/>
      <c r="CG306" s="52">
        <f t="shared" si="44"/>
        <v>137386087633</v>
      </c>
      <c r="CH306" s="52">
        <v>12700207510</v>
      </c>
      <c r="CI306" s="52">
        <v>1138719493</v>
      </c>
      <c r="CJ306" s="52"/>
      <c r="CK306" s="52">
        <v>262233488</v>
      </c>
      <c r="CL306" s="52"/>
      <c r="CM306" s="52"/>
      <c r="CN306" s="52">
        <v>900037822</v>
      </c>
      <c r="CO306" s="52">
        <v>1662308833</v>
      </c>
      <c r="CP306" s="52"/>
      <c r="CQ306" s="52"/>
      <c r="CR306" s="52"/>
      <c r="CS306" s="52">
        <f t="shared" si="41"/>
        <v>154049594779</v>
      </c>
      <c r="CT306" s="53">
        <v>154049594779</v>
      </c>
      <c r="CU306" s="53">
        <f t="shared" si="42"/>
        <v>0</v>
      </c>
      <c r="CV306" s="54">
        <f t="shared" si="45"/>
        <v>154049594779</v>
      </c>
      <c r="CW306" s="55">
        <f t="shared" si="46"/>
        <v>0</v>
      </c>
      <c r="CX306" s="16"/>
      <c r="CY306" s="8"/>
      <c r="CZ306" s="8"/>
      <c r="DA306" s="8"/>
      <c r="DB306" s="8"/>
      <c r="DC306" s="8"/>
      <c r="DD306" s="8"/>
    </row>
    <row r="307" spans="1:108" ht="15" customHeight="1" x14ac:dyDescent="0.2">
      <c r="A307" s="1">
        <v>8000941644</v>
      </c>
      <c r="B307" s="1">
        <v>800094164</v>
      </c>
      <c r="C307" s="9">
        <v>118686000</v>
      </c>
      <c r="D307" s="10" t="s">
        <v>13</v>
      </c>
      <c r="E307" s="47" t="s">
        <v>1013</v>
      </c>
      <c r="F307" s="21">
        <v>13885868094</v>
      </c>
      <c r="G307" s="50"/>
      <c r="H307" s="21">
        <v>90380151</v>
      </c>
      <c r="I307" s="50"/>
      <c r="J307" s="21">
        <v>871048814</v>
      </c>
      <c r="K307" s="21">
        <v>1767038551</v>
      </c>
      <c r="L307" s="50"/>
      <c r="M307" s="52">
        <f t="shared" si="49"/>
        <v>16614335610</v>
      </c>
      <c r="N307" s="21">
        <f>13035678555+325580823</f>
        <v>13361259378</v>
      </c>
      <c r="O307" s="50"/>
      <c r="P307" s="21">
        <f>VLOOKUP(A307,'[3]PENS-CANC'!A$2:B$37,2,0)</f>
        <v>90380151</v>
      </c>
      <c r="Q307" s="50"/>
      <c r="R307" s="21">
        <v>871048814</v>
      </c>
      <c r="S307" s="21">
        <f>895989737+871048814</f>
        <v>1767038551</v>
      </c>
      <c r="T307" s="50"/>
      <c r="U307" s="51">
        <f t="shared" si="40"/>
        <v>32704062504</v>
      </c>
      <c r="V307" s="51">
        <v>20281934570</v>
      </c>
      <c r="W307" s="51"/>
      <c r="X307" s="51">
        <v>90380151</v>
      </c>
      <c r="Y307" s="51"/>
      <c r="Z307" s="51">
        <v>815063777</v>
      </c>
      <c r="AA307" s="51">
        <v>1847407342</v>
      </c>
      <c r="AB307" s="51"/>
      <c r="AC307" s="51">
        <f t="shared" si="50"/>
        <v>55738848344</v>
      </c>
      <c r="AD307" s="51">
        <v>12877843334</v>
      </c>
      <c r="AE307" s="51">
        <v>2702421360</v>
      </c>
      <c r="AF307" s="51"/>
      <c r="AG307" s="51">
        <v>90380151</v>
      </c>
      <c r="AH307" s="51"/>
      <c r="AI307" s="51"/>
      <c r="AJ307" s="51">
        <v>877321078</v>
      </c>
      <c r="AK307" s="51">
        <v>2223461073</v>
      </c>
      <c r="AL307" s="51"/>
      <c r="AM307" s="51"/>
      <c r="AN307" s="51">
        <f t="shared" si="48"/>
        <v>74510275340</v>
      </c>
      <c r="AO307" s="51">
        <v>12877843334</v>
      </c>
      <c r="AP307" s="51"/>
      <c r="AQ307" s="51"/>
      <c r="AR307" s="51">
        <v>90380151</v>
      </c>
      <c r="AS307" s="51">
        <v>0</v>
      </c>
      <c r="AT307" s="51"/>
      <c r="AU307" s="51"/>
      <c r="AV307" s="51">
        <v>877321078</v>
      </c>
      <c r="AW307" s="51">
        <v>1509030307</v>
      </c>
      <c r="AX307" s="51"/>
      <c r="AY307" s="51"/>
      <c r="AZ307" s="51"/>
      <c r="BA307" s="51"/>
      <c r="BB307" s="51"/>
      <c r="BC307" s="52">
        <f t="shared" si="43"/>
        <v>89864850210</v>
      </c>
      <c r="BD307" s="51">
        <v>13649412432</v>
      </c>
      <c r="BE307" s="51">
        <v>1160556740</v>
      </c>
      <c r="BF307" s="51"/>
      <c r="BG307" s="51">
        <v>180760302</v>
      </c>
      <c r="BH307" s="51"/>
      <c r="BI307" s="51"/>
      <c r="BJ307" s="51"/>
      <c r="BK307" s="51">
        <v>908574697</v>
      </c>
      <c r="BL307" s="51">
        <v>2332746476</v>
      </c>
      <c r="BM307" s="51"/>
      <c r="BN307" s="51"/>
      <c r="BO307" s="51"/>
      <c r="BP307" s="52">
        <v>108096900857</v>
      </c>
      <c r="BQ307" s="52">
        <v>13796008125</v>
      </c>
      <c r="BR307" s="52">
        <v>0</v>
      </c>
      <c r="BS307" s="52"/>
      <c r="BT307" s="52">
        <v>90380151</v>
      </c>
      <c r="BU307" s="52">
        <v>5600695233</v>
      </c>
      <c r="BV307" s="52"/>
      <c r="BW307" s="52"/>
      <c r="BX307" s="52"/>
      <c r="BY307" s="52"/>
      <c r="BZ307" s="52">
        <v>880142828</v>
      </c>
      <c r="CA307" s="52">
        <v>2369205813</v>
      </c>
      <c r="CB307" s="52"/>
      <c r="CC307" s="52"/>
      <c r="CD307" s="52"/>
      <c r="CE307" s="52"/>
      <c r="CF307" s="52"/>
      <c r="CG307" s="52">
        <f t="shared" si="44"/>
        <v>130833333007</v>
      </c>
      <c r="CH307" s="52">
        <v>13620841370</v>
      </c>
      <c r="CI307" s="52">
        <v>1655299385</v>
      </c>
      <c r="CJ307" s="52"/>
      <c r="CK307" s="52">
        <v>90380148</v>
      </c>
      <c r="CL307" s="52"/>
      <c r="CM307" s="52"/>
      <c r="CN307" s="52">
        <v>907114552</v>
      </c>
      <c r="CO307" s="52">
        <v>1679604889</v>
      </c>
      <c r="CP307" s="52"/>
      <c r="CQ307" s="52"/>
      <c r="CR307" s="52"/>
      <c r="CS307" s="52">
        <f t="shared" si="41"/>
        <v>148786573351</v>
      </c>
      <c r="CT307" s="53">
        <v>148786573351</v>
      </c>
      <c r="CU307" s="53">
        <f t="shared" si="42"/>
        <v>0</v>
      </c>
      <c r="CV307" s="54">
        <f t="shared" si="45"/>
        <v>148786573351</v>
      </c>
      <c r="CW307" s="55">
        <f t="shared" si="46"/>
        <v>0</v>
      </c>
      <c r="CX307" s="16"/>
      <c r="CY307" s="8"/>
      <c r="CZ307" s="8"/>
      <c r="DA307" s="8"/>
      <c r="DB307" s="8"/>
      <c r="DC307" s="8"/>
      <c r="DD307" s="8"/>
    </row>
    <row r="308" spans="1:108" ht="15" customHeight="1" x14ac:dyDescent="0.2">
      <c r="A308" s="1">
        <v>8900016391</v>
      </c>
      <c r="B308" s="1">
        <v>890001639</v>
      </c>
      <c r="C308" s="9">
        <v>116363000</v>
      </c>
      <c r="D308" s="10" t="s">
        <v>23</v>
      </c>
      <c r="E308" s="47" t="s">
        <v>1033</v>
      </c>
      <c r="F308" s="21">
        <f>8285933873+317310565</f>
        <v>8603244438</v>
      </c>
      <c r="G308" s="50"/>
      <c r="H308" s="21">
        <v>0</v>
      </c>
      <c r="I308" s="50"/>
      <c r="J308" s="21">
        <v>519398364</v>
      </c>
      <c r="K308" s="21">
        <v>1031118468</v>
      </c>
      <c r="L308" s="50"/>
      <c r="M308" s="52">
        <f t="shared" si="49"/>
        <v>10153761270</v>
      </c>
      <c r="N308" s="21">
        <f>7942258337+144232075</f>
        <v>8086490412</v>
      </c>
      <c r="O308" s="50"/>
      <c r="P308" s="21">
        <f>VLOOKUP(A308,'[3]PENS-CANC'!A$2:B$37,2,0)</f>
        <v>0</v>
      </c>
      <c r="Q308" s="50"/>
      <c r="R308" s="21">
        <v>519398364</v>
      </c>
      <c r="S308" s="21">
        <f>511720104+519398364</f>
        <v>1031118468</v>
      </c>
      <c r="T308" s="50"/>
      <c r="U308" s="51">
        <f t="shared" si="40"/>
        <v>19790768514</v>
      </c>
      <c r="V308" s="51">
        <v>9755924834</v>
      </c>
      <c r="W308" s="51"/>
      <c r="X308" s="51">
        <v>0</v>
      </c>
      <c r="Y308" s="51"/>
      <c r="Z308" s="51">
        <v>529333333</v>
      </c>
      <c r="AA308" s="51">
        <v>1166627398</v>
      </c>
      <c r="AB308" s="51"/>
      <c r="AC308" s="51">
        <f t="shared" si="50"/>
        <v>31242654079</v>
      </c>
      <c r="AD308" s="51">
        <v>7765859296</v>
      </c>
      <c r="AE308" s="51">
        <v>1266876765</v>
      </c>
      <c r="AF308" s="51"/>
      <c r="AG308" s="51">
        <v>0</v>
      </c>
      <c r="AH308" s="51"/>
      <c r="AI308" s="51"/>
      <c r="AJ308" s="51">
        <v>532703604</v>
      </c>
      <c r="AK308" s="51">
        <v>1342810575</v>
      </c>
      <c r="AL308" s="51"/>
      <c r="AM308" s="51"/>
      <c r="AN308" s="51">
        <f t="shared" si="48"/>
        <v>42150904319</v>
      </c>
      <c r="AO308" s="51">
        <v>7765859296</v>
      </c>
      <c r="AP308" s="51"/>
      <c r="AQ308" s="51"/>
      <c r="AR308" s="51"/>
      <c r="AS308" s="51">
        <v>1050805000</v>
      </c>
      <c r="AT308" s="51"/>
      <c r="AU308" s="51"/>
      <c r="AV308" s="51">
        <v>532703604</v>
      </c>
      <c r="AW308" s="51">
        <v>909470725</v>
      </c>
      <c r="AX308" s="51"/>
      <c r="AY308" s="51"/>
      <c r="AZ308" s="51"/>
      <c r="BA308" s="51"/>
      <c r="BB308" s="51"/>
      <c r="BC308" s="52">
        <f t="shared" si="43"/>
        <v>52409742944</v>
      </c>
      <c r="BD308" s="51">
        <v>8075731889</v>
      </c>
      <c r="BE308" s="51">
        <v>160993784</v>
      </c>
      <c r="BF308" s="51"/>
      <c r="BG308" s="51"/>
      <c r="BH308" s="51"/>
      <c r="BI308" s="51"/>
      <c r="BJ308" s="51"/>
      <c r="BK308" s="51">
        <v>499874753</v>
      </c>
      <c r="BL308" s="51">
        <v>1327105249</v>
      </c>
      <c r="BM308" s="51"/>
      <c r="BN308" s="51"/>
      <c r="BO308" s="51"/>
      <c r="BP308" s="52">
        <v>62473448619</v>
      </c>
      <c r="BQ308" s="52">
        <v>8072047904</v>
      </c>
      <c r="BR308" s="52">
        <v>0</v>
      </c>
      <c r="BS308" s="52"/>
      <c r="BT308" s="52">
        <v>0</v>
      </c>
      <c r="BU308" s="52">
        <v>3450488583</v>
      </c>
      <c r="BV308" s="52"/>
      <c r="BW308" s="52"/>
      <c r="BX308" s="52"/>
      <c r="BY308" s="52"/>
      <c r="BZ308" s="52">
        <v>526880532</v>
      </c>
      <c r="CA308" s="52">
        <v>1387469141</v>
      </c>
      <c r="CB308" s="52"/>
      <c r="CC308" s="52"/>
      <c r="CD308" s="52"/>
      <c r="CE308" s="52"/>
      <c r="CF308" s="52"/>
      <c r="CG308" s="52">
        <f t="shared" si="44"/>
        <v>75910334779</v>
      </c>
      <c r="CH308" s="52">
        <v>7829867720</v>
      </c>
      <c r="CI308" s="52">
        <v>0</v>
      </c>
      <c r="CJ308" s="52"/>
      <c r="CK308" s="52">
        <v>0</v>
      </c>
      <c r="CL308" s="52"/>
      <c r="CM308" s="52"/>
      <c r="CN308" s="52">
        <v>530434358</v>
      </c>
      <c r="CO308" s="52">
        <v>958104774</v>
      </c>
      <c r="CP308" s="52"/>
      <c r="CQ308" s="52"/>
      <c r="CR308" s="52"/>
      <c r="CS308" s="52">
        <f t="shared" si="41"/>
        <v>85228741631</v>
      </c>
      <c r="CT308" s="53">
        <v>85228741631</v>
      </c>
      <c r="CU308" s="53">
        <f t="shared" si="42"/>
        <v>0</v>
      </c>
      <c r="CV308" s="54">
        <f t="shared" si="45"/>
        <v>85228741631</v>
      </c>
      <c r="CW308" s="55">
        <f t="shared" si="46"/>
        <v>0</v>
      </c>
      <c r="CX308" s="16"/>
      <c r="CY308" s="8"/>
      <c r="CZ308" s="8"/>
      <c r="DA308" s="8"/>
      <c r="DB308" s="8"/>
      <c r="DC308" s="8"/>
      <c r="DD308" s="8"/>
    </row>
    <row r="309" spans="1:108" ht="15" customHeight="1" x14ac:dyDescent="0.2">
      <c r="A309" s="1">
        <v>8001136727</v>
      </c>
      <c r="B309" s="1">
        <v>800113672</v>
      </c>
      <c r="C309" s="9">
        <v>117373000</v>
      </c>
      <c r="D309" s="10" t="s">
        <v>21</v>
      </c>
      <c r="E309" s="47" t="s">
        <v>1030</v>
      </c>
      <c r="F309" s="21">
        <v>26219466648</v>
      </c>
      <c r="G309" s="50"/>
      <c r="H309" s="21">
        <v>2658897930</v>
      </c>
      <c r="I309" s="50"/>
      <c r="J309" s="21">
        <v>1841512941</v>
      </c>
      <c r="K309" s="21">
        <v>3738638292</v>
      </c>
      <c r="L309" s="50"/>
      <c r="M309" s="52">
        <f t="shared" si="49"/>
        <v>34458515811</v>
      </c>
      <c r="N309" s="21">
        <f>25799796784+202837584</f>
        <v>26002634368</v>
      </c>
      <c r="O309" s="50"/>
      <c r="P309" s="21">
        <f>VLOOKUP(A309,'[3]PENS-CANC'!A$2:B$37,2,0)</f>
        <v>2658897930</v>
      </c>
      <c r="Q309" s="50"/>
      <c r="R309" s="21">
        <v>1841512941</v>
      </c>
      <c r="S309" s="21">
        <f>1897125351+1841512941</f>
        <v>3738638292</v>
      </c>
      <c r="T309" s="50"/>
      <c r="U309" s="51">
        <f t="shared" si="40"/>
        <v>68700199342</v>
      </c>
      <c r="V309" s="51">
        <v>37394045348</v>
      </c>
      <c r="W309" s="51"/>
      <c r="X309" s="51">
        <v>2658897930</v>
      </c>
      <c r="Y309" s="51"/>
      <c r="Z309" s="51">
        <v>1850325662</v>
      </c>
      <c r="AA309" s="51">
        <v>4050778900</v>
      </c>
      <c r="AB309" s="51"/>
      <c r="AC309" s="51">
        <f t="shared" si="50"/>
        <v>114654247182</v>
      </c>
      <c r="AD309" s="51">
        <v>27638444018</v>
      </c>
      <c r="AE309" s="51">
        <v>2282177895</v>
      </c>
      <c r="AF309" s="51"/>
      <c r="AG309" s="51">
        <v>2658897930</v>
      </c>
      <c r="AH309" s="51"/>
      <c r="AI309" s="51"/>
      <c r="AJ309" s="51">
        <v>1873064632</v>
      </c>
      <c r="AK309" s="51">
        <v>4728707693</v>
      </c>
      <c r="AL309" s="51"/>
      <c r="AM309" s="51"/>
      <c r="AN309" s="51">
        <f t="shared" si="48"/>
        <v>153835539350</v>
      </c>
      <c r="AO309" s="51">
        <v>28139215753</v>
      </c>
      <c r="AP309" s="51"/>
      <c r="AQ309" s="51"/>
      <c r="AR309" s="51">
        <v>2658897930</v>
      </c>
      <c r="AS309" s="51">
        <v>614886859</v>
      </c>
      <c r="AT309" s="51"/>
      <c r="AU309" s="51"/>
      <c r="AV309" s="51">
        <v>1873064632</v>
      </c>
      <c r="AW309" s="51">
        <v>3204262669</v>
      </c>
      <c r="AX309" s="51"/>
      <c r="AY309" s="51"/>
      <c r="AZ309" s="51"/>
      <c r="BA309" s="51"/>
      <c r="BB309" s="51"/>
      <c r="BC309" s="52">
        <f t="shared" si="43"/>
        <v>190325867193</v>
      </c>
      <c r="BD309" s="51">
        <v>27973010646</v>
      </c>
      <c r="BE309" s="51">
        <v>614886859</v>
      </c>
      <c r="BF309" s="51"/>
      <c r="BG309" s="51">
        <v>5317795860</v>
      </c>
      <c r="BH309" s="51"/>
      <c r="BI309" s="51"/>
      <c r="BJ309" s="51"/>
      <c r="BK309" s="51">
        <v>1477561397</v>
      </c>
      <c r="BL309" s="51">
        <v>3308919882</v>
      </c>
      <c r="BM309" s="51"/>
      <c r="BN309" s="51"/>
      <c r="BO309" s="51"/>
      <c r="BP309" s="52">
        <v>229018041837</v>
      </c>
      <c r="BQ309" s="52">
        <v>27146487307</v>
      </c>
      <c r="BR309" s="52">
        <v>1291610576</v>
      </c>
      <c r="BS309" s="52"/>
      <c r="BT309" s="52">
        <v>2658897930</v>
      </c>
      <c r="BU309" s="52">
        <v>12276107118</v>
      </c>
      <c r="BV309" s="52"/>
      <c r="BW309" s="52"/>
      <c r="BX309" s="52"/>
      <c r="BY309" s="52"/>
      <c r="BZ309" s="52">
        <v>1861290588</v>
      </c>
      <c r="CA309" s="52">
        <v>4937778045</v>
      </c>
      <c r="CB309" s="52"/>
      <c r="CC309" s="52"/>
      <c r="CD309" s="52"/>
      <c r="CE309" s="52"/>
      <c r="CF309" s="52"/>
      <c r="CG309" s="52">
        <f t="shared" si="44"/>
        <v>279190213401</v>
      </c>
      <c r="CH309" s="52">
        <v>27667812498</v>
      </c>
      <c r="CI309" s="52">
        <v>581526574</v>
      </c>
      <c r="CJ309" s="52"/>
      <c r="CK309" s="52">
        <v>2658897928</v>
      </c>
      <c r="CL309" s="52"/>
      <c r="CM309" s="52"/>
      <c r="CN309" s="52">
        <v>2872118518</v>
      </c>
      <c r="CO309" s="52">
        <v>5231948519</v>
      </c>
      <c r="CP309" s="52"/>
      <c r="CQ309" s="52"/>
      <c r="CR309" s="52"/>
      <c r="CS309" s="52">
        <f t="shared" si="41"/>
        <v>318202517438</v>
      </c>
      <c r="CT309" s="53">
        <v>318202517438</v>
      </c>
      <c r="CU309" s="53">
        <f t="shared" si="42"/>
        <v>0</v>
      </c>
      <c r="CV309" s="54">
        <f t="shared" si="45"/>
        <v>318202517438</v>
      </c>
      <c r="CW309" s="55">
        <f t="shared" si="46"/>
        <v>0</v>
      </c>
      <c r="CX309" s="16"/>
      <c r="CY309" s="8"/>
      <c r="CZ309" s="8"/>
      <c r="DA309" s="8"/>
      <c r="DB309" s="8"/>
      <c r="DC309" s="8"/>
      <c r="DD309" s="8"/>
    </row>
    <row r="310" spans="1:108" ht="15" customHeight="1" x14ac:dyDescent="0.2">
      <c r="A310" s="1">
        <v>8903990295</v>
      </c>
      <c r="B310" s="1">
        <v>890399029</v>
      </c>
      <c r="C310" s="9">
        <v>117676000</v>
      </c>
      <c r="D310" s="10" t="s">
        <v>27</v>
      </c>
      <c r="E310" s="70" t="s">
        <v>2109</v>
      </c>
      <c r="F310" s="21">
        <f>24704550330</f>
        <v>24704550330</v>
      </c>
      <c r="G310" s="50"/>
      <c r="H310" s="21">
        <v>3421314966</v>
      </c>
      <c r="I310" s="50"/>
      <c r="J310" s="21">
        <v>1513498122</v>
      </c>
      <c r="K310" s="21">
        <v>3059518086</v>
      </c>
      <c r="L310" s="50"/>
      <c r="M310" s="52">
        <f t="shared" si="49"/>
        <v>32698881504</v>
      </c>
      <c r="N310" s="21">
        <f>25080000000+3078000000+215589971</f>
        <v>28373589971</v>
      </c>
      <c r="O310" s="50"/>
      <c r="P310" s="21">
        <f>VLOOKUP(A310,'[3]PENS-CANC'!A$2:B$37,2,0)</f>
        <v>3421314966</v>
      </c>
      <c r="Q310" s="50"/>
      <c r="R310" s="21">
        <v>1513498122</v>
      </c>
      <c r="S310" s="21">
        <f>1546019964+1513498122</f>
        <v>3059518086</v>
      </c>
      <c r="T310" s="50"/>
      <c r="U310" s="51">
        <f t="shared" si="40"/>
        <v>69066802649</v>
      </c>
      <c r="V310" s="51">
        <v>29494660406</v>
      </c>
      <c r="W310" s="51"/>
      <c r="X310" s="51">
        <v>3421314966</v>
      </c>
      <c r="Y310" s="51"/>
      <c r="Z310" s="51">
        <v>1409766220</v>
      </c>
      <c r="AA310" s="51">
        <v>3263725871</v>
      </c>
      <c r="AB310" s="51"/>
      <c r="AC310" s="51">
        <f t="shared" si="50"/>
        <v>106656270112</v>
      </c>
      <c r="AD310" s="51">
        <v>24683971744</v>
      </c>
      <c r="AE310" s="51">
        <v>2249537181</v>
      </c>
      <c r="AF310" s="51"/>
      <c r="AG310" s="51">
        <v>3421314966</v>
      </c>
      <c r="AH310" s="51"/>
      <c r="AI310" s="51"/>
      <c r="AJ310" s="51">
        <v>1545433634</v>
      </c>
      <c r="AK310" s="51">
        <v>3901263550</v>
      </c>
      <c r="AL310" s="51"/>
      <c r="AM310" s="51"/>
      <c r="AN310" s="51">
        <f t="shared" si="48"/>
        <v>142457791187</v>
      </c>
      <c r="AO310" s="51">
        <v>25045090068</v>
      </c>
      <c r="AP310" s="51"/>
      <c r="AQ310" s="51"/>
      <c r="AR310" s="51">
        <v>3421314966</v>
      </c>
      <c r="AS310" s="51">
        <v>0</v>
      </c>
      <c r="AT310" s="51"/>
      <c r="AU310" s="51"/>
      <c r="AV310" s="51">
        <v>1545433634</v>
      </c>
      <c r="AW310" s="51">
        <v>2643596806</v>
      </c>
      <c r="AX310" s="51"/>
      <c r="AY310" s="51"/>
      <c r="AZ310" s="51"/>
      <c r="BA310" s="51"/>
      <c r="BB310" s="51"/>
      <c r="BC310" s="52">
        <f t="shared" si="43"/>
        <v>175113226661</v>
      </c>
      <c r="BD310" s="51">
        <v>25247190792</v>
      </c>
      <c r="BE310" s="51">
        <v>946349214</v>
      </c>
      <c r="BF310" s="51"/>
      <c r="BG310" s="51">
        <v>6842629932</v>
      </c>
      <c r="BH310" s="51"/>
      <c r="BI310" s="51"/>
      <c r="BJ310" s="51"/>
      <c r="BK310" s="51">
        <v>1539247339</v>
      </c>
      <c r="BL310" s="51">
        <v>3804409913</v>
      </c>
      <c r="BM310" s="51"/>
      <c r="BN310" s="51"/>
      <c r="BO310" s="51"/>
      <c r="BP310" s="52">
        <v>213493053851</v>
      </c>
      <c r="BQ310" s="52">
        <v>24988290909</v>
      </c>
      <c r="BR310" s="52">
        <v>0</v>
      </c>
      <c r="BS310" s="52"/>
      <c r="BT310" s="52">
        <v>3421314966</v>
      </c>
      <c r="BU310" s="52">
        <v>11218886928</v>
      </c>
      <c r="BV310" s="52"/>
      <c r="BW310" s="52"/>
      <c r="BX310" s="52"/>
      <c r="BY310" s="52"/>
      <c r="BZ310" s="52">
        <v>1531545605</v>
      </c>
      <c r="CA310" s="52">
        <v>4061999612</v>
      </c>
      <c r="CB310" s="52"/>
      <c r="CC310" s="52"/>
      <c r="CD310" s="52"/>
      <c r="CE310" s="52"/>
      <c r="CF310" s="52"/>
      <c r="CG310" s="52">
        <f t="shared" si="44"/>
        <v>258715091871</v>
      </c>
      <c r="CH310" s="52">
        <v>24535178507</v>
      </c>
      <c r="CI310" s="52">
        <v>10175619</v>
      </c>
      <c r="CJ310" s="52"/>
      <c r="CK310" s="52">
        <v>3421314968</v>
      </c>
      <c r="CL310" s="52"/>
      <c r="CM310" s="52"/>
      <c r="CN310" s="52">
        <v>1532583291</v>
      </c>
      <c r="CO310" s="52">
        <v>2816128170</v>
      </c>
      <c r="CP310" s="52"/>
      <c r="CQ310" s="52"/>
      <c r="CR310" s="52"/>
      <c r="CS310" s="52">
        <f t="shared" si="41"/>
        <v>291030472426</v>
      </c>
      <c r="CT310" s="53">
        <v>291030472426</v>
      </c>
      <c r="CU310" s="53">
        <f t="shared" si="42"/>
        <v>0</v>
      </c>
      <c r="CV310" s="54">
        <f t="shared" si="45"/>
        <v>291030472426</v>
      </c>
      <c r="CW310" s="55">
        <f t="shared" si="46"/>
        <v>0</v>
      </c>
      <c r="CX310" s="16"/>
      <c r="CY310" s="8"/>
      <c r="CZ310" s="8"/>
      <c r="DA310" s="8"/>
      <c r="DB310" s="8"/>
      <c r="DC310" s="8"/>
      <c r="DD310" s="8"/>
    </row>
    <row r="311" spans="1:108" ht="15" customHeight="1" x14ac:dyDescent="0.2">
      <c r="A311" s="1">
        <v>8250001341</v>
      </c>
      <c r="B311" s="1">
        <v>825000134</v>
      </c>
      <c r="C311" s="9">
        <v>219044090</v>
      </c>
      <c r="D311" s="10" t="s">
        <v>632</v>
      </c>
      <c r="E311" s="46" t="s">
        <v>1650</v>
      </c>
      <c r="F311" s="21"/>
      <c r="G311" s="50"/>
      <c r="H311" s="21"/>
      <c r="I311" s="50"/>
      <c r="J311" s="21"/>
      <c r="K311" s="21"/>
      <c r="L311" s="50"/>
      <c r="M311" s="51"/>
      <c r="N311" s="21"/>
      <c r="O311" s="50"/>
      <c r="P311" s="21"/>
      <c r="Q311" s="50"/>
      <c r="R311" s="21"/>
      <c r="S311" s="21"/>
      <c r="T311" s="50"/>
      <c r="U311" s="51">
        <f t="shared" si="40"/>
        <v>0</v>
      </c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>
        <v>545505926</v>
      </c>
      <c r="AN311" s="51">
        <f t="shared" si="48"/>
        <v>545505926</v>
      </c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2">
        <f t="shared" si="43"/>
        <v>545505926</v>
      </c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>
        <v>76248963</v>
      </c>
      <c r="BO311" s="51"/>
      <c r="BP311" s="52">
        <v>621754889</v>
      </c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>
        <v>76248963</v>
      </c>
      <c r="CD311" s="52">
        <v>381244815</v>
      </c>
      <c r="CE311" s="52">
        <v>48977809</v>
      </c>
      <c r="CF311" s="52"/>
      <c r="CG311" s="52">
        <f t="shared" si="44"/>
        <v>1128226476</v>
      </c>
      <c r="CH311" s="52"/>
      <c r="CI311" s="52"/>
      <c r="CJ311" s="52"/>
      <c r="CK311" s="52"/>
      <c r="CL311" s="52"/>
      <c r="CM311" s="52"/>
      <c r="CN311" s="52"/>
      <c r="CO311" s="52"/>
      <c r="CP311" s="52"/>
      <c r="CQ311" s="52">
        <v>76248963</v>
      </c>
      <c r="CR311" s="52"/>
      <c r="CS311" s="52">
        <f t="shared" si="41"/>
        <v>1204475439</v>
      </c>
      <c r="CT311" s="53">
        <v>609991704</v>
      </c>
      <c r="CU311" s="53">
        <f t="shared" si="42"/>
        <v>594483735</v>
      </c>
      <c r="CV311" s="54">
        <f t="shared" si="45"/>
        <v>1204475439</v>
      </c>
      <c r="CW311" s="55">
        <f t="shared" si="46"/>
        <v>0</v>
      </c>
      <c r="CX311" s="16"/>
      <c r="CY311" s="16"/>
      <c r="CZ311" s="16"/>
    </row>
    <row r="312" spans="1:108" ht="15" customHeight="1" x14ac:dyDescent="0.2">
      <c r="A312" s="1">
        <v>8250001667</v>
      </c>
      <c r="B312" s="1">
        <v>825000166</v>
      </c>
      <c r="C312" s="9">
        <v>219844098</v>
      </c>
      <c r="D312" s="10" t="s">
        <v>633</v>
      </c>
      <c r="E312" s="46" t="s">
        <v>1651</v>
      </c>
      <c r="F312" s="21"/>
      <c r="G312" s="50"/>
      <c r="H312" s="21"/>
      <c r="I312" s="50"/>
      <c r="J312" s="21"/>
      <c r="K312" s="21"/>
      <c r="L312" s="50"/>
      <c r="M312" s="51"/>
      <c r="N312" s="21"/>
      <c r="O312" s="50"/>
      <c r="P312" s="21"/>
      <c r="Q312" s="50"/>
      <c r="R312" s="21"/>
      <c r="S312" s="21"/>
      <c r="T312" s="50"/>
      <c r="U312" s="51">
        <f t="shared" si="40"/>
        <v>0</v>
      </c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>
        <v>146502583</v>
      </c>
      <c r="AN312" s="51">
        <f t="shared" si="48"/>
        <v>146502583</v>
      </c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>
        <f>VLOOKUP(B312,[1]Hoja3!J$3:K$674,2,0)</f>
        <v>9189553</v>
      </c>
      <c r="BB312" s="51"/>
      <c r="BC312" s="52">
        <f t="shared" si="43"/>
        <v>155692136</v>
      </c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>
        <v>0</v>
      </c>
      <c r="BO312" s="51"/>
      <c r="BP312" s="52">
        <v>155692136</v>
      </c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>
        <v>0</v>
      </c>
      <c r="CD312" s="52"/>
      <c r="CE312" s="52">
        <v>35100085</v>
      </c>
      <c r="CF312" s="52"/>
      <c r="CG312" s="52">
        <f t="shared" si="44"/>
        <v>190792221</v>
      </c>
      <c r="CH312" s="52"/>
      <c r="CI312" s="52"/>
      <c r="CJ312" s="52"/>
      <c r="CK312" s="52"/>
      <c r="CL312" s="52"/>
      <c r="CM312" s="52"/>
      <c r="CN312" s="52"/>
      <c r="CO312" s="52"/>
      <c r="CP312" s="52"/>
      <c r="CQ312" s="52">
        <v>194413040</v>
      </c>
      <c r="CR312" s="52"/>
      <c r="CS312" s="52">
        <f t="shared" si="41"/>
        <v>385205261</v>
      </c>
      <c r="CT312" s="53">
        <v>194413040</v>
      </c>
      <c r="CU312" s="53">
        <f t="shared" si="42"/>
        <v>190792221</v>
      </c>
      <c r="CV312" s="54">
        <f t="shared" si="45"/>
        <v>385205261</v>
      </c>
      <c r="CW312" s="55">
        <f t="shared" si="46"/>
        <v>0</v>
      </c>
      <c r="CX312" s="16"/>
      <c r="CY312" s="16"/>
      <c r="CZ312" s="16"/>
    </row>
    <row r="313" spans="1:108" ht="15" customHeight="1" x14ac:dyDescent="0.2">
      <c r="A313" s="1">
        <v>8904801844</v>
      </c>
      <c r="B313" s="1">
        <v>890480184</v>
      </c>
      <c r="C313" s="9">
        <v>210113001</v>
      </c>
      <c r="D313" s="10" t="s">
        <v>2152</v>
      </c>
      <c r="E313" s="47" t="s">
        <v>1041</v>
      </c>
      <c r="F313" s="21"/>
      <c r="G313" s="50"/>
      <c r="H313" s="21"/>
      <c r="I313" s="50">
        <f>18658987976+390099048</f>
        <v>19049087024</v>
      </c>
      <c r="J313" s="21">
        <v>1181567829</v>
      </c>
      <c r="K313" s="21">
        <v>2359887396</v>
      </c>
      <c r="L313" s="50"/>
      <c r="M313" s="52">
        <f t="shared" si="49"/>
        <v>22590542249</v>
      </c>
      <c r="N313" s="21"/>
      <c r="O313" s="50"/>
      <c r="P313" s="21">
        <f>VLOOKUP(A313,'[3]PENS-CANC'!A$2:B$37,2,0)</f>
        <v>0</v>
      </c>
      <c r="Q313" s="50">
        <f>18146287642+177317749</f>
        <v>18323605391</v>
      </c>
      <c r="R313" s="21">
        <v>1183541099</v>
      </c>
      <c r="S313" s="21">
        <f>1178319567+1183541099</f>
        <v>2361860666</v>
      </c>
      <c r="T313" s="50"/>
      <c r="U313" s="51">
        <f t="shared" si="40"/>
        <v>44459549405</v>
      </c>
      <c r="V313" s="51"/>
      <c r="W313" s="51"/>
      <c r="X313" s="51"/>
      <c r="Y313" s="51">
        <v>51801726618</v>
      </c>
      <c r="Z313" s="51">
        <v>1633859584</v>
      </c>
      <c r="AA313" s="51">
        <v>2509202441</v>
      </c>
      <c r="AB313" s="51"/>
      <c r="AC313" s="51">
        <f t="shared" si="50"/>
        <v>100404338048</v>
      </c>
      <c r="AD313" s="51"/>
      <c r="AE313" s="51"/>
      <c r="AF313" s="51"/>
      <c r="AG313" s="51"/>
      <c r="AH313" s="51">
        <v>17876345883</v>
      </c>
      <c r="AI313" s="51">
        <v>1761146998</v>
      </c>
      <c r="AJ313" s="51">
        <v>1193022744</v>
      </c>
      <c r="AK313" s="51">
        <v>3009142867</v>
      </c>
      <c r="AL313" s="51"/>
      <c r="AM313" s="51">
        <v>8312190341</v>
      </c>
      <c r="AN313" s="51">
        <f t="shared" si="48"/>
        <v>132556186881</v>
      </c>
      <c r="AO313" s="51"/>
      <c r="AP313" s="51"/>
      <c r="AQ313" s="51">
        <v>0</v>
      </c>
      <c r="AR313" s="51"/>
      <c r="AS313" s="51"/>
      <c r="AT313" s="51">
        <v>17876345883</v>
      </c>
      <c r="AU313" s="51"/>
      <c r="AV313" s="51">
        <v>1193022744</v>
      </c>
      <c r="AW313" s="51">
        <v>2038802219</v>
      </c>
      <c r="AX313" s="51"/>
      <c r="AY313" s="51"/>
      <c r="AZ313" s="51">
        <v>13399964296</v>
      </c>
      <c r="BA313" s="51"/>
      <c r="BB313" s="51">
        <f>VLOOKUP(B313,'[2]anuladas en mayo gratuidad}'!K$2:L$55,2,0)</f>
        <v>107012490</v>
      </c>
      <c r="BC313" s="52">
        <f t="shared" si="43"/>
        <v>166957309533</v>
      </c>
      <c r="BD313" s="51"/>
      <c r="BE313" s="51"/>
      <c r="BF313" s="51">
        <v>0</v>
      </c>
      <c r="BG313" s="51"/>
      <c r="BH313" s="51"/>
      <c r="BI313" s="51">
        <v>19439441955</v>
      </c>
      <c r="BJ313" s="51">
        <v>2417353185</v>
      </c>
      <c r="BK313" s="51">
        <v>803263296</v>
      </c>
      <c r="BL313" s="51">
        <v>3233326572</v>
      </c>
      <c r="BM313" s="51"/>
      <c r="BN313" s="51"/>
      <c r="BO313" s="51"/>
      <c r="BP313" s="52">
        <v>192850694541</v>
      </c>
      <c r="BQ313" s="52"/>
      <c r="BR313" s="52"/>
      <c r="BS313" s="52">
        <v>0</v>
      </c>
      <c r="BT313" s="52"/>
      <c r="BU313" s="52"/>
      <c r="BV313" s="52"/>
      <c r="BW313" s="52">
        <v>19393315408</v>
      </c>
      <c r="BX313" s="52"/>
      <c r="BY313" s="52">
        <v>7992567975</v>
      </c>
      <c r="BZ313" s="52">
        <v>1236264490</v>
      </c>
      <c r="CA313" s="52">
        <v>3215575159</v>
      </c>
      <c r="CB313" s="52"/>
      <c r="CC313" s="52"/>
      <c r="CD313" s="52"/>
      <c r="CE313" s="52">
        <v>136479705</v>
      </c>
      <c r="CF313" s="52"/>
      <c r="CG313" s="52">
        <f t="shared" si="44"/>
        <v>224824897278</v>
      </c>
      <c r="CH313" s="52"/>
      <c r="CI313" s="52"/>
      <c r="CJ313" s="52">
        <v>0</v>
      </c>
      <c r="CK313" s="52"/>
      <c r="CL313" s="52">
        <v>18953716315</v>
      </c>
      <c r="CM313" s="52">
        <v>2783500012</v>
      </c>
      <c r="CN313" s="52">
        <v>1243148939</v>
      </c>
      <c r="CO313" s="52">
        <v>2259926358</v>
      </c>
      <c r="CP313" s="52"/>
      <c r="CQ313" s="52"/>
      <c r="CR313" s="52"/>
      <c r="CS313" s="52">
        <f t="shared" si="41"/>
        <v>250065188902</v>
      </c>
      <c r="CT313" s="53">
        <v>241723531346</v>
      </c>
      <c r="CU313" s="53">
        <f t="shared" si="42"/>
        <v>8341657556</v>
      </c>
      <c r="CV313" s="54">
        <f t="shared" si="45"/>
        <v>250065188902</v>
      </c>
      <c r="CW313" s="55">
        <f t="shared" si="46"/>
        <v>0</v>
      </c>
      <c r="CX313" s="16"/>
      <c r="CY313" s="16"/>
      <c r="CZ313" s="16"/>
    </row>
    <row r="314" spans="1:108" ht="15" customHeight="1" x14ac:dyDescent="0.2">
      <c r="A314" s="1">
        <v>8917800094</v>
      </c>
      <c r="B314" s="1">
        <v>891780009</v>
      </c>
      <c r="C314" s="9">
        <v>210147001</v>
      </c>
      <c r="D314" s="10" t="s">
        <v>2153</v>
      </c>
      <c r="E314" s="47" t="s">
        <v>1060</v>
      </c>
      <c r="F314" s="21"/>
      <c r="G314" s="50"/>
      <c r="H314" s="21"/>
      <c r="I314" s="50">
        <f>11820802382+221256788</f>
        <v>12042059170</v>
      </c>
      <c r="J314" s="21">
        <v>813582127</v>
      </c>
      <c r="K314" s="21">
        <v>1627301801</v>
      </c>
      <c r="L314" s="50"/>
      <c r="M314" s="52">
        <f t="shared" si="49"/>
        <v>14482943098</v>
      </c>
      <c r="N314" s="21"/>
      <c r="O314" s="50"/>
      <c r="P314" s="21">
        <f>VLOOKUP(A314,'[3]PENS-CANC'!A$2:B$37,2,0)</f>
        <v>0</v>
      </c>
      <c r="Q314" s="50">
        <f>11649156627+100571267</f>
        <v>11749727894</v>
      </c>
      <c r="R314" s="21">
        <v>814114408</v>
      </c>
      <c r="S314" s="21">
        <f>813719674+814114408</f>
        <v>1627834082</v>
      </c>
      <c r="T314" s="50"/>
      <c r="U314" s="51">
        <f t="shared" si="40"/>
        <v>28674619482</v>
      </c>
      <c r="V314" s="51"/>
      <c r="W314" s="51"/>
      <c r="X314" s="51"/>
      <c r="Y314" s="51">
        <v>15586655150</v>
      </c>
      <c r="Z314" s="51">
        <v>834807968</v>
      </c>
      <c r="AA314" s="51">
        <v>1444627469</v>
      </c>
      <c r="AB314" s="51"/>
      <c r="AC314" s="51">
        <f t="shared" si="50"/>
        <v>46540710069</v>
      </c>
      <c r="AD314" s="51"/>
      <c r="AE314" s="51"/>
      <c r="AF314" s="51"/>
      <c r="AG314" s="51"/>
      <c r="AH314" s="51">
        <v>12380812247</v>
      </c>
      <c r="AI314" s="51">
        <v>2074876340</v>
      </c>
      <c r="AJ314" s="51">
        <v>778707251</v>
      </c>
      <c r="AK314" s="51">
        <v>1964303034</v>
      </c>
      <c r="AL314" s="51"/>
      <c r="AM314" s="51">
        <v>5125710440</v>
      </c>
      <c r="AN314" s="51">
        <f t="shared" si="48"/>
        <v>68865119381</v>
      </c>
      <c r="AO314" s="51"/>
      <c r="AP314" s="51"/>
      <c r="AQ314" s="51">
        <v>2164774265</v>
      </c>
      <c r="AR314" s="51"/>
      <c r="AS314" s="51"/>
      <c r="AT314" s="51">
        <v>12380812247</v>
      </c>
      <c r="AU314" s="51"/>
      <c r="AV314" s="51">
        <v>778707251</v>
      </c>
      <c r="AW314" s="51">
        <v>1330865872</v>
      </c>
      <c r="AX314" s="51"/>
      <c r="AY314" s="51"/>
      <c r="AZ314" s="51">
        <v>1857585356</v>
      </c>
      <c r="BA314" s="51">
        <f>VLOOKUP(B314,[1]Hoja3!J$3:K$674,2,0)</f>
        <v>540590789</v>
      </c>
      <c r="BB314" s="51"/>
      <c r="BC314" s="52">
        <f t="shared" si="43"/>
        <v>87918455161</v>
      </c>
      <c r="BD314" s="51"/>
      <c r="BE314" s="51"/>
      <c r="BF314" s="51">
        <v>432954853</v>
      </c>
      <c r="BG314" s="51"/>
      <c r="BH314" s="51"/>
      <c r="BI314" s="51">
        <v>11982166885</v>
      </c>
      <c r="BJ314" s="51">
        <v>1377396082</v>
      </c>
      <c r="BK314" s="51">
        <v>632802281</v>
      </c>
      <c r="BL314" s="51">
        <v>2204134459</v>
      </c>
      <c r="BM314" s="51"/>
      <c r="BN314" s="51"/>
      <c r="BO314" s="51"/>
      <c r="BP314" s="52">
        <v>104547909721</v>
      </c>
      <c r="BQ314" s="52"/>
      <c r="BR314" s="52"/>
      <c r="BS314" s="52">
        <v>432954853</v>
      </c>
      <c r="BT314" s="52"/>
      <c r="BU314" s="52"/>
      <c r="BV314" s="52"/>
      <c r="BW314" s="52">
        <v>11933744051</v>
      </c>
      <c r="BX314" s="52"/>
      <c r="BY314" s="52">
        <v>5163302781</v>
      </c>
      <c r="BZ314" s="52">
        <v>821154871</v>
      </c>
      <c r="CA314" s="52">
        <v>2089047000</v>
      </c>
      <c r="CB314" s="52"/>
      <c r="CC314" s="52"/>
      <c r="CD314" s="52"/>
      <c r="CE314" s="52">
        <v>127319487</v>
      </c>
      <c r="CF314" s="52"/>
      <c r="CG314" s="52">
        <f t="shared" si="44"/>
        <v>125115432764</v>
      </c>
      <c r="CH314" s="52"/>
      <c r="CI314" s="52"/>
      <c r="CJ314" s="52">
        <v>432954853</v>
      </c>
      <c r="CK314" s="52"/>
      <c r="CL314" s="52">
        <v>12835655391</v>
      </c>
      <c r="CM314" s="52">
        <v>777067102</v>
      </c>
      <c r="CN314" s="52">
        <v>886405136</v>
      </c>
      <c r="CO314" s="52">
        <v>1589244059</v>
      </c>
      <c r="CP314" s="52"/>
      <c r="CQ314" s="52"/>
      <c r="CR314" s="52"/>
      <c r="CS314" s="52">
        <f t="shared" si="41"/>
        <v>141636759305</v>
      </c>
      <c r="CT314" s="53">
        <v>135843138589</v>
      </c>
      <c r="CU314" s="53">
        <f t="shared" si="42"/>
        <v>5793620716</v>
      </c>
      <c r="CV314" s="54">
        <f t="shared" si="45"/>
        <v>141636759305</v>
      </c>
      <c r="CW314" s="55">
        <f t="shared" si="46"/>
        <v>0</v>
      </c>
      <c r="CX314" s="16"/>
      <c r="CY314" s="16"/>
      <c r="CZ314" s="16"/>
    </row>
    <row r="315" spans="1:108" ht="15" customHeight="1" x14ac:dyDescent="0.2">
      <c r="A315" s="1">
        <v>8901020181</v>
      </c>
      <c r="B315" s="1">
        <v>890102018</v>
      </c>
      <c r="C315" s="9">
        <v>210108001</v>
      </c>
      <c r="D315" s="10" t="s">
        <v>25</v>
      </c>
      <c r="E315" s="47" t="s">
        <v>2064</v>
      </c>
      <c r="F315" s="21"/>
      <c r="G315" s="50"/>
      <c r="H315" s="21"/>
      <c r="I315" s="60">
        <f>24114427894+315671072</f>
        <v>24430098966</v>
      </c>
      <c r="J315" s="21">
        <v>1804912674</v>
      </c>
      <c r="K315" s="21">
        <v>3577279621</v>
      </c>
      <c r="L315" s="50"/>
      <c r="M315" s="52">
        <f t="shared" si="49"/>
        <v>29812291261</v>
      </c>
      <c r="N315" s="21"/>
      <c r="O315" s="50"/>
      <c r="P315" s="21">
        <f>VLOOKUP(A315,'[3]PENS-CANC'!A$2:B$37,2,0)</f>
        <v>0</v>
      </c>
      <c r="Q315" s="50">
        <f>22783680798+143486851</f>
        <v>22927167649</v>
      </c>
      <c r="R315" s="21">
        <v>1837493789</v>
      </c>
      <c r="S315" s="21">
        <f>1772366947+1837493789</f>
        <v>3609860736</v>
      </c>
      <c r="T315" s="50"/>
      <c r="U315" s="51">
        <f t="shared" si="40"/>
        <v>58186813435</v>
      </c>
      <c r="V315" s="51"/>
      <c r="W315" s="51"/>
      <c r="X315" s="51"/>
      <c r="Y315" s="51">
        <v>43861492358</v>
      </c>
      <c r="Z315" s="51">
        <v>2098181770</v>
      </c>
      <c r="AA315" s="51">
        <v>4083051976</v>
      </c>
      <c r="AB315" s="51"/>
      <c r="AC315" s="51">
        <f t="shared" si="50"/>
        <v>108229539539</v>
      </c>
      <c r="AD315" s="51"/>
      <c r="AE315" s="51"/>
      <c r="AF315" s="51"/>
      <c r="AG315" s="51"/>
      <c r="AH315" s="51">
        <v>23536310875</v>
      </c>
      <c r="AI315" s="51">
        <v>1698505606</v>
      </c>
      <c r="AJ315" s="51">
        <v>1815496221</v>
      </c>
      <c r="AK315" s="51">
        <v>4577162792</v>
      </c>
      <c r="AL315" s="51"/>
      <c r="AM315" s="51">
        <v>12636785217</v>
      </c>
      <c r="AN315" s="51">
        <f t="shared" si="48"/>
        <v>152493800250</v>
      </c>
      <c r="AO315" s="51"/>
      <c r="AP315" s="51"/>
      <c r="AQ315" s="51">
        <v>3992815040</v>
      </c>
      <c r="AR315" s="51"/>
      <c r="AS315" s="51"/>
      <c r="AT315" s="51">
        <v>24821446959</v>
      </c>
      <c r="AU315" s="51"/>
      <c r="AV315" s="51">
        <v>1815496221</v>
      </c>
      <c r="AW315" s="51">
        <v>3100229102</v>
      </c>
      <c r="AX315" s="51"/>
      <c r="AY315" s="51"/>
      <c r="AZ315" s="51">
        <v>7572414235</v>
      </c>
      <c r="BA315" s="51">
        <f>VLOOKUP(B315,[1]Hoja3!J$3:K$674,2,0)</f>
        <v>118791517</v>
      </c>
      <c r="BB315" s="51">
        <f>VLOOKUP(B315,'[2]anuladas en mayo gratuidad}'!K$2:L$55,2,0)</f>
        <v>1145827026</v>
      </c>
      <c r="BC315" s="52">
        <f t="shared" si="43"/>
        <v>192769166298</v>
      </c>
      <c r="BD315" s="51"/>
      <c r="BE315" s="51"/>
      <c r="BF315" s="51">
        <v>798563008</v>
      </c>
      <c r="BG315" s="51"/>
      <c r="BH315" s="51"/>
      <c r="BI315" s="51">
        <v>24918396139</v>
      </c>
      <c r="BJ315" s="51">
        <v>1010443961</v>
      </c>
      <c r="BK315" s="51">
        <v>1655539527</v>
      </c>
      <c r="BL315" s="51">
        <v>5688645194</v>
      </c>
      <c r="BM315" s="51"/>
      <c r="BN315" s="51"/>
      <c r="BO315" s="51">
        <v>938681879</v>
      </c>
      <c r="BP315" s="52">
        <v>227779436006</v>
      </c>
      <c r="BQ315" s="52"/>
      <c r="BR315" s="52"/>
      <c r="BS315" s="52">
        <v>798563008</v>
      </c>
      <c r="BT315" s="52"/>
      <c r="BU315" s="52"/>
      <c r="BV315" s="52"/>
      <c r="BW315" s="52">
        <v>24646803401</v>
      </c>
      <c r="BX315" s="52">
        <v>2517273231</v>
      </c>
      <c r="BY315" s="52">
        <v>10798574589</v>
      </c>
      <c r="BZ315" s="52">
        <v>1894782130</v>
      </c>
      <c r="CA315" s="52">
        <v>4882755127</v>
      </c>
      <c r="CB315" s="52"/>
      <c r="CC315" s="52"/>
      <c r="CD315" s="52"/>
      <c r="CE315" s="52">
        <v>40694368</v>
      </c>
      <c r="CF315" s="52">
        <v>-76768723</v>
      </c>
      <c r="CG315" s="52">
        <f t="shared" si="44"/>
        <v>273282113137</v>
      </c>
      <c r="CH315" s="52"/>
      <c r="CI315" s="52"/>
      <c r="CJ315" s="52">
        <v>798563008</v>
      </c>
      <c r="CK315" s="52"/>
      <c r="CL315" s="52">
        <v>24604919198</v>
      </c>
      <c r="CM315" s="52">
        <v>13964000000</v>
      </c>
      <c r="CN315" s="52">
        <v>1882261778</v>
      </c>
      <c r="CO315" s="52">
        <v>3394223383</v>
      </c>
      <c r="CP315" s="52"/>
      <c r="CQ315" s="52"/>
      <c r="CR315" s="52">
        <v>231021811</v>
      </c>
      <c r="CS315" s="52">
        <f t="shared" si="41"/>
        <v>318157102315</v>
      </c>
      <c r="CT315" s="53">
        <v>305413723272</v>
      </c>
      <c r="CU315" s="53">
        <f t="shared" si="42"/>
        <v>12743379043</v>
      </c>
      <c r="CV315" s="54">
        <f t="shared" si="45"/>
        <v>318157102315</v>
      </c>
      <c r="CW315" s="55">
        <f t="shared" si="46"/>
        <v>0</v>
      </c>
      <c r="CX315" s="16"/>
      <c r="CY315" s="16"/>
      <c r="CZ315" s="16"/>
    </row>
    <row r="316" spans="1:108" ht="15" customHeight="1" x14ac:dyDescent="0.2">
      <c r="A316" s="1">
        <v>8907020263</v>
      </c>
      <c r="B316" s="1">
        <v>890702026</v>
      </c>
      <c r="C316" s="9">
        <v>213673236</v>
      </c>
      <c r="D316" s="10" t="s">
        <v>2214</v>
      </c>
      <c r="E316" s="46" t="s">
        <v>1941</v>
      </c>
      <c r="F316" s="21"/>
      <c r="G316" s="50"/>
      <c r="H316" s="21"/>
      <c r="I316" s="50"/>
      <c r="J316" s="21"/>
      <c r="K316" s="21"/>
      <c r="L316" s="50"/>
      <c r="M316" s="51"/>
      <c r="N316" s="21"/>
      <c r="O316" s="50"/>
      <c r="P316" s="21"/>
      <c r="Q316" s="50"/>
      <c r="R316" s="21"/>
      <c r="S316" s="21"/>
      <c r="T316" s="50"/>
      <c r="U316" s="51">
        <f t="shared" si="40"/>
        <v>0</v>
      </c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>
        <v>60098815</v>
      </c>
      <c r="AZ316" s="51"/>
      <c r="BA316" s="51">
        <f>VLOOKUP(B316,[1]Hoja3!J$3:K$674,2,0)</f>
        <v>131162223</v>
      </c>
      <c r="BB316" s="51"/>
      <c r="BC316" s="52">
        <f t="shared" si="43"/>
        <v>191261038</v>
      </c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>
        <v>12019763</v>
      </c>
      <c r="BO316" s="51"/>
      <c r="BP316" s="52">
        <v>203280801</v>
      </c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>
        <v>12019763</v>
      </c>
      <c r="CD316" s="52"/>
      <c r="CE316" s="52"/>
      <c r="CF316" s="52"/>
      <c r="CG316" s="52">
        <f t="shared" si="44"/>
        <v>215300564</v>
      </c>
      <c r="CH316" s="52"/>
      <c r="CI316" s="52"/>
      <c r="CJ316" s="52"/>
      <c r="CK316" s="52"/>
      <c r="CL316" s="52"/>
      <c r="CM316" s="52"/>
      <c r="CN316" s="52"/>
      <c r="CO316" s="52"/>
      <c r="CP316" s="52"/>
      <c r="CQ316" s="52">
        <v>12019763</v>
      </c>
      <c r="CR316" s="52"/>
      <c r="CS316" s="52">
        <f t="shared" si="41"/>
        <v>227320327</v>
      </c>
      <c r="CT316" s="53">
        <v>96158104</v>
      </c>
      <c r="CU316" s="53">
        <f t="shared" si="42"/>
        <v>131162223</v>
      </c>
      <c r="CV316" s="54">
        <f t="shared" si="45"/>
        <v>227320327</v>
      </c>
      <c r="CW316" s="55">
        <f t="shared" si="46"/>
        <v>0</v>
      </c>
      <c r="CX316" s="16"/>
      <c r="CY316" s="16"/>
      <c r="CZ316" s="16"/>
    </row>
    <row r="317" spans="1:108" ht="15" customHeight="1" x14ac:dyDescent="0.2">
      <c r="A317" s="1">
        <v>8909840438</v>
      </c>
      <c r="B317" s="1">
        <v>890984043</v>
      </c>
      <c r="C317" s="9">
        <v>213705237</v>
      </c>
      <c r="D317" s="10" t="s">
        <v>83</v>
      </c>
      <c r="E317" s="46" t="s">
        <v>1114</v>
      </c>
      <c r="F317" s="21"/>
      <c r="G317" s="50"/>
      <c r="H317" s="21"/>
      <c r="I317" s="50"/>
      <c r="J317" s="21"/>
      <c r="K317" s="21"/>
      <c r="L317" s="50"/>
      <c r="M317" s="51"/>
      <c r="N317" s="21"/>
      <c r="O317" s="50"/>
      <c r="P317" s="21"/>
      <c r="Q317" s="50"/>
      <c r="R317" s="21"/>
      <c r="S317" s="21"/>
      <c r="T317" s="50"/>
      <c r="U317" s="51">
        <f t="shared" si="40"/>
        <v>0</v>
      </c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>
        <v>31368371</v>
      </c>
      <c r="AN317" s="51">
        <f>SUBTOTAL(9,AC317:AM317)</f>
        <v>31368371</v>
      </c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>
        <v>99769770</v>
      </c>
      <c r="AZ317" s="51"/>
      <c r="BA317" s="51">
        <f>VLOOKUP(B317,[1]Hoja3!J$3:K$674,2,0)</f>
        <v>212678584</v>
      </c>
      <c r="BB317" s="51"/>
      <c r="BC317" s="52">
        <f t="shared" si="43"/>
        <v>343816725</v>
      </c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>
        <v>19953954</v>
      </c>
      <c r="BO317" s="51"/>
      <c r="BP317" s="52">
        <v>363770679</v>
      </c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>
        <v>19953954</v>
      </c>
      <c r="CD317" s="52"/>
      <c r="CE317" s="52"/>
      <c r="CF317" s="52"/>
      <c r="CG317" s="52">
        <f t="shared" si="44"/>
        <v>383724633</v>
      </c>
      <c r="CH317" s="52"/>
      <c r="CI317" s="52"/>
      <c r="CJ317" s="52"/>
      <c r="CK317" s="52"/>
      <c r="CL317" s="52"/>
      <c r="CM317" s="52"/>
      <c r="CN317" s="52"/>
      <c r="CO317" s="52"/>
      <c r="CP317" s="52"/>
      <c r="CQ317" s="52">
        <v>19953954</v>
      </c>
      <c r="CR317" s="52"/>
      <c r="CS317" s="52">
        <f t="shared" si="41"/>
        <v>403678587</v>
      </c>
      <c r="CT317" s="53">
        <v>159631632</v>
      </c>
      <c r="CU317" s="53">
        <f t="shared" si="42"/>
        <v>244046955</v>
      </c>
      <c r="CV317" s="54">
        <f t="shared" si="45"/>
        <v>403678587</v>
      </c>
      <c r="CW317" s="55">
        <f t="shared" si="46"/>
        <v>0</v>
      </c>
      <c r="CX317" s="16"/>
      <c r="CY317" s="16"/>
      <c r="CZ317" s="16"/>
    </row>
    <row r="318" spans="1:108" ht="15" customHeight="1" x14ac:dyDescent="0.2">
      <c r="A318" s="1">
        <v>8000993106</v>
      </c>
      <c r="B318" s="1">
        <v>800099310</v>
      </c>
      <c r="C318" s="9">
        <v>217066170</v>
      </c>
      <c r="D318" s="10" t="s">
        <v>2155</v>
      </c>
      <c r="E318" s="47" t="s">
        <v>1020</v>
      </c>
      <c r="F318" s="21"/>
      <c r="G318" s="50"/>
      <c r="H318" s="21"/>
      <c r="I318" s="50">
        <f>3558618112+104511628</f>
        <v>3663129740</v>
      </c>
      <c r="J318" s="21">
        <v>267068334</v>
      </c>
      <c r="K318" s="21">
        <v>529272286</v>
      </c>
      <c r="L318" s="50"/>
      <c r="M318" s="52">
        <f t="shared" si="49"/>
        <v>4459470360</v>
      </c>
      <c r="N318" s="21"/>
      <c r="O318" s="50"/>
      <c r="P318" s="21"/>
      <c r="Q318" s="50">
        <f>3387860702+47505286</f>
        <v>3435365988</v>
      </c>
      <c r="R318" s="21">
        <v>267068334</v>
      </c>
      <c r="S318" s="21">
        <f>262203952+267068334</f>
        <v>529272286</v>
      </c>
      <c r="T318" s="50"/>
      <c r="U318" s="51">
        <f t="shared" si="40"/>
        <v>8691176968</v>
      </c>
      <c r="V318" s="51"/>
      <c r="W318" s="51"/>
      <c r="X318" s="51"/>
      <c r="Y318" s="51">
        <v>5100802875</v>
      </c>
      <c r="Z318" s="51">
        <v>264405256</v>
      </c>
      <c r="AA318" s="51">
        <v>615732553</v>
      </c>
      <c r="AB318" s="51"/>
      <c r="AC318" s="51">
        <f t="shared" si="50"/>
        <v>14672117652</v>
      </c>
      <c r="AD318" s="51"/>
      <c r="AE318" s="51"/>
      <c r="AF318" s="51"/>
      <c r="AG318" s="51"/>
      <c r="AH318" s="51">
        <v>3665271118</v>
      </c>
      <c r="AI318" s="51">
        <v>510521960</v>
      </c>
      <c r="AJ318" s="51">
        <v>274920973</v>
      </c>
      <c r="AK318" s="51">
        <v>692924494</v>
      </c>
      <c r="AL318" s="51"/>
      <c r="AM318" s="51">
        <v>1597241045</v>
      </c>
      <c r="AN318" s="51">
        <f>SUBTOTAL(9,AC318:AM318)</f>
        <v>21412997242</v>
      </c>
      <c r="AO318" s="51"/>
      <c r="AP318" s="51"/>
      <c r="AQ318" s="51">
        <v>638387995</v>
      </c>
      <c r="AR318" s="51"/>
      <c r="AS318" s="51"/>
      <c r="AT318" s="51">
        <v>3665271118</v>
      </c>
      <c r="AU318" s="51"/>
      <c r="AV318" s="51">
        <v>274920973</v>
      </c>
      <c r="AW318" s="51">
        <v>469339602</v>
      </c>
      <c r="AX318" s="51"/>
      <c r="AY318" s="51"/>
      <c r="AZ318" s="51">
        <v>379248425</v>
      </c>
      <c r="BA318" s="51">
        <f>VLOOKUP(B318,[1]Hoja3!J$3:K$674,2,0)</f>
        <v>236890931</v>
      </c>
      <c r="BB318" s="51"/>
      <c r="BC318" s="52">
        <f t="shared" si="43"/>
        <v>27077056286</v>
      </c>
      <c r="BD318" s="51"/>
      <c r="BE318" s="51"/>
      <c r="BF318" s="51">
        <v>127677599</v>
      </c>
      <c r="BG318" s="51"/>
      <c r="BH318" s="51"/>
      <c r="BI318" s="51">
        <v>3805333696</v>
      </c>
      <c r="BJ318" s="51">
        <v>205432384</v>
      </c>
      <c r="BK318" s="51">
        <v>287048213</v>
      </c>
      <c r="BL318" s="51">
        <v>732316253</v>
      </c>
      <c r="BM318" s="51"/>
      <c r="BN318" s="51"/>
      <c r="BO318" s="51"/>
      <c r="BP318" s="52">
        <v>32234864431</v>
      </c>
      <c r="BQ318" s="52"/>
      <c r="BR318" s="52"/>
      <c r="BS318" s="52">
        <v>127677599</v>
      </c>
      <c r="BT318" s="52"/>
      <c r="BU318" s="52"/>
      <c r="BV318" s="52"/>
      <c r="BW318" s="52">
        <v>3771157443</v>
      </c>
      <c r="BX318" s="52"/>
      <c r="BY318" s="52">
        <v>1689404414</v>
      </c>
      <c r="BZ318" s="52">
        <v>278427204</v>
      </c>
      <c r="CA318" s="52">
        <v>729792210</v>
      </c>
      <c r="CB318" s="52"/>
      <c r="CC318" s="52"/>
      <c r="CD318" s="52"/>
      <c r="CE318" s="52"/>
      <c r="CF318" s="52"/>
      <c r="CG318" s="52">
        <f t="shared" si="44"/>
        <v>38831323301</v>
      </c>
      <c r="CH318" s="52"/>
      <c r="CI318" s="52"/>
      <c r="CJ318" s="52">
        <v>127677599</v>
      </c>
      <c r="CK318" s="52"/>
      <c r="CL318" s="52">
        <v>3810150466</v>
      </c>
      <c r="CM318" s="52">
        <v>419985274</v>
      </c>
      <c r="CN318" s="52">
        <v>282623278</v>
      </c>
      <c r="CO318" s="52">
        <v>510302314</v>
      </c>
      <c r="CP318" s="52"/>
      <c r="CQ318" s="52"/>
      <c r="CR318" s="52"/>
      <c r="CS318" s="52">
        <f t="shared" si="41"/>
        <v>43982062232</v>
      </c>
      <c r="CT318" s="53">
        <v>42147930256</v>
      </c>
      <c r="CU318" s="53">
        <f t="shared" si="42"/>
        <v>1834131976</v>
      </c>
      <c r="CV318" s="54">
        <f t="shared" si="45"/>
        <v>43982062232</v>
      </c>
      <c r="CW318" s="55">
        <f t="shared" si="46"/>
        <v>0</v>
      </c>
      <c r="CX318" s="16"/>
      <c r="CY318" s="16"/>
      <c r="CZ318" s="16"/>
    </row>
    <row r="319" spans="1:108" ht="15" customHeight="1" x14ac:dyDescent="0.2">
      <c r="A319" s="1">
        <v>8918551381</v>
      </c>
      <c r="B319" s="1">
        <v>891855138</v>
      </c>
      <c r="C319" s="9">
        <v>213815238</v>
      </c>
      <c r="D319" s="10" t="s">
        <v>2156</v>
      </c>
      <c r="E319" s="72" t="s">
        <v>2093</v>
      </c>
      <c r="F319" s="21"/>
      <c r="G319" s="50"/>
      <c r="H319" s="21"/>
      <c r="I319" s="57">
        <f>3001228313+91050509</f>
        <v>3092278822</v>
      </c>
      <c r="J319" s="21">
        <v>191746066</v>
      </c>
      <c r="K319" s="21">
        <v>380004467</v>
      </c>
      <c r="L319" s="50"/>
      <c r="M319" s="52">
        <f t="shared" si="49"/>
        <v>3664029355</v>
      </c>
      <c r="N319" s="21"/>
      <c r="O319" s="50"/>
      <c r="P319" s="21"/>
      <c r="Q319" s="50">
        <f>2875276146+41386595</f>
        <v>2916662741</v>
      </c>
      <c r="R319" s="21">
        <v>191746066</v>
      </c>
      <c r="S319" s="21">
        <f>188258401+191746066</f>
        <v>380004467</v>
      </c>
      <c r="T319" s="50"/>
      <c r="U319" s="51">
        <f t="shared" si="40"/>
        <v>7152442629</v>
      </c>
      <c r="V319" s="51"/>
      <c r="W319" s="51"/>
      <c r="X319" s="51"/>
      <c r="Y319" s="51">
        <v>4341065920</v>
      </c>
      <c r="Z319" s="51">
        <v>195115161</v>
      </c>
      <c r="AA319" s="51">
        <v>451541569</v>
      </c>
      <c r="AB319" s="51"/>
      <c r="AC319" s="51">
        <f t="shared" si="50"/>
        <v>12140165279</v>
      </c>
      <c r="AD319" s="51"/>
      <c r="AE319" s="51"/>
      <c r="AF319" s="51"/>
      <c r="AG319" s="51"/>
      <c r="AH319" s="51">
        <v>2783979191</v>
      </c>
      <c r="AI319" s="51">
        <v>403917514</v>
      </c>
      <c r="AJ319" s="51">
        <v>197214615</v>
      </c>
      <c r="AK319" s="51">
        <v>496799645</v>
      </c>
      <c r="AL319" s="51"/>
      <c r="AM319" s="51">
        <v>1347061593</v>
      </c>
      <c r="AN319" s="51">
        <f>SUBTOTAL(9,AC319:AM319)</f>
        <v>17369137837</v>
      </c>
      <c r="AO319" s="51"/>
      <c r="AP319" s="51"/>
      <c r="AQ319" s="51">
        <v>386220780</v>
      </c>
      <c r="AR319" s="51"/>
      <c r="AS319" s="51"/>
      <c r="AT319" s="51">
        <v>2783979191</v>
      </c>
      <c r="AU319" s="51"/>
      <c r="AV319" s="51">
        <v>197214615</v>
      </c>
      <c r="AW319" s="51">
        <v>336411415</v>
      </c>
      <c r="AX319" s="51"/>
      <c r="AY319" s="51"/>
      <c r="AZ319" s="51">
        <v>381334267</v>
      </c>
      <c r="BA319" s="51">
        <f>VLOOKUP(B319,[1]Hoja3!J$3:K$674,2,0)</f>
        <v>15903443</v>
      </c>
      <c r="BB319" s="51">
        <f>VLOOKUP(B319,'[2]anuladas en mayo gratuidad}'!K$2:L$55,2,0)</f>
        <v>27811306</v>
      </c>
      <c r="BC319" s="52">
        <f t="shared" si="43"/>
        <v>21442390242</v>
      </c>
      <c r="BD319" s="51"/>
      <c r="BE319" s="51"/>
      <c r="BF319" s="51">
        <v>77244156</v>
      </c>
      <c r="BG319" s="51"/>
      <c r="BH319" s="51"/>
      <c r="BI319" s="51">
        <v>3078410413</v>
      </c>
      <c r="BJ319" s="51">
        <v>140607417</v>
      </c>
      <c r="BK319" s="51">
        <v>193235858</v>
      </c>
      <c r="BL319" s="51">
        <v>488582895</v>
      </c>
      <c r="BM319" s="51"/>
      <c r="BN319" s="51"/>
      <c r="BO319" s="51"/>
      <c r="BP319" s="52">
        <v>25420470981</v>
      </c>
      <c r="BQ319" s="52"/>
      <c r="BR319" s="52"/>
      <c r="BS319" s="52">
        <v>77244156</v>
      </c>
      <c r="BT319" s="52"/>
      <c r="BU319" s="52"/>
      <c r="BV319" s="52"/>
      <c r="BW319" s="52">
        <v>2925207949</v>
      </c>
      <c r="BX319" s="52"/>
      <c r="BY319" s="52">
        <v>1289835345</v>
      </c>
      <c r="BZ319" s="52">
        <v>197129226</v>
      </c>
      <c r="CA319" s="52">
        <v>516085457</v>
      </c>
      <c r="CB319" s="52"/>
      <c r="CC319" s="52"/>
      <c r="CD319" s="52"/>
      <c r="CE319" s="52">
        <v>27811306</v>
      </c>
      <c r="CF319" s="52"/>
      <c r="CG319" s="52">
        <f t="shared" si="44"/>
        <v>30453784420</v>
      </c>
      <c r="CH319" s="52"/>
      <c r="CI319" s="52"/>
      <c r="CJ319" s="52">
        <v>77244156</v>
      </c>
      <c r="CK319" s="52"/>
      <c r="CL319" s="52">
        <v>2876038025</v>
      </c>
      <c r="CM319" s="52">
        <v>105953008</v>
      </c>
      <c r="CN319" s="52">
        <v>196791092</v>
      </c>
      <c r="CO319" s="52">
        <v>355626143</v>
      </c>
      <c r="CP319" s="52"/>
      <c r="CQ319" s="52"/>
      <c r="CR319" s="52"/>
      <c r="CS319" s="52">
        <f t="shared" si="41"/>
        <v>34065436844</v>
      </c>
      <c r="CT319" s="53">
        <v>32702471808</v>
      </c>
      <c r="CU319" s="53">
        <f t="shared" si="42"/>
        <v>1362965036</v>
      </c>
      <c r="CV319" s="54">
        <f t="shared" si="45"/>
        <v>34065436844</v>
      </c>
      <c r="CW319" s="55">
        <f t="shared" si="46"/>
        <v>0</v>
      </c>
      <c r="CX319" s="16"/>
      <c r="CY319" s="16"/>
      <c r="CZ319" s="16"/>
    </row>
    <row r="320" spans="1:108" ht="15" customHeight="1" x14ac:dyDescent="0.2">
      <c r="A320" s="1">
        <v>8000992376</v>
      </c>
      <c r="B320" s="1">
        <v>800099237</v>
      </c>
      <c r="C320" s="9">
        <v>213954239</v>
      </c>
      <c r="D320" s="10" t="s">
        <v>761</v>
      </c>
      <c r="E320" s="46" t="s">
        <v>1779</v>
      </c>
      <c r="F320" s="21"/>
      <c r="G320" s="50"/>
      <c r="H320" s="21"/>
      <c r="I320" s="50"/>
      <c r="J320" s="21"/>
      <c r="K320" s="21"/>
      <c r="L320" s="50"/>
      <c r="M320" s="51"/>
      <c r="N320" s="21"/>
      <c r="O320" s="50"/>
      <c r="P320" s="21"/>
      <c r="Q320" s="50"/>
      <c r="R320" s="21"/>
      <c r="S320" s="21"/>
      <c r="T320" s="50"/>
      <c r="U320" s="51">
        <f t="shared" si="40"/>
        <v>0</v>
      </c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>
        <v>28972705</v>
      </c>
      <c r="AZ320" s="51"/>
      <c r="BA320" s="51">
        <f>VLOOKUP(B320,[1]Hoja3!J$3:K$674,2,0)</f>
        <v>58003226</v>
      </c>
      <c r="BB320" s="51"/>
      <c r="BC320" s="52">
        <f t="shared" si="43"/>
        <v>86975931</v>
      </c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>
        <v>5794541</v>
      </c>
      <c r="BO320" s="51"/>
      <c r="BP320" s="52">
        <v>92770472</v>
      </c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>
        <v>5794541</v>
      </c>
      <c r="CD320" s="52"/>
      <c r="CE320" s="52"/>
      <c r="CF320" s="52"/>
      <c r="CG320" s="52">
        <f t="shared" si="44"/>
        <v>98565013</v>
      </c>
      <c r="CH320" s="52"/>
      <c r="CI320" s="52"/>
      <c r="CJ320" s="52"/>
      <c r="CK320" s="52"/>
      <c r="CL320" s="52"/>
      <c r="CM320" s="52"/>
      <c r="CN320" s="52"/>
      <c r="CO320" s="52"/>
      <c r="CP320" s="52"/>
      <c r="CQ320" s="52">
        <v>5794541</v>
      </c>
      <c r="CR320" s="52"/>
      <c r="CS320" s="52">
        <f t="shared" si="41"/>
        <v>104359554</v>
      </c>
      <c r="CT320" s="53">
        <v>46356328</v>
      </c>
      <c r="CU320" s="53">
        <f t="shared" si="42"/>
        <v>58003226</v>
      </c>
      <c r="CV320" s="54">
        <f t="shared" si="45"/>
        <v>104359554</v>
      </c>
      <c r="CW320" s="55">
        <f t="shared" si="46"/>
        <v>0</v>
      </c>
      <c r="CX320" s="16"/>
      <c r="CY320" s="16"/>
      <c r="CZ320" s="16"/>
    </row>
    <row r="321" spans="1:108" ht="15" customHeight="1" x14ac:dyDescent="0.2">
      <c r="A321" s="1">
        <v>8909836647</v>
      </c>
      <c r="B321" s="1">
        <v>890983664</v>
      </c>
      <c r="C321" s="9">
        <v>214005240</v>
      </c>
      <c r="D321" s="10" t="s">
        <v>84</v>
      </c>
      <c r="E321" s="46" t="s">
        <v>1115</v>
      </c>
      <c r="F321" s="21"/>
      <c r="G321" s="50"/>
      <c r="H321" s="21"/>
      <c r="I321" s="50"/>
      <c r="J321" s="21"/>
      <c r="K321" s="21"/>
      <c r="L321" s="50"/>
      <c r="M321" s="51"/>
      <c r="N321" s="21"/>
      <c r="O321" s="50"/>
      <c r="P321" s="21"/>
      <c r="Q321" s="50"/>
      <c r="R321" s="21"/>
      <c r="S321" s="21"/>
      <c r="T321" s="50"/>
      <c r="U321" s="51">
        <f t="shared" si="40"/>
        <v>0</v>
      </c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>
        <v>79613410</v>
      </c>
      <c r="AZ321" s="51"/>
      <c r="BA321" s="51">
        <f>VLOOKUP(B321,[1]Hoja3!J$3:K$674,2,0)</f>
        <v>162555251</v>
      </c>
      <c r="BB321" s="51"/>
      <c r="BC321" s="52">
        <f t="shared" si="43"/>
        <v>242168661</v>
      </c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>
        <v>15922682</v>
      </c>
      <c r="BO321" s="51"/>
      <c r="BP321" s="52">
        <v>258091343</v>
      </c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>
        <v>15922682</v>
      </c>
      <c r="CD321" s="52"/>
      <c r="CE321" s="52"/>
      <c r="CF321" s="52"/>
      <c r="CG321" s="52">
        <f t="shared" si="44"/>
        <v>274014025</v>
      </c>
      <c r="CH321" s="52"/>
      <c r="CI321" s="52"/>
      <c r="CJ321" s="52"/>
      <c r="CK321" s="52"/>
      <c r="CL321" s="52"/>
      <c r="CM321" s="52"/>
      <c r="CN321" s="52"/>
      <c r="CO321" s="52"/>
      <c r="CP321" s="52"/>
      <c r="CQ321" s="52">
        <v>15922682</v>
      </c>
      <c r="CR321" s="52"/>
      <c r="CS321" s="52">
        <f t="shared" si="41"/>
        <v>289936707</v>
      </c>
      <c r="CT321" s="53">
        <v>127381456</v>
      </c>
      <c r="CU321" s="53">
        <f t="shared" si="42"/>
        <v>162555251</v>
      </c>
      <c r="CV321" s="54">
        <f t="shared" si="45"/>
        <v>289936707</v>
      </c>
      <c r="CW321" s="55">
        <f t="shared" si="46"/>
        <v>0</v>
      </c>
      <c r="CX321" s="16"/>
      <c r="CY321" s="16"/>
      <c r="CZ321" s="16"/>
    </row>
    <row r="322" spans="1:108" ht="15" customHeight="1" x14ac:dyDescent="0.2">
      <c r="A322" s="1">
        <v>8001005184</v>
      </c>
      <c r="B322" s="1">
        <v>800100518</v>
      </c>
      <c r="C322" s="9">
        <v>214376243</v>
      </c>
      <c r="D322" s="10" t="s">
        <v>922</v>
      </c>
      <c r="E322" s="46" t="s">
        <v>1982</v>
      </c>
      <c r="F322" s="21"/>
      <c r="G322" s="50"/>
      <c r="H322" s="21"/>
      <c r="I322" s="50"/>
      <c r="J322" s="21"/>
      <c r="K322" s="21"/>
      <c r="L322" s="50"/>
      <c r="M322" s="51"/>
      <c r="N322" s="21"/>
      <c r="O322" s="50"/>
      <c r="P322" s="21"/>
      <c r="Q322" s="50"/>
      <c r="R322" s="21"/>
      <c r="S322" s="21"/>
      <c r="T322" s="50"/>
      <c r="U322" s="51">
        <f t="shared" si="40"/>
        <v>0</v>
      </c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>
        <v>88462444</v>
      </c>
      <c r="AN322" s="51">
        <f t="shared" ref="AN322:AN327" si="51">SUBTOTAL(9,AC322:AM322)</f>
        <v>88462444</v>
      </c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>
        <v>64325060</v>
      </c>
      <c r="AZ322" s="51"/>
      <c r="BA322" s="51">
        <f>VLOOKUP(B322,[1]Hoja3!J$3:K$674,2,0)</f>
        <v>47402056</v>
      </c>
      <c r="BB322" s="51"/>
      <c r="BC322" s="52">
        <f t="shared" si="43"/>
        <v>200189560</v>
      </c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>
        <v>12865012</v>
      </c>
      <c r="BO322" s="51"/>
      <c r="BP322" s="52">
        <v>213054572</v>
      </c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>
        <v>12865012</v>
      </c>
      <c r="CD322" s="52"/>
      <c r="CE322" s="52"/>
      <c r="CF322" s="52"/>
      <c r="CG322" s="52">
        <f t="shared" si="44"/>
        <v>225919584</v>
      </c>
      <c r="CH322" s="52"/>
      <c r="CI322" s="52"/>
      <c r="CJ322" s="52"/>
      <c r="CK322" s="52"/>
      <c r="CL322" s="52"/>
      <c r="CM322" s="52"/>
      <c r="CN322" s="52"/>
      <c r="CO322" s="52"/>
      <c r="CP322" s="52"/>
      <c r="CQ322" s="52">
        <v>12865012</v>
      </c>
      <c r="CR322" s="52"/>
      <c r="CS322" s="52">
        <f t="shared" si="41"/>
        <v>238784596</v>
      </c>
      <c r="CT322" s="53">
        <v>102920096</v>
      </c>
      <c r="CU322" s="53">
        <f t="shared" si="42"/>
        <v>135864500</v>
      </c>
      <c r="CV322" s="54">
        <f t="shared" si="45"/>
        <v>238784596</v>
      </c>
      <c r="CW322" s="55">
        <f t="shared" si="46"/>
        <v>0</v>
      </c>
      <c r="CX322" s="16"/>
      <c r="CY322" s="16"/>
      <c r="CZ322" s="16"/>
    </row>
    <row r="323" spans="1:108" ht="15" customHeight="1" x14ac:dyDescent="0.2">
      <c r="A323" s="1">
        <v>8909842212</v>
      </c>
      <c r="B323" s="1">
        <v>890984221</v>
      </c>
      <c r="C323" s="9">
        <v>215005250</v>
      </c>
      <c r="D323" s="10" t="s">
        <v>85</v>
      </c>
      <c r="E323" s="46" t="s">
        <v>1116</v>
      </c>
      <c r="F323" s="21"/>
      <c r="G323" s="50"/>
      <c r="H323" s="21"/>
      <c r="I323" s="50"/>
      <c r="J323" s="21"/>
      <c r="K323" s="21"/>
      <c r="L323" s="50"/>
      <c r="M323" s="51"/>
      <c r="N323" s="21"/>
      <c r="O323" s="50"/>
      <c r="P323" s="21"/>
      <c r="Q323" s="50"/>
      <c r="R323" s="21"/>
      <c r="S323" s="21"/>
      <c r="T323" s="50"/>
      <c r="U323" s="51">
        <f t="shared" ref="U323:U386" si="52">SUM(M323:T323)</f>
        <v>0</v>
      </c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>
        <v>206798157</v>
      </c>
      <c r="AN323" s="51">
        <f t="shared" si="51"/>
        <v>206798157</v>
      </c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>
        <v>557695245</v>
      </c>
      <c r="AZ323" s="51"/>
      <c r="BA323" s="51">
        <f>VLOOKUP(B323,[1]Hoja3!J$3:K$674,2,0)</f>
        <v>642722350</v>
      </c>
      <c r="BB323" s="51"/>
      <c r="BC323" s="52">
        <f t="shared" si="43"/>
        <v>1407215752</v>
      </c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>
        <v>111539049</v>
      </c>
      <c r="BO323" s="51"/>
      <c r="BP323" s="52">
        <v>1518754801</v>
      </c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>
        <v>111539049</v>
      </c>
      <c r="CD323" s="52"/>
      <c r="CE323" s="52"/>
      <c r="CF323" s="52"/>
      <c r="CG323" s="52">
        <f t="shared" si="44"/>
        <v>1630293850</v>
      </c>
      <c r="CH323" s="52"/>
      <c r="CI323" s="52"/>
      <c r="CJ323" s="52"/>
      <c r="CK323" s="52"/>
      <c r="CL323" s="52"/>
      <c r="CM323" s="52"/>
      <c r="CN323" s="52"/>
      <c r="CO323" s="52"/>
      <c r="CP323" s="52"/>
      <c r="CQ323" s="52">
        <v>111539049</v>
      </c>
      <c r="CR323" s="52"/>
      <c r="CS323" s="52">
        <f t="shared" ref="CS323:CS386" si="53">SUM(CG323:CR323)</f>
        <v>1741832899</v>
      </c>
      <c r="CT323" s="53">
        <v>892312392</v>
      </c>
      <c r="CU323" s="53">
        <f t="shared" ref="CU323:CU386" si="54">+AM323+BA323-BB323+BO323+CE323+CF323+CR323</f>
        <v>849520507</v>
      </c>
      <c r="CV323" s="54">
        <f t="shared" si="45"/>
        <v>1741832899</v>
      </c>
      <c r="CW323" s="55">
        <f t="shared" si="46"/>
        <v>0</v>
      </c>
      <c r="CX323" s="16"/>
      <c r="CY323" s="16"/>
      <c r="CZ323" s="16"/>
    </row>
    <row r="324" spans="1:108" ht="15" customHeight="1" x14ac:dyDescent="0.2">
      <c r="A324" s="1">
        <v>8917800442</v>
      </c>
      <c r="B324" s="1">
        <v>891780044</v>
      </c>
      <c r="C324" s="9">
        <v>214547245</v>
      </c>
      <c r="D324" s="10" t="s">
        <v>645</v>
      </c>
      <c r="E324" s="46" t="s">
        <v>1664</v>
      </c>
      <c r="F324" s="21"/>
      <c r="G324" s="50"/>
      <c r="H324" s="21"/>
      <c r="I324" s="50"/>
      <c r="J324" s="21"/>
      <c r="K324" s="21"/>
      <c r="L324" s="50"/>
      <c r="M324" s="51"/>
      <c r="N324" s="21"/>
      <c r="O324" s="50"/>
      <c r="P324" s="21"/>
      <c r="Q324" s="50"/>
      <c r="R324" s="21"/>
      <c r="S324" s="21"/>
      <c r="T324" s="50"/>
      <c r="U324" s="51">
        <f t="shared" si="52"/>
        <v>0</v>
      </c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>
        <v>566150111</v>
      </c>
      <c r="AN324" s="51">
        <f t="shared" si="51"/>
        <v>566150111</v>
      </c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>
        <v>822805385</v>
      </c>
      <c r="AZ324" s="51"/>
      <c r="BA324" s="51">
        <f>VLOOKUP(B324,[1]Hoja3!J$3:K$674,2,0)</f>
        <v>806485719</v>
      </c>
      <c r="BB324" s="51">
        <f>VLOOKUP(B324,'[2]anuladas en mayo gratuidad}'!K$2:L$55,2,0)</f>
        <v>46932565</v>
      </c>
      <c r="BC324" s="52">
        <f t="shared" ref="BC324:BC387" si="55">SUM(AN324:BA324)-BB324</f>
        <v>2148508650</v>
      </c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>
        <v>164561077</v>
      </c>
      <c r="BO324" s="51">
        <v>46932565</v>
      </c>
      <c r="BP324" s="52">
        <v>2360002292</v>
      </c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>
        <v>164561077</v>
      </c>
      <c r="CD324" s="52"/>
      <c r="CE324" s="52"/>
      <c r="CF324" s="52"/>
      <c r="CG324" s="52">
        <f t="shared" ref="CG324:CG387" si="56">SUM(BP324:CF324)</f>
        <v>2524563369</v>
      </c>
      <c r="CH324" s="52"/>
      <c r="CI324" s="52"/>
      <c r="CJ324" s="52"/>
      <c r="CK324" s="52"/>
      <c r="CL324" s="52"/>
      <c r="CM324" s="52"/>
      <c r="CN324" s="52"/>
      <c r="CO324" s="52"/>
      <c r="CP324" s="52"/>
      <c r="CQ324" s="52">
        <v>164561077</v>
      </c>
      <c r="CR324" s="52"/>
      <c r="CS324" s="52">
        <f t="shared" si="53"/>
        <v>2689124446</v>
      </c>
      <c r="CT324" s="53">
        <v>1316488616</v>
      </c>
      <c r="CU324" s="53">
        <f t="shared" si="54"/>
        <v>1372635830</v>
      </c>
      <c r="CV324" s="54">
        <f t="shared" ref="CV324:CV387" si="57">+CT324+CU324</f>
        <v>2689124446</v>
      </c>
      <c r="CW324" s="55">
        <f t="shared" ref="CW324:CW387" si="58">+CS324-CV324</f>
        <v>0</v>
      </c>
      <c r="CX324" s="16"/>
      <c r="CY324" s="16"/>
      <c r="CZ324" s="16"/>
    </row>
    <row r="325" spans="1:108" ht="15" customHeight="1" x14ac:dyDescent="0.2">
      <c r="A325" s="1">
        <v>8001005152</v>
      </c>
      <c r="B325" s="1">
        <v>800100515</v>
      </c>
      <c r="C325" s="9">
        <v>214676246</v>
      </c>
      <c r="D325" s="10" t="s">
        <v>923</v>
      </c>
      <c r="E325" s="46" t="s">
        <v>1983</v>
      </c>
      <c r="F325" s="21"/>
      <c r="G325" s="50"/>
      <c r="H325" s="21"/>
      <c r="I325" s="50"/>
      <c r="J325" s="21"/>
      <c r="K325" s="21"/>
      <c r="L325" s="50"/>
      <c r="M325" s="51"/>
      <c r="N325" s="21"/>
      <c r="O325" s="50"/>
      <c r="P325" s="21"/>
      <c r="Q325" s="50"/>
      <c r="R325" s="21"/>
      <c r="S325" s="21"/>
      <c r="T325" s="50"/>
      <c r="U325" s="51">
        <f t="shared" si="52"/>
        <v>0</v>
      </c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>
        <v>90084690</v>
      </c>
      <c r="AN325" s="51">
        <f t="shared" si="51"/>
        <v>90084690</v>
      </c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>
        <v>53431960</v>
      </c>
      <c r="AZ325" s="51"/>
      <c r="BA325" s="51"/>
      <c r="BB325" s="51"/>
      <c r="BC325" s="52">
        <f t="shared" si="55"/>
        <v>143516650</v>
      </c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>
        <v>10686392</v>
      </c>
      <c r="BO325" s="51"/>
      <c r="BP325" s="52">
        <v>154203042</v>
      </c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>
        <v>10686392</v>
      </c>
      <c r="CD325" s="52"/>
      <c r="CE325" s="52"/>
      <c r="CF325" s="52"/>
      <c r="CG325" s="52">
        <f t="shared" si="56"/>
        <v>164889434</v>
      </c>
      <c r="CH325" s="52"/>
      <c r="CI325" s="52"/>
      <c r="CJ325" s="52"/>
      <c r="CK325" s="52"/>
      <c r="CL325" s="52"/>
      <c r="CM325" s="52"/>
      <c r="CN325" s="52"/>
      <c r="CO325" s="52"/>
      <c r="CP325" s="52"/>
      <c r="CQ325" s="52">
        <v>10686392</v>
      </c>
      <c r="CR325" s="52"/>
      <c r="CS325" s="52">
        <f t="shared" si="53"/>
        <v>175575826</v>
      </c>
      <c r="CT325" s="53">
        <v>85491136</v>
      </c>
      <c r="CU325" s="53">
        <f t="shared" si="54"/>
        <v>90084690</v>
      </c>
      <c r="CV325" s="54">
        <f t="shared" si="57"/>
        <v>175575826</v>
      </c>
      <c r="CW325" s="55">
        <f t="shared" si="58"/>
        <v>0</v>
      </c>
      <c r="CX325" s="16"/>
      <c r="CY325" s="16"/>
      <c r="CZ325" s="16"/>
    </row>
    <row r="326" spans="1:108" ht="15" customHeight="1" x14ac:dyDescent="0.2">
      <c r="A326" s="1">
        <v>8920990011</v>
      </c>
      <c r="B326" s="1">
        <v>892099001</v>
      </c>
      <c r="C326" s="9">
        <v>214550245</v>
      </c>
      <c r="D326" s="10" t="s">
        <v>671</v>
      </c>
      <c r="E326" s="46" t="s">
        <v>1692</v>
      </c>
      <c r="F326" s="21"/>
      <c r="G326" s="50"/>
      <c r="H326" s="21"/>
      <c r="I326" s="50"/>
      <c r="J326" s="21"/>
      <c r="K326" s="21"/>
      <c r="L326" s="50"/>
      <c r="M326" s="51"/>
      <c r="N326" s="21"/>
      <c r="O326" s="50"/>
      <c r="P326" s="21"/>
      <c r="Q326" s="50"/>
      <c r="R326" s="21"/>
      <c r="S326" s="21"/>
      <c r="T326" s="50"/>
      <c r="U326" s="51">
        <f t="shared" si="52"/>
        <v>0</v>
      </c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>
        <v>39344555</v>
      </c>
      <c r="AN326" s="51">
        <f t="shared" si="51"/>
        <v>39344555</v>
      </c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2">
        <f t="shared" si="55"/>
        <v>39344555</v>
      </c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>
        <v>0</v>
      </c>
      <c r="BO326" s="51"/>
      <c r="BP326" s="52">
        <v>39344555</v>
      </c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>
        <v>0</v>
      </c>
      <c r="CD326" s="52"/>
      <c r="CE326" s="52"/>
      <c r="CF326" s="52"/>
      <c r="CG326" s="52">
        <f t="shared" si="56"/>
        <v>39344555</v>
      </c>
      <c r="CH326" s="52"/>
      <c r="CI326" s="52"/>
      <c r="CJ326" s="52"/>
      <c r="CK326" s="52"/>
      <c r="CL326" s="52"/>
      <c r="CM326" s="52"/>
      <c r="CN326" s="52"/>
      <c r="CO326" s="52"/>
      <c r="CP326" s="52"/>
      <c r="CQ326" s="52">
        <v>0</v>
      </c>
      <c r="CR326" s="52"/>
      <c r="CS326" s="52">
        <f t="shared" si="53"/>
        <v>39344555</v>
      </c>
      <c r="CT326" s="53"/>
      <c r="CU326" s="53">
        <f t="shared" si="54"/>
        <v>39344555</v>
      </c>
      <c r="CV326" s="54">
        <f t="shared" si="57"/>
        <v>39344555</v>
      </c>
      <c r="CW326" s="55">
        <f t="shared" si="58"/>
        <v>0</v>
      </c>
      <c r="CX326" s="16"/>
      <c r="CY326" s="16"/>
      <c r="CZ326" s="16"/>
    </row>
    <row r="327" spans="1:108" ht="15" customHeight="1" x14ac:dyDescent="0.2">
      <c r="A327" s="1">
        <v>8904800221</v>
      </c>
      <c r="B327" s="1">
        <v>890480022</v>
      </c>
      <c r="C327" s="9">
        <v>214413244</v>
      </c>
      <c r="D327" s="10" t="s">
        <v>191</v>
      </c>
      <c r="E327" s="46" t="s">
        <v>1221</v>
      </c>
      <c r="F327" s="21"/>
      <c r="G327" s="50"/>
      <c r="H327" s="21"/>
      <c r="I327" s="50"/>
      <c r="J327" s="21"/>
      <c r="K327" s="21"/>
      <c r="L327" s="50"/>
      <c r="M327" s="51"/>
      <c r="N327" s="21"/>
      <c r="O327" s="50"/>
      <c r="P327" s="21"/>
      <c r="Q327" s="50"/>
      <c r="R327" s="21"/>
      <c r="S327" s="21"/>
      <c r="T327" s="50"/>
      <c r="U327" s="51">
        <f t="shared" si="52"/>
        <v>0</v>
      </c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>
        <v>1135746997</v>
      </c>
      <c r="AN327" s="51">
        <f t="shared" si="51"/>
        <v>1135746997</v>
      </c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>
        <v>988621545</v>
      </c>
      <c r="AZ327" s="51"/>
      <c r="BA327" s="51"/>
      <c r="BB327" s="51"/>
      <c r="BC327" s="52">
        <f t="shared" si="55"/>
        <v>2124368542</v>
      </c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>
        <v>197724309</v>
      </c>
      <c r="BO327" s="51"/>
      <c r="BP327" s="52">
        <v>2322092851</v>
      </c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>
        <v>197724309</v>
      </c>
      <c r="CD327" s="52"/>
      <c r="CE327" s="52"/>
      <c r="CF327" s="52"/>
      <c r="CG327" s="52">
        <f t="shared" si="56"/>
        <v>2519817160</v>
      </c>
      <c r="CH327" s="52"/>
      <c r="CI327" s="52"/>
      <c r="CJ327" s="52"/>
      <c r="CK327" s="52"/>
      <c r="CL327" s="52"/>
      <c r="CM327" s="52"/>
      <c r="CN327" s="52"/>
      <c r="CO327" s="52"/>
      <c r="CP327" s="52"/>
      <c r="CQ327" s="52">
        <v>197724309</v>
      </c>
      <c r="CR327" s="52"/>
      <c r="CS327" s="52">
        <f t="shared" si="53"/>
        <v>2717541469</v>
      </c>
      <c r="CT327" s="53">
        <v>1581794472</v>
      </c>
      <c r="CU327" s="53">
        <f t="shared" si="54"/>
        <v>1135746997</v>
      </c>
      <c r="CV327" s="54">
        <f t="shared" si="57"/>
        <v>2717541469</v>
      </c>
      <c r="CW327" s="55">
        <f t="shared" si="58"/>
        <v>0</v>
      </c>
      <c r="CX327" s="16"/>
      <c r="CY327" s="8"/>
      <c r="CZ327" s="8"/>
      <c r="DA327" s="8"/>
      <c r="DB327" s="8"/>
      <c r="DC327" s="8"/>
      <c r="DD327" s="8"/>
    </row>
    <row r="328" spans="1:108" ht="15" customHeight="1" x14ac:dyDescent="0.2">
      <c r="A328" s="1">
        <v>8916800619</v>
      </c>
      <c r="B328" s="1">
        <v>891680061</v>
      </c>
      <c r="C328" s="9">
        <v>214527245</v>
      </c>
      <c r="D328" s="10" t="s">
        <v>578</v>
      </c>
      <c r="E328" s="46" t="s">
        <v>1598</v>
      </c>
      <c r="F328" s="21"/>
      <c r="G328" s="50"/>
      <c r="H328" s="21"/>
      <c r="I328" s="50"/>
      <c r="J328" s="21"/>
      <c r="K328" s="21"/>
      <c r="L328" s="50"/>
      <c r="M328" s="51"/>
      <c r="N328" s="21"/>
      <c r="O328" s="50"/>
      <c r="P328" s="21"/>
      <c r="Q328" s="50"/>
      <c r="R328" s="21"/>
      <c r="S328" s="21"/>
      <c r="T328" s="50"/>
      <c r="U328" s="51">
        <f t="shared" si="52"/>
        <v>0</v>
      </c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>
        <v>67611150</v>
      </c>
      <c r="AZ328" s="51"/>
      <c r="BA328" s="51"/>
      <c r="BB328" s="51"/>
      <c r="BC328" s="52">
        <f t="shared" si="55"/>
        <v>67611150</v>
      </c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>
        <v>13522230</v>
      </c>
      <c r="BO328" s="51"/>
      <c r="BP328" s="52">
        <v>81133380</v>
      </c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>
        <v>13522230</v>
      </c>
      <c r="CD328" s="52"/>
      <c r="CE328" s="52"/>
      <c r="CF328" s="52"/>
      <c r="CG328" s="52">
        <f t="shared" si="56"/>
        <v>94655610</v>
      </c>
      <c r="CH328" s="52"/>
      <c r="CI328" s="52"/>
      <c r="CJ328" s="52"/>
      <c r="CK328" s="52"/>
      <c r="CL328" s="52"/>
      <c r="CM328" s="52"/>
      <c r="CN328" s="52"/>
      <c r="CO328" s="52"/>
      <c r="CP328" s="52"/>
      <c r="CQ328" s="52">
        <v>13522230</v>
      </c>
      <c r="CR328" s="52"/>
      <c r="CS328" s="52">
        <f t="shared" si="53"/>
        <v>108177840</v>
      </c>
      <c r="CT328" s="53">
        <v>108177840</v>
      </c>
      <c r="CU328" s="53">
        <f t="shared" si="54"/>
        <v>0</v>
      </c>
      <c r="CV328" s="54">
        <f t="shared" si="57"/>
        <v>108177840</v>
      </c>
      <c r="CW328" s="55">
        <f t="shared" si="58"/>
        <v>0</v>
      </c>
      <c r="CX328" s="16"/>
      <c r="CY328" s="16"/>
      <c r="CZ328" s="16"/>
    </row>
    <row r="329" spans="1:108" ht="15" customHeight="1" x14ac:dyDescent="0.2">
      <c r="A329" s="1">
        <v>8000992383</v>
      </c>
      <c r="B329" s="1">
        <v>800099238</v>
      </c>
      <c r="C329" s="9">
        <v>214554245</v>
      </c>
      <c r="D329" s="10" t="s">
        <v>762</v>
      </c>
      <c r="E329" s="46" t="s">
        <v>1780</v>
      </c>
      <c r="F329" s="21"/>
      <c r="G329" s="50"/>
      <c r="H329" s="21"/>
      <c r="I329" s="50"/>
      <c r="J329" s="21"/>
      <c r="K329" s="21"/>
      <c r="L329" s="50"/>
      <c r="M329" s="51"/>
      <c r="N329" s="21"/>
      <c r="O329" s="50"/>
      <c r="P329" s="21"/>
      <c r="Q329" s="50"/>
      <c r="R329" s="21"/>
      <c r="S329" s="21"/>
      <c r="T329" s="50"/>
      <c r="U329" s="51">
        <f t="shared" si="52"/>
        <v>0</v>
      </c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>
        <v>43021983</v>
      </c>
      <c r="AN329" s="51">
        <f>SUBTOTAL(9,AC329:AM329)</f>
        <v>43021983</v>
      </c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>
        <v>139941820</v>
      </c>
      <c r="AZ329" s="51"/>
      <c r="BA329" s="51">
        <f>VLOOKUP(B329,[1]Hoja3!J$3:K$674,2,0)</f>
        <v>113586625</v>
      </c>
      <c r="BB329" s="51"/>
      <c r="BC329" s="52">
        <f t="shared" si="55"/>
        <v>296550428</v>
      </c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>
        <v>27988364</v>
      </c>
      <c r="BO329" s="51"/>
      <c r="BP329" s="52">
        <v>324538792</v>
      </c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>
        <v>27988364</v>
      </c>
      <c r="CD329" s="52"/>
      <c r="CE329" s="52"/>
      <c r="CF329" s="52"/>
      <c r="CG329" s="52">
        <f t="shared" si="56"/>
        <v>352527156</v>
      </c>
      <c r="CH329" s="52"/>
      <c r="CI329" s="52"/>
      <c r="CJ329" s="52"/>
      <c r="CK329" s="52"/>
      <c r="CL329" s="52"/>
      <c r="CM329" s="52"/>
      <c r="CN329" s="52"/>
      <c r="CO329" s="52"/>
      <c r="CP329" s="52"/>
      <c r="CQ329" s="52">
        <v>27988364</v>
      </c>
      <c r="CR329" s="52"/>
      <c r="CS329" s="52">
        <f t="shared" si="53"/>
        <v>380515520</v>
      </c>
      <c r="CT329" s="53">
        <v>223906912</v>
      </c>
      <c r="CU329" s="53">
        <f t="shared" si="54"/>
        <v>156608608</v>
      </c>
      <c r="CV329" s="54">
        <f t="shared" si="57"/>
        <v>380515520</v>
      </c>
      <c r="CW329" s="55">
        <f t="shared" si="58"/>
        <v>0</v>
      </c>
      <c r="CX329" s="16"/>
      <c r="CY329" s="8"/>
      <c r="CZ329" s="8"/>
      <c r="DA329" s="8"/>
      <c r="DB329" s="8"/>
      <c r="DC329" s="8"/>
      <c r="DD329" s="8"/>
    </row>
    <row r="330" spans="1:108" ht="15" customHeight="1" x14ac:dyDescent="0.2">
      <c r="A330" s="1">
        <v>8902708596</v>
      </c>
      <c r="B330" s="1">
        <v>890270859</v>
      </c>
      <c r="C330" s="9">
        <v>213568235</v>
      </c>
      <c r="D330" s="10" t="s">
        <v>2135</v>
      </c>
      <c r="E330" s="48" t="s">
        <v>2101</v>
      </c>
      <c r="F330" s="21"/>
      <c r="G330" s="50"/>
      <c r="H330" s="21"/>
      <c r="I330" s="50"/>
      <c r="J330" s="21"/>
      <c r="K330" s="21"/>
      <c r="L330" s="50"/>
      <c r="M330" s="51"/>
      <c r="N330" s="21"/>
      <c r="O330" s="50"/>
      <c r="P330" s="21"/>
      <c r="Q330" s="50"/>
      <c r="R330" s="21"/>
      <c r="S330" s="21"/>
      <c r="T330" s="50"/>
      <c r="U330" s="51">
        <f t="shared" si="52"/>
        <v>0</v>
      </c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>
        <v>128438885</v>
      </c>
      <c r="AZ330" s="51"/>
      <c r="BA330" s="51">
        <f>VLOOKUP(B330,[1]Hoja3!J$3:K$674,2,0)</f>
        <v>444596369</v>
      </c>
      <c r="BB330" s="51"/>
      <c r="BC330" s="52">
        <f t="shared" si="55"/>
        <v>573035254</v>
      </c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>
        <v>25687777</v>
      </c>
      <c r="BO330" s="51"/>
      <c r="BP330" s="52">
        <v>598723031</v>
      </c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>
        <v>25687777</v>
      </c>
      <c r="CD330" s="52"/>
      <c r="CE330" s="52"/>
      <c r="CF330" s="52"/>
      <c r="CG330" s="52">
        <f t="shared" si="56"/>
        <v>624410808</v>
      </c>
      <c r="CH330" s="52"/>
      <c r="CI330" s="52"/>
      <c r="CJ330" s="52"/>
      <c r="CK330" s="52"/>
      <c r="CL330" s="52"/>
      <c r="CM330" s="52"/>
      <c r="CN330" s="52"/>
      <c r="CO330" s="52"/>
      <c r="CP330" s="52"/>
      <c r="CQ330" s="52">
        <v>25687777</v>
      </c>
      <c r="CR330" s="52"/>
      <c r="CS330" s="52">
        <f t="shared" si="53"/>
        <v>650098585</v>
      </c>
      <c r="CT330" s="53">
        <v>205502216</v>
      </c>
      <c r="CU330" s="53">
        <f t="shared" si="54"/>
        <v>444596369</v>
      </c>
      <c r="CV330" s="54">
        <f t="shared" si="57"/>
        <v>650098585</v>
      </c>
      <c r="CW330" s="55">
        <f t="shared" si="58"/>
        <v>0</v>
      </c>
      <c r="CX330" s="16"/>
      <c r="CY330" s="16"/>
      <c r="CZ330" s="16"/>
    </row>
    <row r="331" spans="1:108" ht="15" customHeight="1" x14ac:dyDescent="0.2">
      <c r="A331" s="1">
        <v>8920992782</v>
      </c>
      <c r="B331" s="1">
        <v>892099278</v>
      </c>
      <c r="C331" s="9">
        <v>215150251</v>
      </c>
      <c r="D331" s="10" t="s">
        <v>672</v>
      </c>
      <c r="E331" s="46" t="s">
        <v>1693</v>
      </c>
      <c r="F331" s="21"/>
      <c r="G331" s="50"/>
      <c r="H331" s="21"/>
      <c r="I331" s="50"/>
      <c r="J331" s="21"/>
      <c r="K331" s="21"/>
      <c r="L331" s="50"/>
      <c r="M331" s="51"/>
      <c r="N331" s="21"/>
      <c r="O331" s="50"/>
      <c r="P331" s="21"/>
      <c r="Q331" s="50"/>
      <c r="R331" s="21"/>
      <c r="S331" s="21"/>
      <c r="T331" s="50"/>
      <c r="U331" s="51">
        <f t="shared" si="52"/>
        <v>0</v>
      </c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>
        <v>42799244</v>
      </c>
      <c r="AN331" s="51">
        <f>SUBTOTAL(9,AC331:AM331)</f>
        <v>42799244</v>
      </c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>
        <v>65541655</v>
      </c>
      <c r="AZ331" s="51"/>
      <c r="BA331" s="51">
        <f>VLOOKUP(B331,[1]Hoja3!J$3:K$674,2,0)</f>
        <v>90078116</v>
      </c>
      <c r="BB331" s="51"/>
      <c r="BC331" s="52">
        <f t="shared" si="55"/>
        <v>198419015</v>
      </c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>
        <v>13108331</v>
      </c>
      <c r="BO331" s="51"/>
      <c r="BP331" s="52">
        <v>211527346</v>
      </c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>
        <v>13108331</v>
      </c>
      <c r="CD331" s="52"/>
      <c r="CE331" s="52"/>
      <c r="CF331" s="52"/>
      <c r="CG331" s="52">
        <f t="shared" si="56"/>
        <v>224635677</v>
      </c>
      <c r="CH331" s="52"/>
      <c r="CI331" s="52"/>
      <c r="CJ331" s="52"/>
      <c r="CK331" s="52"/>
      <c r="CL331" s="52"/>
      <c r="CM331" s="52"/>
      <c r="CN331" s="52"/>
      <c r="CO331" s="52"/>
      <c r="CP331" s="52"/>
      <c r="CQ331" s="52">
        <v>13108331</v>
      </c>
      <c r="CR331" s="52"/>
      <c r="CS331" s="52">
        <f t="shared" si="53"/>
        <v>237744008</v>
      </c>
      <c r="CT331" s="53">
        <v>104866648</v>
      </c>
      <c r="CU331" s="53">
        <f t="shared" si="54"/>
        <v>132877360</v>
      </c>
      <c r="CV331" s="54">
        <f t="shared" si="57"/>
        <v>237744008</v>
      </c>
      <c r="CW331" s="55">
        <f t="shared" si="58"/>
        <v>0</v>
      </c>
      <c r="CX331" s="16"/>
      <c r="CY331" s="16"/>
      <c r="CZ331" s="16"/>
    </row>
    <row r="332" spans="1:108" ht="15" customHeight="1" x14ac:dyDescent="0.2">
      <c r="A332" s="1">
        <v>8001005335</v>
      </c>
      <c r="B332" s="1">
        <v>800100533</v>
      </c>
      <c r="C332" s="9">
        <v>214876248</v>
      </c>
      <c r="D332" s="10" t="s">
        <v>924</v>
      </c>
      <c r="E332" s="46" t="s">
        <v>1984</v>
      </c>
      <c r="F332" s="21"/>
      <c r="G332" s="50"/>
      <c r="H332" s="21"/>
      <c r="I332" s="50"/>
      <c r="J332" s="21"/>
      <c r="K332" s="21"/>
      <c r="L332" s="50"/>
      <c r="M332" s="51"/>
      <c r="N332" s="21"/>
      <c r="O332" s="50"/>
      <c r="P332" s="21"/>
      <c r="Q332" s="50"/>
      <c r="R332" s="21"/>
      <c r="S332" s="21"/>
      <c r="T332" s="50"/>
      <c r="U332" s="51">
        <f t="shared" si="52"/>
        <v>0</v>
      </c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>
        <v>35937657</v>
      </c>
      <c r="AN332" s="51">
        <f>SUBTOTAL(9,AC332:AM332)</f>
        <v>35937657</v>
      </c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>
        <v>277726955</v>
      </c>
      <c r="AZ332" s="51"/>
      <c r="BA332" s="51">
        <f>VLOOKUP(B332,[1]Hoja3!J$3:K$674,2,0)</f>
        <v>562242289</v>
      </c>
      <c r="BB332" s="51"/>
      <c r="BC332" s="52">
        <f t="shared" si="55"/>
        <v>875906901</v>
      </c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>
        <v>55545391</v>
      </c>
      <c r="BO332" s="51"/>
      <c r="BP332" s="52">
        <v>931452292</v>
      </c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>
        <v>55545391</v>
      </c>
      <c r="CD332" s="52"/>
      <c r="CE332" s="52"/>
      <c r="CF332" s="52"/>
      <c r="CG332" s="52">
        <f t="shared" si="56"/>
        <v>986997683</v>
      </c>
      <c r="CH332" s="52"/>
      <c r="CI332" s="52"/>
      <c r="CJ332" s="52"/>
      <c r="CK332" s="52"/>
      <c r="CL332" s="52"/>
      <c r="CM332" s="52"/>
      <c r="CN332" s="52"/>
      <c r="CO332" s="52"/>
      <c r="CP332" s="52"/>
      <c r="CQ332" s="52">
        <v>55545391</v>
      </c>
      <c r="CR332" s="52"/>
      <c r="CS332" s="52">
        <f t="shared" si="53"/>
        <v>1042543074</v>
      </c>
      <c r="CT332" s="53">
        <v>444363128</v>
      </c>
      <c r="CU332" s="53">
        <f t="shared" si="54"/>
        <v>598179946</v>
      </c>
      <c r="CV332" s="54">
        <f t="shared" si="57"/>
        <v>1042543074</v>
      </c>
      <c r="CW332" s="55">
        <f t="shared" si="58"/>
        <v>0</v>
      </c>
      <c r="CX332" s="16"/>
      <c r="CY332" s="16"/>
      <c r="CZ332" s="16"/>
    </row>
    <row r="333" spans="1:108" ht="15" customHeight="1" x14ac:dyDescent="0.2">
      <c r="A333" s="1">
        <v>8000990767</v>
      </c>
      <c r="B333" s="1">
        <v>800099076</v>
      </c>
      <c r="C333" s="9">
        <v>215052250</v>
      </c>
      <c r="D333" s="10" t="s">
        <v>706</v>
      </c>
      <c r="E333" s="46" t="s">
        <v>1728</v>
      </c>
      <c r="F333" s="21"/>
      <c r="G333" s="50"/>
      <c r="H333" s="21"/>
      <c r="I333" s="50"/>
      <c r="J333" s="21"/>
      <c r="K333" s="21"/>
      <c r="L333" s="50"/>
      <c r="M333" s="51"/>
      <c r="N333" s="21"/>
      <c r="O333" s="50"/>
      <c r="P333" s="21"/>
      <c r="Q333" s="50"/>
      <c r="R333" s="21"/>
      <c r="S333" s="21"/>
      <c r="T333" s="50"/>
      <c r="U333" s="51">
        <f t="shared" si="52"/>
        <v>0</v>
      </c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>
        <f>VLOOKUP(B333,[1]Hoja3!J$3:K$674,2,0)</f>
        <v>535490866</v>
      </c>
      <c r="BB333" s="51"/>
      <c r="BC333" s="52">
        <f t="shared" si="55"/>
        <v>535490866</v>
      </c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>
        <v>95102560</v>
      </c>
      <c r="BO333" s="51"/>
      <c r="BP333" s="52">
        <v>630593426</v>
      </c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>
        <v>95102560</v>
      </c>
      <c r="CD333" s="52">
        <v>475512800</v>
      </c>
      <c r="CE333" s="52"/>
      <c r="CF333" s="52"/>
      <c r="CG333" s="52">
        <f t="shared" si="56"/>
        <v>1201208786</v>
      </c>
      <c r="CH333" s="52"/>
      <c r="CI333" s="52"/>
      <c r="CJ333" s="52"/>
      <c r="CK333" s="52"/>
      <c r="CL333" s="52"/>
      <c r="CM333" s="52"/>
      <c r="CN333" s="52"/>
      <c r="CO333" s="52"/>
      <c r="CP333" s="52"/>
      <c r="CQ333" s="52">
        <v>95102560</v>
      </c>
      <c r="CR333" s="52">
        <v>17176879</v>
      </c>
      <c r="CS333" s="52">
        <f t="shared" si="53"/>
        <v>1313488225</v>
      </c>
      <c r="CT333" s="53">
        <v>760820480</v>
      </c>
      <c r="CU333" s="53">
        <f t="shared" si="54"/>
        <v>552667745</v>
      </c>
      <c r="CV333" s="54">
        <f t="shared" si="57"/>
        <v>1313488225</v>
      </c>
      <c r="CW333" s="55">
        <f t="shared" si="58"/>
        <v>0</v>
      </c>
      <c r="CX333" s="16"/>
      <c r="CY333" s="16"/>
      <c r="CZ333" s="16"/>
    </row>
    <row r="334" spans="1:108" ht="15" customHeight="1" x14ac:dyDescent="0.2">
      <c r="A334" s="1">
        <v>8918578440</v>
      </c>
      <c r="B334" s="1">
        <v>891857844</v>
      </c>
      <c r="C334" s="9">
        <v>214415244</v>
      </c>
      <c r="D334" s="10" t="s">
        <v>247</v>
      </c>
      <c r="E334" s="46" t="s">
        <v>1282</v>
      </c>
      <c r="F334" s="21"/>
      <c r="G334" s="50"/>
      <c r="H334" s="21"/>
      <c r="I334" s="50"/>
      <c r="J334" s="21"/>
      <c r="K334" s="21"/>
      <c r="L334" s="50"/>
      <c r="M334" s="51"/>
      <c r="N334" s="21"/>
      <c r="O334" s="50"/>
      <c r="P334" s="21"/>
      <c r="Q334" s="50"/>
      <c r="R334" s="21"/>
      <c r="S334" s="21"/>
      <c r="T334" s="50"/>
      <c r="U334" s="51">
        <f t="shared" si="52"/>
        <v>0</v>
      </c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>
        <v>38430715</v>
      </c>
      <c r="AZ334" s="51"/>
      <c r="BA334" s="51">
        <f>VLOOKUP(B334,[1]Hoja3!J$3:K$674,2,0)</f>
        <v>70767856</v>
      </c>
      <c r="BB334" s="51"/>
      <c r="BC334" s="52">
        <f t="shared" si="55"/>
        <v>109198571</v>
      </c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>
        <v>7686143</v>
      </c>
      <c r="BO334" s="51"/>
      <c r="BP334" s="52">
        <v>116884714</v>
      </c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>
        <v>7686143</v>
      </c>
      <c r="CD334" s="52"/>
      <c r="CE334" s="52"/>
      <c r="CF334" s="52"/>
      <c r="CG334" s="52">
        <f t="shared" si="56"/>
        <v>124570857</v>
      </c>
      <c r="CH334" s="52"/>
      <c r="CI334" s="52"/>
      <c r="CJ334" s="52"/>
      <c r="CK334" s="52"/>
      <c r="CL334" s="52"/>
      <c r="CM334" s="52"/>
      <c r="CN334" s="52"/>
      <c r="CO334" s="52"/>
      <c r="CP334" s="52"/>
      <c r="CQ334" s="52">
        <v>7686143</v>
      </c>
      <c r="CR334" s="52"/>
      <c r="CS334" s="52">
        <f t="shared" si="53"/>
        <v>132257000</v>
      </c>
      <c r="CT334" s="53">
        <v>61489144</v>
      </c>
      <c r="CU334" s="53">
        <f t="shared" si="54"/>
        <v>70767856</v>
      </c>
      <c r="CV334" s="54">
        <f t="shared" si="57"/>
        <v>132257000</v>
      </c>
      <c r="CW334" s="55">
        <f t="shared" si="58"/>
        <v>0</v>
      </c>
      <c r="CX334" s="16"/>
      <c r="CY334" s="8"/>
      <c r="CZ334" s="8"/>
      <c r="DA334" s="8"/>
      <c r="DB334" s="8"/>
      <c r="DC334" s="8"/>
      <c r="DD334" s="8"/>
    </row>
    <row r="335" spans="1:108" ht="15" customHeight="1" x14ac:dyDescent="0.2">
      <c r="A335" s="1">
        <v>8906801620</v>
      </c>
      <c r="B335" s="1">
        <v>890680162</v>
      </c>
      <c r="C335" s="9">
        <v>214525245</v>
      </c>
      <c r="D335" s="10" t="s">
        <v>482</v>
      </c>
      <c r="E335" s="46" t="s">
        <v>1508</v>
      </c>
      <c r="F335" s="21"/>
      <c r="G335" s="50"/>
      <c r="H335" s="21"/>
      <c r="I335" s="50"/>
      <c r="J335" s="21"/>
      <c r="K335" s="21"/>
      <c r="L335" s="50"/>
      <c r="M335" s="51"/>
      <c r="N335" s="21"/>
      <c r="O335" s="50"/>
      <c r="P335" s="21"/>
      <c r="Q335" s="50"/>
      <c r="R335" s="21"/>
      <c r="S335" s="21"/>
      <c r="T335" s="50"/>
      <c r="U335" s="51">
        <f t="shared" si="52"/>
        <v>0</v>
      </c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>
        <v>147592520</v>
      </c>
      <c r="AZ335" s="51"/>
      <c r="BA335" s="51">
        <f>VLOOKUP(B335,[1]Hoja3!J$3:K$674,2,0)</f>
        <v>337849785</v>
      </c>
      <c r="BB335" s="51"/>
      <c r="BC335" s="52">
        <f t="shared" si="55"/>
        <v>485442305</v>
      </c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>
        <v>29518504</v>
      </c>
      <c r="BO335" s="51"/>
      <c r="BP335" s="52">
        <v>514960809</v>
      </c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>
        <v>29518504</v>
      </c>
      <c r="CD335" s="52"/>
      <c r="CE335" s="52"/>
      <c r="CF335" s="52"/>
      <c r="CG335" s="52">
        <f t="shared" si="56"/>
        <v>544479313</v>
      </c>
      <c r="CH335" s="52"/>
      <c r="CI335" s="52"/>
      <c r="CJ335" s="52"/>
      <c r="CK335" s="52"/>
      <c r="CL335" s="52"/>
      <c r="CM335" s="52"/>
      <c r="CN335" s="52"/>
      <c r="CO335" s="52"/>
      <c r="CP335" s="52"/>
      <c r="CQ335" s="52">
        <v>29518504</v>
      </c>
      <c r="CR335" s="52"/>
      <c r="CS335" s="52">
        <f t="shared" si="53"/>
        <v>573997817</v>
      </c>
      <c r="CT335" s="53">
        <v>236148032</v>
      </c>
      <c r="CU335" s="53">
        <f t="shared" si="54"/>
        <v>337849785</v>
      </c>
      <c r="CV335" s="54">
        <f t="shared" si="57"/>
        <v>573997817</v>
      </c>
      <c r="CW335" s="55">
        <f t="shared" si="58"/>
        <v>0</v>
      </c>
      <c r="CX335" s="16"/>
      <c r="CY335" s="16"/>
      <c r="CZ335" s="16"/>
    </row>
    <row r="336" spans="1:108" ht="15" customHeight="1" x14ac:dyDescent="0.2">
      <c r="A336" s="1">
        <v>8000965875</v>
      </c>
      <c r="B336" s="1">
        <v>800096587</v>
      </c>
      <c r="C336" s="9">
        <v>213820238</v>
      </c>
      <c r="D336" s="10" t="s">
        <v>421</v>
      </c>
      <c r="E336" s="46" t="s">
        <v>2094</v>
      </c>
      <c r="F336" s="21"/>
      <c r="G336" s="50"/>
      <c r="H336" s="21"/>
      <c r="I336" s="50"/>
      <c r="J336" s="21"/>
      <c r="K336" s="21"/>
      <c r="L336" s="50"/>
      <c r="M336" s="51"/>
      <c r="N336" s="21"/>
      <c r="O336" s="50"/>
      <c r="P336" s="21"/>
      <c r="Q336" s="50"/>
      <c r="R336" s="21"/>
      <c r="S336" s="21"/>
      <c r="T336" s="50"/>
      <c r="U336" s="51">
        <f t="shared" si="52"/>
        <v>0</v>
      </c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>
        <v>286238645</v>
      </c>
      <c r="AZ336" s="51"/>
      <c r="BA336" s="51">
        <f>VLOOKUP(B336,[1]Hoja3!J$3:K$674,2,0)</f>
        <v>452293057</v>
      </c>
      <c r="BB336" s="51"/>
      <c r="BC336" s="52">
        <f t="shared" si="55"/>
        <v>738531702</v>
      </c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>
        <v>57247729</v>
      </c>
      <c r="BO336" s="51"/>
      <c r="BP336" s="52">
        <v>795779431</v>
      </c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>
        <v>57247729</v>
      </c>
      <c r="CD336" s="52"/>
      <c r="CE336" s="52"/>
      <c r="CF336" s="52"/>
      <c r="CG336" s="52">
        <f t="shared" si="56"/>
        <v>853027160</v>
      </c>
      <c r="CH336" s="52"/>
      <c r="CI336" s="52"/>
      <c r="CJ336" s="52"/>
      <c r="CK336" s="52"/>
      <c r="CL336" s="52"/>
      <c r="CM336" s="52"/>
      <c r="CN336" s="52"/>
      <c r="CO336" s="52"/>
      <c r="CP336" s="52"/>
      <c r="CQ336" s="52">
        <v>57247729</v>
      </c>
      <c r="CR336" s="52"/>
      <c r="CS336" s="52">
        <f t="shared" si="53"/>
        <v>910274889</v>
      </c>
      <c r="CT336" s="53">
        <v>457981832</v>
      </c>
      <c r="CU336" s="53">
        <f t="shared" si="54"/>
        <v>452293057</v>
      </c>
      <c r="CV336" s="54">
        <f t="shared" si="57"/>
        <v>910274889</v>
      </c>
      <c r="CW336" s="55">
        <f t="shared" si="58"/>
        <v>0</v>
      </c>
      <c r="CX336" s="16"/>
      <c r="CY336" s="16"/>
      <c r="CZ336" s="16"/>
    </row>
    <row r="337" spans="1:108" ht="15" customHeight="1" x14ac:dyDescent="0.2">
      <c r="A337" s="1">
        <v>8000957609</v>
      </c>
      <c r="B337" s="1">
        <v>800095760</v>
      </c>
      <c r="C337" s="9">
        <v>214718247</v>
      </c>
      <c r="D337" s="10" t="s">
        <v>365</v>
      </c>
      <c r="E337" s="46" t="s">
        <v>1395</v>
      </c>
      <c r="F337" s="21"/>
      <c r="G337" s="50"/>
      <c r="H337" s="21"/>
      <c r="I337" s="50"/>
      <c r="J337" s="21"/>
      <c r="K337" s="21"/>
      <c r="L337" s="50"/>
      <c r="M337" s="51"/>
      <c r="N337" s="21"/>
      <c r="O337" s="50"/>
      <c r="P337" s="21"/>
      <c r="Q337" s="50"/>
      <c r="R337" s="21"/>
      <c r="S337" s="21"/>
      <c r="T337" s="50"/>
      <c r="U337" s="51">
        <f t="shared" si="52"/>
        <v>0</v>
      </c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>
        <v>298176090</v>
      </c>
      <c r="AN337" s="51">
        <f>SUBTOTAL(9,AC337:AM337)</f>
        <v>298176090</v>
      </c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>
        <v>169507120</v>
      </c>
      <c r="AZ337" s="51"/>
      <c r="BA337" s="51">
        <f>VLOOKUP(B337,[1]Hoja3!J$3:K$674,2,0)</f>
        <v>73535549</v>
      </c>
      <c r="BB337" s="51">
        <f>VLOOKUP(B337,'[2]anuladas en mayo gratuidad}'!K$2:L$55,2,0)</f>
        <v>146535388</v>
      </c>
      <c r="BC337" s="52">
        <f t="shared" si="55"/>
        <v>394683371</v>
      </c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>
        <v>33901424</v>
      </c>
      <c r="BO337" s="51"/>
      <c r="BP337" s="52">
        <v>428584795</v>
      </c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>
        <v>33901424</v>
      </c>
      <c r="CD337" s="52"/>
      <c r="CE337" s="52">
        <v>146535388</v>
      </c>
      <c r="CF337" s="52"/>
      <c r="CG337" s="52">
        <f t="shared" si="56"/>
        <v>609021607</v>
      </c>
      <c r="CH337" s="52"/>
      <c r="CI337" s="52"/>
      <c r="CJ337" s="52"/>
      <c r="CK337" s="52"/>
      <c r="CL337" s="52"/>
      <c r="CM337" s="52"/>
      <c r="CN337" s="52"/>
      <c r="CO337" s="52"/>
      <c r="CP337" s="52"/>
      <c r="CQ337" s="52">
        <v>33901424</v>
      </c>
      <c r="CR337" s="52"/>
      <c r="CS337" s="52">
        <f t="shared" si="53"/>
        <v>642923031</v>
      </c>
      <c r="CT337" s="53">
        <v>271211392</v>
      </c>
      <c r="CU337" s="53">
        <f t="shared" si="54"/>
        <v>371711639</v>
      </c>
      <c r="CV337" s="54">
        <f t="shared" si="57"/>
        <v>642923031</v>
      </c>
      <c r="CW337" s="55">
        <f t="shared" si="58"/>
        <v>0</v>
      </c>
      <c r="CX337" s="16"/>
      <c r="CY337" s="16"/>
      <c r="CZ337" s="16"/>
    </row>
    <row r="338" spans="1:108" ht="15" customHeight="1" x14ac:dyDescent="0.2">
      <c r="A338" s="1">
        <v>8002554436</v>
      </c>
      <c r="B338" s="1">
        <v>800255443</v>
      </c>
      <c r="C338" s="9">
        <v>217050270</v>
      </c>
      <c r="D338" s="10" t="s">
        <v>673</v>
      </c>
      <c r="E338" s="46" t="s">
        <v>1694</v>
      </c>
      <c r="F338" s="21"/>
      <c r="G338" s="50"/>
      <c r="H338" s="21"/>
      <c r="I338" s="50"/>
      <c r="J338" s="21"/>
      <c r="K338" s="21"/>
      <c r="L338" s="50"/>
      <c r="M338" s="51"/>
      <c r="N338" s="21"/>
      <c r="O338" s="50"/>
      <c r="P338" s="21"/>
      <c r="Q338" s="50"/>
      <c r="R338" s="21"/>
      <c r="S338" s="21"/>
      <c r="T338" s="50"/>
      <c r="U338" s="51">
        <f t="shared" si="52"/>
        <v>0</v>
      </c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>
        <v>79212902</v>
      </c>
      <c r="AN338" s="51">
        <f>SUBTOTAL(9,AC338:AM338)</f>
        <v>79212902</v>
      </c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>
        <v>29684230</v>
      </c>
      <c r="AZ338" s="51"/>
      <c r="BA338" s="51"/>
      <c r="BB338" s="51"/>
      <c r="BC338" s="52">
        <f t="shared" si="55"/>
        <v>108897132</v>
      </c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>
        <v>5936846</v>
      </c>
      <c r="BO338" s="51"/>
      <c r="BP338" s="52">
        <v>114833978</v>
      </c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>
        <v>5936846</v>
      </c>
      <c r="CD338" s="52"/>
      <c r="CE338" s="52"/>
      <c r="CF338" s="52"/>
      <c r="CG338" s="52">
        <f t="shared" si="56"/>
        <v>120770824</v>
      </c>
      <c r="CH338" s="52"/>
      <c r="CI338" s="52"/>
      <c r="CJ338" s="52"/>
      <c r="CK338" s="52"/>
      <c r="CL338" s="52"/>
      <c r="CM338" s="52"/>
      <c r="CN338" s="52"/>
      <c r="CO338" s="52"/>
      <c r="CP338" s="52"/>
      <c r="CQ338" s="52">
        <v>5936846</v>
      </c>
      <c r="CR338" s="52"/>
      <c r="CS338" s="52">
        <f t="shared" si="53"/>
        <v>126707670</v>
      </c>
      <c r="CT338" s="53">
        <v>47494768</v>
      </c>
      <c r="CU338" s="53">
        <f t="shared" si="54"/>
        <v>79212902</v>
      </c>
      <c r="CV338" s="54">
        <f t="shared" si="57"/>
        <v>126707670</v>
      </c>
      <c r="CW338" s="55">
        <f t="shared" si="58"/>
        <v>0</v>
      </c>
      <c r="CX338" s="16"/>
      <c r="CY338" s="16"/>
      <c r="CZ338" s="16"/>
    </row>
    <row r="339" spans="1:108" ht="15" customHeight="1" x14ac:dyDescent="0.2">
      <c r="A339" s="1">
        <v>8919012235</v>
      </c>
      <c r="B339" s="1">
        <v>891901223</v>
      </c>
      <c r="C339" s="9">
        <v>215076250</v>
      </c>
      <c r="D339" s="10" t="s">
        <v>925</v>
      </c>
      <c r="E339" s="46" t="s">
        <v>1985</v>
      </c>
      <c r="F339" s="21"/>
      <c r="G339" s="50"/>
      <c r="H339" s="21"/>
      <c r="I339" s="50"/>
      <c r="J339" s="21"/>
      <c r="K339" s="21"/>
      <c r="L339" s="50"/>
      <c r="M339" s="51"/>
      <c r="N339" s="21"/>
      <c r="O339" s="50"/>
      <c r="P339" s="21"/>
      <c r="Q339" s="50"/>
      <c r="R339" s="21"/>
      <c r="S339" s="21"/>
      <c r="T339" s="50"/>
      <c r="U339" s="51">
        <f t="shared" si="52"/>
        <v>0</v>
      </c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>
        <v>126075723</v>
      </c>
      <c r="AN339" s="51">
        <f>SUBTOTAL(9,AC339:AM339)</f>
        <v>126075723</v>
      </c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2">
        <f t="shared" si="55"/>
        <v>126075723</v>
      </c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>
        <v>0</v>
      </c>
      <c r="BO339" s="51"/>
      <c r="BP339" s="52">
        <v>126075723</v>
      </c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>
        <v>137001655</v>
      </c>
      <c r="CD339" s="52"/>
      <c r="CE339" s="52"/>
      <c r="CF339" s="52"/>
      <c r="CG339" s="52">
        <f t="shared" si="56"/>
        <v>263077378</v>
      </c>
      <c r="CH339" s="52"/>
      <c r="CI339" s="52"/>
      <c r="CJ339" s="52"/>
      <c r="CK339" s="52"/>
      <c r="CL339" s="52"/>
      <c r="CM339" s="52"/>
      <c r="CN339" s="52"/>
      <c r="CO339" s="52"/>
      <c r="CP339" s="52"/>
      <c r="CQ339" s="52">
        <v>19571665</v>
      </c>
      <c r="CR339" s="52"/>
      <c r="CS339" s="52">
        <f t="shared" si="53"/>
        <v>282649043</v>
      </c>
      <c r="CT339" s="53">
        <v>156573320</v>
      </c>
      <c r="CU339" s="53">
        <f t="shared" si="54"/>
        <v>126075723</v>
      </c>
      <c r="CV339" s="54">
        <f t="shared" si="57"/>
        <v>282649043</v>
      </c>
      <c r="CW339" s="55">
        <f t="shared" si="58"/>
        <v>0</v>
      </c>
      <c r="CX339" s="16"/>
      <c r="CY339" s="16"/>
      <c r="CZ339" s="16"/>
    </row>
    <row r="340" spans="1:108" ht="15" customHeight="1" x14ac:dyDescent="0.2">
      <c r="A340" s="1">
        <v>8000310732</v>
      </c>
      <c r="B340" s="1">
        <v>800031073</v>
      </c>
      <c r="C340" s="9">
        <v>214815248</v>
      </c>
      <c r="D340" s="10" t="s">
        <v>248</v>
      </c>
      <c r="E340" s="46" t="s">
        <v>1283</v>
      </c>
      <c r="F340" s="21"/>
      <c r="G340" s="50"/>
      <c r="H340" s="21"/>
      <c r="I340" s="50"/>
      <c r="J340" s="21"/>
      <c r="K340" s="21"/>
      <c r="L340" s="50"/>
      <c r="M340" s="51"/>
      <c r="N340" s="21"/>
      <c r="O340" s="50"/>
      <c r="P340" s="21"/>
      <c r="Q340" s="50"/>
      <c r="R340" s="21"/>
      <c r="S340" s="21"/>
      <c r="T340" s="50"/>
      <c r="U340" s="51">
        <f t="shared" si="52"/>
        <v>0</v>
      </c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>
        <v>23076325</v>
      </c>
      <c r="AZ340" s="51"/>
      <c r="BA340" s="51">
        <f>VLOOKUP(B340,[1]Hoja3!J$3:K$674,2,0)</f>
        <v>43579693</v>
      </c>
      <c r="BB340" s="51"/>
      <c r="BC340" s="52">
        <f t="shared" si="55"/>
        <v>66656018</v>
      </c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>
        <v>4615265</v>
      </c>
      <c r="BO340" s="51"/>
      <c r="BP340" s="52">
        <v>71271283</v>
      </c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>
        <v>4615265</v>
      </c>
      <c r="CD340" s="52"/>
      <c r="CE340" s="52"/>
      <c r="CF340" s="52"/>
      <c r="CG340" s="52">
        <f t="shared" si="56"/>
        <v>75886548</v>
      </c>
      <c r="CH340" s="52"/>
      <c r="CI340" s="52"/>
      <c r="CJ340" s="52"/>
      <c r="CK340" s="52"/>
      <c r="CL340" s="52"/>
      <c r="CM340" s="52"/>
      <c r="CN340" s="52"/>
      <c r="CO340" s="52"/>
      <c r="CP340" s="52"/>
      <c r="CQ340" s="52">
        <v>4615265</v>
      </c>
      <c r="CR340" s="52"/>
      <c r="CS340" s="52">
        <f t="shared" si="53"/>
        <v>80501813</v>
      </c>
      <c r="CT340" s="53">
        <v>36922120</v>
      </c>
      <c r="CU340" s="53">
        <f t="shared" si="54"/>
        <v>43579693</v>
      </c>
      <c r="CV340" s="54">
        <f t="shared" si="57"/>
        <v>80501813</v>
      </c>
      <c r="CW340" s="55">
        <f t="shared" si="58"/>
        <v>0</v>
      </c>
      <c r="CX340" s="16"/>
      <c r="CY340" s="8"/>
      <c r="CZ340" s="8"/>
      <c r="DA340" s="8"/>
      <c r="DB340" s="8"/>
      <c r="DC340" s="8"/>
      <c r="DD340" s="8"/>
    </row>
    <row r="341" spans="1:108" ht="15" customHeight="1" x14ac:dyDescent="0.2">
      <c r="A341" s="1">
        <v>8904812958</v>
      </c>
      <c r="B341" s="1">
        <v>890481295</v>
      </c>
      <c r="C341" s="9">
        <v>214813248</v>
      </c>
      <c r="D341" s="10" t="s">
        <v>192</v>
      </c>
      <c r="E341" s="46" t="s">
        <v>1222</v>
      </c>
      <c r="F341" s="21"/>
      <c r="G341" s="50"/>
      <c r="H341" s="21"/>
      <c r="I341" s="50"/>
      <c r="J341" s="21"/>
      <c r="K341" s="21"/>
      <c r="L341" s="50"/>
      <c r="M341" s="51"/>
      <c r="N341" s="21"/>
      <c r="O341" s="50"/>
      <c r="P341" s="21"/>
      <c r="Q341" s="50"/>
      <c r="R341" s="21"/>
      <c r="S341" s="21"/>
      <c r="T341" s="50"/>
      <c r="U341" s="51">
        <f t="shared" si="52"/>
        <v>0</v>
      </c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>
        <v>68309755</v>
      </c>
      <c r="AZ341" s="51"/>
      <c r="BA341" s="51">
        <f>VLOOKUP(B341,[1]Hoja3!J$3:K$674,2,0)</f>
        <v>128855933</v>
      </c>
      <c r="BB341" s="51"/>
      <c r="BC341" s="52">
        <f t="shared" si="55"/>
        <v>197165688</v>
      </c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>
        <v>13661951</v>
      </c>
      <c r="BO341" s="51"/>
      <c r="BP341" s="52">
        <v>210827639</v>
      </c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>
        <v>13661951</v>
      </c>
      <c r="CD341" s="52"/>
      <c r="CE341" s="52"/>
      <c r="CF341" s="52"/>
      <c r="CG341" s="52">
        <f t="shared" si="56"/>
        <v>224489590</v>
      </c>
      <c r="CH341" s="52"/>
      <c r="CI341" s="52"/>
      <c r="CJ341" s="52"/>
      <c r="CK341" s="52"/>
      <c r="CL341" s="52"/>
      <c r="CM341" s="52"/>
      <c r="CN341" s="52"/>
      <c r="CO341" s="52"/>
      <c r="CP341" s="52"/>
      <c r="CQ341" s="52">
        <v>13661951</v>
      </c>
      <c r="CR341" s="52"/>
      <c r="CS341" s="52">
        <f t="shared" si="53"/>
        <v>238151541</v>
      </c>
      <c r="CT341" s="53">
        <v>109295608</v>
      </c>
      <c r="CU341" s="53">
        <f t="shared" si="54"/>
        <v>128855933</v>
      </c>
      <c r="CV341" s="54">
        <f t="shared" si="57"/>
        <v>238151541</v>
      </c>
      <c r="CW341" s="55">
        <f t="shared" si="58"/>
        <v>0</v>
      </c>
      <c r="CX341" s="16"/>
      <c r="CY341" s="8"/>
      <c r="CZ341" s="8"/>
      <c r="DA341" s="8"/>
      <c r="DB341" s="8"/>
      <c r="DC341" s="8"/>
      <c r="DD341" s="8"/>
    </row>
    <row r="342" spans="1:108" ht="15" customHeight="1" x14ac:dyDescent="0.2">
      <c r="A342" s="1">
        <v>8000927880</v>
      </c>
      <c r="B342" s="1">
        <v>800092788</v>
      </c>
      <c r="C342" s="9">
        <v>211044110</v>
      </c>
      <c r="D342" s="10" t="s">
        <v>634</v>
      </c>
      <c r="E342" s="46" t="s">
        <v>1652</v>
      </c>
      <c r="F342" s="21"/>
      <c r="G342" s="50"/>
      <c r="H342" s="21"/>
      <c r="I342" s="50"/>
      <c r="J342" s="21"/>
      <c r="K342" s="21"/>
      <c r="L342" s="50"/>
      <c r="M342" s="51"/>
      <c r="N342" s="21"/>
      <c r="O342" s="50"/>
      <c r="P342" s="21"/>
      <c r="Q342" s="50"/>
      <c r="R342" s="21"/>
      <c r="S342" s="21"/>
      <c r="T342" s="50"/>
      <c r="U342" s="51">
        <f t="shared" si="52"/>
        <v>0</v>
      </c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>
        <v>39341430</v>
      </c>
      <c r="AZ342" s="51"/>
      <c r="BA342" s="51">
        <f>VLOOKUP(B342,[1]Hoja3!J$3:K$674,2,0)</f>
        <v>71514366</v>
      </c>
      <c r="BB342" s="51"/>
      <c r="BC342" s="52">
        <f t="shared" si="55"/>
        <v>110855796</v>
      </c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>
        <v>7868286</v>
      </c>
      <c r="BO342" s="51"/>
      <c r="BP342" s="52">
        <v>118724082</v>
      </c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>
        <v>7868286</v>
      </c>
      <c r="CD342" s="52"/>
      <c r="CE342" s="52"/>
      <c r="CF342" s="52"/>
      <c r="CG342" s="52">
        <f t="shared" si="56"/>
        <v>126592368</v>
      </c>
      <c r="CH342" s="52"/>
      <c r="CI342" s="52"/>
      <c r="CJ342" s="52"/>
      <c r="CK342" s="52"/>
      <c r="CL342" s="52"/>
      <c r="CM342" s="52"/>
      <c r="CN342" s="52"/>
      <c r="CO342" s="52"/>
      <c r="CP342" s="52"/>
      <c r="CQ342" s="52">
        <v>7868286</v>
      </c>
      <c r="CR342" s="52"/>
      <c r="CS342" s="52">
        <f t="shared" si="53"/>
        <v>134460654</v>
      </c>
      <c r="CT342" s="53">
        <v>62946288</v>
      </c>
      <c r="CU342" s="53">
        <f t="shared" si="54"/>
        <v>71514366</v>
      </c>
      <c r="CV342" s="54">
        <f t="shared" si="57"/>
        <v>134460654</v>
      </c>
      <c r="CW342" s="55">
        <f t="shared" si="58"/>
        <v>0</v>
      </c>
      <c r="CX342" s="16"/>
      <c r="CY342" s="16"/>
      <c r="CZ342" s="16"/>
    </row>
    <row r="343" spans="1:108" ht="15" customHeight="1" x14ac:dyDescent="0.2">
      <c r="A343" s="1">
        <v>8000965922</v>
      </c>
      <c r="B343" s="1">
        <v>800096592</v>
      </c>
      <c r="C343" s="9">
        <v>215020250</v>
      </c>
      <c r="D343" s="10" t="s">
        <v>422</v>
      </c>
      <c r="E343" s="46" t="s">
        <v>1449</v>
      </c>
      <c r="F343" s="21"/>
      <c r="G343" s="50"/>
      <c r="H343" s="21"/>
      <c r="I343" s="50"/>
      <c r="J343" s="21"/>
      <c r="K343" s="21"/>
      <c r="L343" s="50"/>
      <c r="M343" s="51"/>
      <c r="N343" s="21"/>
      <c r="O343" s="50"/>
      <c r="P343" s="21"/>
      <c r="Q343" s="50"/>
      <c r="R343" s="21"/>
      <c r="S343" s="21"/>
      <c r="T343" s="50"/>
      <c r="U343" s="51">
        <f t="shared" si="52"/>
        <v>0</v>
      </c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>
        <v>514460874</v>
      </c>
      <c r="AN343" s="51">
        <f>SUBTOTAL(9,AC343:AM343)</f>
        <v>514460874</v>
      </c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>
        <v>463859960</v>
      </c>
      <c r="AZ343" s="51"/>
      <c r="BA343" s="51">
        <f>VLOOKUP(B343,[1]Hoja3!J$3:K$674,2,0)</f>
        <v>241293059</v>
      </c>
      <c r="BB343" s="51"/>
      <c r="BC343" s="52">
        <f t="shared" si="55"/>
        <v>1219613893</v>
      </c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>
        <v>92771992</v>
      </c>
      <c r="BO343" s="51"/>
      <c r="BP343" s="52">
        <v>1312385885</v>
      </c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>
        <v>92771992</v>
      </c>
      <c r="CD343" s="52"/>
      <c r="CE343" s="52"/>
      <c r="CF343" s="52"/>
      <c r="CG343" s="52">
        <f t="shared" si="56"/>
        <v>1405157877</v>
      </c>
      <c r="CH343" s="52"/>
      <c r="CI343" s="52"/>
      <c r="CJ343" s="52"/>
      <c r="CK343" s="52"/>
      <c r="CL343" s="52"/>
      <c r="CM343" s="52"/>
      <c r="CN343" s="52"/>
      <c r="CO343" s="52"/>
      <c r="CP343" s="52"/>
      <c r="CQ343" s="52">
        <v>92771992</v>
      </c>
      <c r="CR343" s="52"/>
      <c r="CS343" s="52">
        <f t="shared" si="53"/>
        <v>1497929869</v>
      </c>
      <c r="CT343" s="53">
        <v>742175936</v>
      </c>
      <c r="CU343" s="53">
        <f t="shared" si="54"/>
        <v>755753933</v>
      </c>
      <c r="CV343" s="54">
        <f t="shared" si="57"/>
        <v>1497929869</v>
      </c>
      <c r="CW343" s="55">
        <f t="shared" si="58"/>
        <v>0</v>
      </c>
      <c r="CX343" s="16"/>
      <c r="CY343" s="16"/>
      <c r="CZ343" s="16"/>
    </row>
    <row r="344" spans="1:108" ht="15" customHeight="1" x14ac:dyDescent="0.2">
      <c r="A344" s="1">
        <v>8000957630</v>
      </c>
      <c r="B344" s="1">
        <v>800095763</v>
      </c>
      <c r="C344" s="9">
        <v>215618256</v>
      </c>
      <c r="D344" s="10" t="s">
        <v>366</v>
      </c>
      <c r="E344" s="46" t="s">
        <v>1396</v>
      </c>
      <c r="F344" s="21"/>
      <c r="G344" s="50"/>
      <c r="H344" s="21"/>
      <c r="I344" s="50"/>
      <c r="J344" s="21"/>
      <c r="K344" s="21"/>
      <c r="L344" s="50"/>
      <c r="M344" s="51"/>
      <c r="N344" s="21"/>
      <c r="O344" s="50"/>
      <c r="P344" s="21"/>
      <c r="Q344" s="50"/>
      <c r="R344" s="21"/>
      <c r="S344" s="21"/>
      <c r="T344" s="50"/>
      <c r="U344" s="51">
        <f t="shared" si="52"/>
        <v>0</v>
      </c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>
        <v>23881445</v>
      </c>
      <c r="AN344" s="51">
        <f>SUBTOTAL(9,AC344:AM344)</f>
        <v>23881445</v>
      </c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>
        <v>130128945</v>
      </c>
      <c r="AZ344" s="51"/>
      <c r="BA344" s="51">
        <f>VLOOKUP(B344,[1]Hoja3!J$3:K$674,2,0)</f>
        <v>231011971</v>
      </c>
      <c r="BB344" s="51"/>
      <c r="BC344" s="52">
        <f t="shared" si="55"/>
        <v>385022361</v>
      </c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>
        <v>26025789</v>
      </c>
      <c r="BO344" s="51"/>
      <c r="BP344" s="52">
        <v>411048150</v>
      </c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>
        <v>26025789</v>
      </c>
      <c r="CD344" s="52"/>
      <c r="CE344" s="52"/>
      <c r="CF344" s="52"/>
      <c r="CG344" s="52">
        <f t="shared" si="56"/>
        <v>437073939</v>
      </c>
      <c r="CH344" s="52"/>
      <c r="CI344" s="52"/>
      <c r="CJ344" s="52"/>
      <c r="CK344" s="52"/>
      <c r="CL344" s="52"/>
      <c r="CM344" s="52"/>
      <c r="CN344" s="52"/>
      <c r="CO344" s="52"/>
      <c r="CP344" s="52"/>
      <c r="CQ344" s="52">
        <v>26025789</v>
      </c>
      <c r="CR344" s="52"/>
      <c r="CS344" s="52">
        <f t="shared" si="53"/>
        <v>463099728</v>
      </c>
      <c r="CT344" s="53">
        <v>208206312</v>
      </c>
      <c r="CU344" s="53">
        <f t="shared" si="54"/>
        <v>254893416</v>
      </c>
      <c r="CV344" s="54">
        <f t="shared" si="57"/>
        <v>463099728</v>
      </c>
      <c r="CW344" s="55">
        <f t="shared" si="58"/>
        <v>0</v>
      </c>
      <c r="CX344" s="16"/>
      <c r="CY344" s="16"/>
      <c r="CZ344" s="16"/>
    </row>
    <row r="345" spans="1:108" ht="15" customHeight="1" x14ac:dyDescent="0.2">
      <c r="A345" s="1">
        <v>8140022435</v>
      </c>
      <c r="B345" s="1">
        <v>814002243</v>
      </c>
      <c r="C345" s="9">
        <v>215452254</v>
      </c>
      <c r="D345" s="10" t="s">
        <v>1007</v>
      </c>
      <c r="E345" s="46" t="s">
        <v>1729</v>
      </c>
      <c r="F345" s="21"/>
      <c r="G345" s="50"/>
      <c r="H345" s="21"/>
      <c r="I345" s="50"/>
      <c r="J345" s="21"/>
      <c r="K345" s="21"/>
      <c r="L345" s="50"/>
      <c r="M345" s="51"/>
      <c r="N345" s="21"/>
      <c r="O345" s="50"/>
      <c r="P345" s="21"/>
      <c r="Q345" s="50"/>
      <c r="R345" s="21"/>
      <c r="S345" s="21"/>
      <c r="T345" s="50"/>
      <c r="U345" s="51">
        <f t="shared" si="52"/>
        <v>0</v>
      </c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>
        <v>88946456</v>
      </c>
      <c r="AN345" s="51">
        <f>SUBTOTAL(9,AC345:AM345)</f>
        <v>88946456</v>
      </c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>
        <v>46605760</v>
      </c>
      <c r="AZ345" s="51"/>
      <c r="BA345" s="51"/>
      <c r="BB345" s="51"/>
      <c r="BC345" s="52">
        <f t="shared" si="55"/>
        <v>135552216</v>
      </c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>
        <v>9321152</v>
      </c>
      <c r="BO345" s="51"/>
      <c r="BP345" s="52">
        <v>144873368</v>
      </c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>
        <v>9321152</v>
      </c>
      <c r="CD345" s="52"/>
      <c r="CE345" s="52"/>
      <c r="CF345" s="52"/>
      <c r="CG345" s="52">
        <f t="shared" si="56"/>
        <v>154194520</v>
      </c>
      <c r="CH345" s="52"/>
      <c r="CI345" s="52"/>
      <c r="CJ345" s="52"/>
      <c r="CK345" s="52"/>
      <c r="CL345" s="52"/>
      <c r="CM345" s="52"/>
      <c r="CN345" s="52"/>
      <c r="CO345" s="52"/>
      <c r="CP345" s="52"/>
      <c r="CQ345" s="52">
        <v>9321152</v>
      </c>
      <c r="CR345" s="52"/>
      <c r="CS345" s="52">
        <f t="shared" si="53"/>
        <v>163515672</v>
      </c>
      <c r="CT345" s="53">
        <v>74569216</v>
      </c>
      <c r="CU345" s="53">
        <f t="shared" si="54"/>
        <v>88946456</v>
      </c>
      <c r="CV345" s="54">
        <f t="shared" si="57"/>
        <v>163515672</v>
      </c>
      <c r="CW345" s="55">
        <f t="shared" si="58"/>
        <v>0</v>
      </c>
      <c r="CX345" s="16"/>
      <c r="CY345" s="16"/>
      <c r="CZ345" s="16"/>
    </row>
    <row r="346" spans="1:108" ht="15" customHeight="1" x14ac:dyDescent="0.2">
      <c r="A346" s="1">
        <v>8060014398</v>
      </c>
      <c r="B346" s="1">
        <v>806001439</v>
      </c>
      <c r="C346" s="9">
        <v>216813268</v>
      </c>
      <c r="D346" s="10" t="s">
        <v>1005</v>
      </c>
      <c r="E346" s="46" t="s">
        <v>1223</v>
      </c>
      <c r="F346" s="21"/>
      <c r="G346" s="50"/>
      <c r="H346" s="21"/>
      <c r="I346" s="50"/>
      <c r="J346" s="21"/>
      <c r="K346" s="21"/>
      <c r="L346" s="50"/>
      <c r="M346" s="51"/>
      <c r="N346" s="21"/>
      <c r="O346" s="50"/>
      <c r="P346" s="21"/>
      <c r="Q346" s="50"/>
      <c r="R346" s="21"/>
      <c r="S346" s="21"/>
      <c r="T346" s="50"/>
      <c r="U346" s="51">
        <f t="shared" si="52"/>
        <v>0</v>
      </c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>
        <v>141292023</v>
      </c>
      <c r="AN346" s="51">
        <f>SUBTOTAL(9,AC346:AM346)</f>
        <v>141292023</v>
      </c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>
        <v>106473570</v>
      </c>
      <c r="AZ346" s="51"/>
      <c r="BA346" s="51">
        <f>VLOOKUP(B346,[1]Hoja3!J$3:K$674,2,0)</f>
        <v>31017050</v>
      </c>
      <c r="BB346" s="51"/>
      <c r="BC346" s="52">
        <f t="shared" si="55"/>
        <v>278782643</v>
      </c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>
        <v>21294714</v>
      </c>
      <c r="BO346" s="51"/>
      <c r="BP346" s="52">
        <v>300077357</v>
      </c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>
        <v>21294714</v>
      </c>
      <c r="CD346" s="52"/>
      <c r="CE346" s="52"/>
      <c r="CF346" s="52"/>
      <c r="CG346" s="52">
        <f t="shared" si="56"/>
        <v>321372071</v>
      </c>
      <c r="CH346" s="52"/>
      <c r="CI346" s="52"/>
      <c r="CJ346" s="52"/>
      <c r="CK346" s="52"/>
      <c r="CL346" s="52"/>
      <c r="CM346" s="52"/>
      <c r="CN346" s="52"/>
      <c r="CO346" s="52"/>
      <c r="CP346" s="52"/>
      <c r="CQ346" s="52">
        <v>21294714</v>
      </c>
      <c r="CR346" s="52"/>
      <c r="CS346" s="52">
        <f t="shared" si="53"/>
        <v>342666785</v>
      </c>
      <c r="CT346" s="53">
        <v>170357712</v>
      </c>
      <c r="CU346" s="53">
        <f t="shared" si="54"/>
        <v>172309073</v>
      </c>
      <c r="CV346" s="54">
        <f t="shared" si="57"/>
        <v>342666785</v>
      </c>
      <c r="CW346" s="55">
        <f t="shared" si="58"/>
        <v>0</v>
      </c>
      <c r="CX346" s="16"/>
      <c r="CY346" s="8"/>
      <c r="CZ346" s="8"/>
      <c r="DA346" s="8"/>
      <c r="DB346" s="8"/>
      <c r="DC346" s="8"/>
      <c r="DD346" s="8"/>
    </row>
    <row r="347" spans="1:108" ht="15" customHeight="1" x14ac:dyDescent="0.2">
      <c r="A347" s="1">
        <v>8999994604</v>
      </c>
      <c r="B347" s="1">
        <v>899999460</v>
      </c>
      <c r="C347" s="9">
        <v>215825258</v>
      </c>
      <c r="D347" s="10" t="s">
        <v>1006</v>
      </c>
      <c r="E347" s="46" t="s">
        <v>1509</v>
      </c>
      <c r="F347" s="21"/>
      <c r="G347" s="50"/>
      <c r="H347" s="21"/>
      <c r="I347" s="50"/>
      <c r="J347" s="21"/>
      <c r="K347" s="21"/>
      <c r="L347" s="50"/>
      <c r="M347" s="51"/>
      <c r="N347" s="21"/>
      <c r="O347" s="50"/>
      <c r="P347" s="21"/>
      <c r="Q347" s="50"/>
      <c r="R347" s="21"/>
      <c r="S347" s="21"/>
      <c r="T347" s="50"/>
      <c r="U347" s="51">
        <f t="shared" si="52"/>
        <v>0</v>
      </c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>
        <v>59219347</v>
      </c>
      <c r="AN347" s="51">
        <f>SUBTOTAL(9,AC347:AM347)</f>
        <v>59219347</v>
      </c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>
        <v>39204545</v>
      </c>
      <c r="AZ347" s="51"/>
      <c r="BA347" s="51"/>
      <c r="BB347" s="51"/>
      <c r="BC347" s="52">
        <f t="shared" si="55"/>
        <v>98423892</v>
      </c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>
        <v>7840909</v>
      </c>
      <c r="BO347" s="51"/>
      <c r="BP347" s="52">
        <v>106264801</v>
      </c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>
        <v>7840909</v>
      </c>
      <c r="CD347" s="52"/>
      <c r="CE347" s="52"/>
      <c r="CF347" s="52"/>
      <c r="CG347" s="52">
        <f t="shared" si="56"/>
        <v>114105710</v>
      </c>
      <c r="CH347" s="52"/>
      <c r="CI347" s="52"/>
      <c r="CJ347" s="52"/>
      <c r="CK347" s="52"/>
      <c r="CL347" s="52"/>
      <c r="CM347" s="52"/>
      <c r="CN347" s="52"/>
      <c r="CO347" s="52"/>
      <c r="CP347" s="52"/>
      <c r="CQ347" s="52">
        <v>7840909</v>
      </c>
      <c r="CR347" s="52"/>
      <c r="CS347" s="52">
        <f t="shared" si="53"/>
        <v>121946619</v>
      </c>
      <c r="CT347" s="53">
        <v>62727272</v>
      </c>
      <c r="CU347" s="53">
        <f t="shared" si="54"/>
        <v>59219347</v>
      </c>
      <c r="CV347" s="54">
        <f t="shared" si="57"/>
        <v>121946619</v>
      </c>
      <c r="CW347" s="55">
        <f t="shared" si="58"/>
        <v>0</v>
      </c>
      <c r="CX347" s="16"/>
      <c r="CY347" s="16"/>
      <c r="CZ347" s="16"/>
    </row>
    <row r="348" spans="1:108" ht="15" customHeight="1" x14ac:dyDescent="0.2">
      <c r="A348" s="1">
        <v>8002139673</v>
      </c>
      <c r="B348" s="1">
        <v>800213967</v>
      </c>
      <c r="C348" s="9">
        <v>215068250</v>
      </c>
      <c r="D348" s="10" t="s">
        <v>1008</v>
      </c>
      <c r="E348" s="46" t="s">
        <v>1850</v>
      </c>
      <c r="F348" s="21"/>
      <c r="G348" s="50"/>
      <c r="H348" s="21"/>
      <c r="I348" s="50"/>
      <c r="J348" s="21"/>
      <c r="K348" s="21"/>
      <c r="L348" s="50"/>
      <c r="M348" s="51"/>
      <c r="N348" s="21"/>
      <c r="O348" s="50"/>
      <c r="P348" s="21"/>
      <c r="Q348" s="50"/>
      <c r="R348" s="21"/>
      <c r="S348" s="21"/>
      <c r="T348" s="50"/>
      <c r="U348" s="51">
        <f t="shared" si="52"/>
        <v>0</v>
      </c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>
        <v>44103405</v>
      </c>
      <c r="AZ348" s="51"/>
      <c r="BA348" s="51">
        <f>VLOOKUP(B348,[1]Hoja3!J$3:K$674,2,0)</f>
        <v>74629237</v>
      </c>
      <c r="BB348" s="51"/>
      <c r="BC348" s="52">
        <f t="shared" si="55"/>
        <v>118732642</v>
      </c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>
        <v>8820681</v>
      </c>
      <c r="BO348" s="51"/>
      <c r="BP348" s="52">
        <v>127553323</v>
      </c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>
        <v>8820681</v>
      </c>
      <c r="CD348" s="52"/>
      <c r="CE348" s="52"/>
      <c r="CF348" s="52"/>
      <c r="CG348" s="52">
        <f t="shared" si="56"/>
        <v>136374004</v>
      </c>
      <c r="CH348" s="52"/>
      <c r="CI348" s="52"/>
      <c r="CJ348" s="52"/>
      <c r="CK348" s="52"/>
      <c r="CL348" s="52"/>
      <c r="CM348" s="52"/>
      <c r="CN348" s="52"/>
      <c r="CO348" s="52"/>
      <c r="CP348" s="52"/>
      <c r="CQ348" s="52">
        <v>8820681</v>
      </c>
      <c r="CR348" s="52"/>
      <c r="CS348" s="52">
        <f t="shared" si="53"/>
        <v>145194685</v>
      </c>
      <c r="CT348" s="53">
        <v>70565448</v>
      </c>
      <c r="CU348" s="53">
        <f t="shared" si="54"/>
        <v>74629237</v>
      </c>
      <c r="CV348" s="54">
        <f t="shared" si="57"/>
        <v>145194685</v>
      </c>
      <c r="CW348" s="55">
        <f t="shared" si="58"/>
        <v>0</v>
      </c>
      <c r="CX348" s="16"/>
      <c r="CY348" s="16"/>
      <c r="CZ348" s="16"/>
    </row>
    <row r="349" spans="1:108" ht="15" customHeight="1" x14ac:dyDescent="0.2">
      <c r="A349" s="1">
        <v>8917800499</v>
      </c>
      <c r="B349" s="1">
        <v>891780049</v>
      </c>
      <c r="C349" s="9">
        <v>215847258</v>
      </c>
      <c r="D349" s="10" t="s">
        <v>646</v>
      </c>
      <c r="E349" s="46" t="s">
        <v>1665</v>
      </c>
      <c r="F349" s="21"/>
      <c r="G349" s="50"/>
      <c r="H349" s="21"/>
      <c r="I349" s="50"/>
      <c r="J349" s="21"/>
      <c r="K349" s="21"/>
      <c r="L349" s="50"/>
      <c r="M349" s="51"/>
      <c r="N349" s="21"/>
      <c r="O349" s="50"/>
      <c r="P349" s="21"/>
      <c r="Q349" s="50"/>
      <c r="R349" s="21"/>
      <c r="S349" s="21"/>
      <c r="T349" s="50"/>
      <c r="U349" s="51">
        <f t="shared" si="52"/>
        <v>0</v>
      </c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>
        <v>287436125</v>
      </c>
      <c r="AN349" s="51">
        <f t="shared" ref="AN349:AN358" si="59">SUBTOTAL(9,AC349:AM349)</f>
        <v>287436125</v>
      </c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>
        <f>VLOOKUP(B349,[1]Hoja3!J$3:K$674,2,0)</f>
        <v>65915154</v>
      </c>
      <c r="BB349" s="51"/>
      <c r="BC349" s="52">
        <f t="shared" si="55"/>
        <v>353351279</v>
      </c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>
        <v>41325697</v>
      </c>
      <c r="BO349" s="51"/>
      <c r="BP349" s="52">
        <v>394676976</v>
      </c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>
        <v>41325697</v>
      </c>
      <c r="CD349" s="52">
        <v>206628485</v>
      </c>
      <c r="CE349" s="52"/>
      <c r="CF349" s="52"/>
      <c r="CG349" s="52">
        <f t="shared" si="56"/>
        <v>642631158</v>
      </c>
      <c r="CH349" s="52"/>
      <c r="CI349" s="52"/>
      <c r="CJ349" s="52"/>
      <c r="CK349" s="52"/>
      <c r="CL349" s="52"/>
      <c r="CM349" s="52"/>
      <c r="CN349" s="52"/>
      <c r="CO349" s="52"/>
      <c r="CP349" s="52"/>
      <c r="CQ349" s="52">
        <v>41325697</v>
      </c>
      <c r="CR349" s="52"/>
      <c r="CS349" s="52">
        <f t="shared" si="53"/>
        <v>683956855</v>
      </c>
      <c r="CT349" s="53">
        <v>330605576</v>
      </c>
      <c r="CU349" s="53">
        <f t="shared" si="54"/>
        <v>353351279</v>
      </c>
      <c r="CV349" s="54">
        <f t="shared" si="57"/>
        <v>683956855</v>
      </c>
      <c r="CW349" s="55">
        <f t="shared" si="58"/>
        <v>0</v>
      </c>
      <c r="CX349" s="16"/>
      <c r="CY349" s="16"/>
      <c r="CZ349" s="16"/>
    </row>
    <row r="350" spans="1:108" ht="15" customHeight="1" x14ac:dyDescent="0.2">
      <c r="A350" s="1">
        <v>8902081990</v>
      </c>
      <c r="B350" s="1">
        <v>890208199</v>
      </c>
      <c r="C350" s="9">
        <v>215568255</v>
      </c>
      <c r="D350" s="10" t="s">
        <v>836</v>
      </c>
      <c r="E350" s="46" t="s">
        <v>1851</v>
      </c>
      <c r="F350" s="21"/>
      <c r="G350" s="50"/>
      <c r="H350" s="21"/>
      <c r="I350" s="50"/>
      <c r="J350" s="21"/>
      <c r="K350" s="21"/>
      <c r="L350" s="50"/>
      <c r="M350" s="51"/>
      <c r="N350" s="21"/>
      <c r="O350" s="50"/>
      <c r="P350" s="21"/>
      <c r="Q350" s="50"/>
      <c r="R350" s="21"/>
      <c r="S350" s="21"/>
      <c r="T350" s="50"/>
      <c r="U350" s="51">
        <f t="shared" si="52"/>
        <v>0</v>
      </c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>
        <v>218645859</v>
      </c>
      <c r="AN350" s="51">
        <f t="shared" si="59"/>
        <v>218645859</v>
      </c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>
        <v>93276510</v>
      </c>
      <c r="AZ350" s="51"/>
      <c r="BA350" s="51"/>
      <c r="BB350" s="51"/>
      <c r="BC350" s="52">
        <f t="shared" si="55"/>
        <v>311922369</v>
      </c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>
        <v>18655302</v>
      </c>
      <c r="BO350" s="51"/>
      <c r="BP350" s="52">
        <v>330577671</v>
      </c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>
        <v>18655302</v>
      </c>
      <c r="CD350" s="52"/>
      <c r="CE350" s="52"/>
      <c r="CF350" s="52"/>
      <c r="CG350" s="52">
        <f t="shared" si="56"/>
        <v>349232973</v>
      </c>
      <c r="CH350" s="52"/>
      <c r="CI350" s="52"/>
      <c r="CJ350" s="52"/>
      <c r="CK350" s="52"/>
      <c r="CL350" s="52"/>
      <c r="CM350" s="52"/>
      <c r="CN350" s="52"/>
      <c r="CO350" s="52"/>
      <c r="CP350" s="52"/>
      <c r="CQ350" s="52">
        <v>18655302</v>
      </c>
      <c r="CR350" s="52"/>
      <c r="CS350" s="52">
        <f t="shared" si="53"/>
        <v>367888275</v>
      </c>
      <c r="CT350" s="53">
        <v>149242416</v>
      </c>
      <c r="CU350" s="53">
        <f t="shared" si="54"/>
        <v>218645859</v>
      </c>
      <c r="CV350" s="54">
        <f t="shared" si="57"/>
        <v>367888275</v>
      </c>
      <c r="CW350" s="55">
        <f t="shared" si="58"/>
        <v>0</v>
      </c>
      <c r="CX350" s="16"/>
      <c r="CY350" s="16"/>
      <c r="CZ350" s="16"/>
    </row>
    <row r="351" spans="1:108" ht="15" customHeight="1" x14ac:dyDescent="0.2">
      <c r="A351" s="1">
        <v>8190009259</v>
      </c>
      <c r="B351" s="1">
        <v>819000925</v>
      </c>
      <c r="C351" s="9">
        <v>216847268</v>
      </c>
      <c r="D351" s="10" t="s">
        <v>647</v>
      </c>
      <c r="E351" s="46" t="s">
        <v>1666</v>
      </c>
      <c r="F351" s="21"/>
      <c r="G351" s="50"/>
      <c r="H351" s="21"/>
      <c r="I351" s="50"/>
      <c r="J351" s="21"/>
      <c r="K351" s="21"/>
      <c r="L351" s="50"/>
      <c r="M351" s="51"/>
      <c r="N351" s="21"/>
      <c r="O351" s="50"/>
      <c r="P351" s="21"/>
      <c r="Q351" s="50"/>
      <c r="R351" s="21"/>
      <c r="S351" s="21"/>
      <c r="T351" s="50"/>
      <c r="U351" s="51">
        <f t="shared" si="52"/>
        <v>0</v>
      </c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>
        <v>526203762</v>
      </c>
      <c r="AN351" s="51">
        <f t="shared" si="59"/>
        <v>526203762</v>
      </c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>
        <v>292403720</v>
      </c>
      <c r="AZ351" s="51"/>
      <c r="BA351" s="51"/>
      <c r="BB351" s="51">
        <f>VLOOKUP(B351,'[2]anuladas en mayo gratuidad}'!K$2:L$55,2,0)</f>
        <v>126273895</v>
      </c>
      <c r="BC351" s="52">
        <f t="shared" si="55"/>
        <v>692333587</v>
      </c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>
        <v>58480744</v>
      </c>
      <c r="BO351" s="51">
        <v>126273895</v>
      </c>
      <c r="BP351" s="52">
        <v>877088226</v>
      </c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>
        <v>58480744</v>
      </c>
      <c r="CD351" s="52"/>
      <c r="CE351" s="52"/>
      <c r="CF351" s="52"/>
      <c r="CG351" s="52">
        <f t="shared" si="56"/>
        <v>935568970</v>
      </c>
      <c r="CH351" s="52"/>
      <c r="CI351" s="52"/>
      <c r="CJ351" s="52"/>
      <c r="CK351" s="52"/>
      <c r="CL351" s="52"/>
      <c r="CM351" s="52"/>
      <c r="CN351" s="52"/>
      <c r="CO351" s="52"/>
      <c r="CP351" s="52"/>
      <c r="CQ351" s="52">
        <v>58480744</v>
      </c>
      <c r="CR351" s="52"/>
      <c r="CS351" s="52">
        <f t="shared" si="53"/>
        <v>994049714</v>
      </c>
      <c r="CT351" s="53">
        <v>467845952</v>
      </c>
      <c r="CU351" s="53">
        <f t="shared" si="54"/>
        <v>526203762</v>
      </c>
      <c r="CV351" s="54">
        <f t="shared" si="57"/>
        <v>994049714</v>
      </c>
      <c r="CW351" s="55">
        <f t="shared" si="58"/>
        <v>0</v>
      </c>
      <c r="CX351" s="16"/>
      <c r="CY351" s="16"/>
      <c r="CZ351" s="16"/>
    </row>
    <row r="352" spans="1:108" ht="15" customHeight="1" x14ac:dyDescent="0.2">
      <c r="A352" s="1">
        <v>8001914271</v>
      </c>
      <c r="B352" s="1">
        <v>800191427</v>
      </c>
      <c r="C352" s="9">
        <v>212595025</v>
      </c>
      <c r="D352" s="10" t="s">
        <v>992</v>
      </c>
      <c r="E352" s="46" t="s">
        <v>2049</v>
      </c>
      <c r="F352" s="21"/>
      <c r="G352" s="50"/>
      <c r="H352" s="21"/>
      <c r="I352" s="50"/>
      <c r="J352" s="21"/>
      <c r="K352" s="21"/>
      <c r="L352" s="50"/>
      <c r="M352" s="51"/>
      <c r="N352" s="21"/>
      <c r="O352" s="50"/>
      <c r="P352" s="21"/>
      <c r="Q352" s="50"/>
      <c r="R352" s="21"/>
      <c r="S352" s="21"/>
      <c r="T352" s="50"/>
      <c r="U352" s="51">
        <f t="shared" si="52"/>
        <v>0</v>
      </c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>
        <v>222441463</v>
      </c>
      <c r="AN352" s="51">
        <f t="shared" si="59"/>
        <v>222441463</v>
      </c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>
        <v>207984975</v>
      </c>
      <c r="AZ352" s="51"/>
      <c r="BA352" s="51"/>
      <c r="BB352" s="51"/>
      <c r="BC352" s="52">
        <f t="shared" si="55"/>
        <v>430426438</v>
      </c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>
        <v>41596995</v>
      </c>
      <c r="BO352" s="51"/>
      <c r="BP352" s="52">
        <v>472023433</v>
      </c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>
        <v>41596995</v>
      </c>
      <c r="CD352" s="52"/>
      <c r="CE352" s="52"/>
      <c r="CF352" s="52"/>
      <c r="CG352" s="52">
        <f t="shared" si="56"/>
        <v>513620428</v>
      </c>
      <c r="CH352" s="52"/>
      <c r="CI352" s="52"/>
      <c r="CJ352" s="52"/>
      <c r="CK352" s="52"/>
      <c r="CL352" s="52"/>
      <c r="CM352" s="52"/>
      <c r="CN352" s="52"/>
      <c r="CO352" s="52"/>
      <c r="CP352" s="52"/>
      <c r="CQ352" s="52">
        <v>41596995</v>
      </c>
      <c r="CR352" s="52"/>
      <c r="CS352" s="52">
        <f t="shared" si="53"/>
        <v>555217423</v>
      </c>
      <c r="CT352" s="53">
        <v>332775960</v>
      </c>
      <c r="CU352" s="53">
        <f t="shared" si="54"/>
        <v>222441463</v>
      </c>
      <c r="CV352" s="54">
        <f t="shared" si="57"/>
        <v>555217423</v>
      </c>
      <c r="CW352" s="55">
        <f t="shared" si="58"/>
        <v>0</v>
      </c>
      <c r="CX352" s="16"/>
      <c r="CY352" s="16"/>
      <c r="CZ352" s="16"/>
    </row>
    <row r="353" spans="1:108" ht="15" customHeight="1" x14ac:dyDescent="0.2">
      <c r="A353" s="1">
        <v>8230025955</v>
      </c>
      <c r="B353" s="1">
        <v>823002595</v>
      </c>
      <c r="C353" s="9">
        <v>213370233</v>
      </c>
      <c r="D353" s="10" t="s">
        <v>896</v>
      </c>
      <c r="E353" s="46" t="s">
        <v>1909</v>
      </c>
      <c r="F353" s="21"/>
      <c r="G353" s="50"/>
      <c r="H353" s="21"/>
      <c r="I353" s="50"/>
      <c r="J353" s="21"/>
      <c r="K353" s="21"/>
      <c r="L353" s="50"/>
      <c r="M353" s="51"/>
      <c r="N353" s="21"/>
      <c r="O353" s="50"/>
      <c r="P353" s="21"/>
      <c r="Q353" s="50"/>
      <c r="R353" s="21"/>
      <c r="S353" s="21"/>
      <c r="T353" s="50"/>
      <c r="U353" s="51">
        <f t="shared" si="52"/>
        <v>0</v>
      </c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>
        <v>37382790</v>
      </c>
      <c r="AN353" s="51">
        <f t="shared" si="59"/>
        <v>37382790</v>
      </c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>
        <f>VLOOKUP(B353,[1]Hoja3!J$3:K$674,2,0)</f>
        <v>143235066</v>
      </c>
      <c r="BB353" s="51"/>
      <c r="BC353" s="52">
        <f t="shared" si="55"/>
        <v>180617856</v>
      </c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>
        <v>25785696</v>
      </c>
      <c r="BO353" s="51"/>
      <c r="BP353" s="52">
        <v>206403552</v>
      </c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>
        <v>25785696</v>
      </c>
      <c r="CD353" s="52">
        <v>128928480</v>
      </c>
      <c r="CE353" s="52"/>
      <c r="CF353" s="52"/>
      <c r="CG353" s="52">
        <f t="shared" si="56"/>
        <v>361117728</v>
      </c>
      <c r="CH353" s="52"/>
      <c r="CI353" s="52"/>
      <c r="CJ353" s="52"/>
      <c r="CK353" s="52"/>
      <c r="CL353" s="52"/>
      <c r="CM353" s="52"/>
      <c r="CN353" s="52"/>
      <c r="CO353" s="52"/>
      <c r="CP353" s="52"/>
      <c r="CQ353" s="52">
        <v>25785696</v>
      </c>
      <c r="CR353" s="52"/>
      <c r="CS353" s="52">
        <f t="shared" si="53"/>
        <v>386903424</v>
      </c>
      <c r="CT353" s="53">
        <v>206285568</v>
      </c>
      <c r="CU353" s="53">
        <f t="shared" si="54"/>
        <v>180617856</v>
      </c>
      <c r="CV353" s="54">
        <f t="shared" si="57"/>
        <v>386903424</v>
      </c>
      <c r="CW353" s="55">
        <f t="shared" si="58"/>
        <v>0</v>
      </c>
      <c r="CX353" s="16"/>
      <c r="CY353" s="16"/>
      <c r="CZ353" s="16"/>
    </row>
    <row r="354" spans="1:108" ht="15" customHeight="1" x14ac:dyDescent="0.2">
      <c r="A354" s="1">
        <v>8320023184</v>
      </c>
      <c r="B354" s="1">
        <v>832002318</v>
      </c>
      <c r="C354" s="9">
        <v>216025260</v>
      </c>
      <c r="D354" s="10" t="s">
        <v>483</v>
      </c>
      <c r="E354" s="46" t="s">
        <v>1510</v>
      </c>
      <c r="F354" s="21"/>
      <c r="G354" s="50"/>
      <c r="H354" s="21"/>
      <c r="I354" s="50"/>
      <c r="J354" s="21"/>
      <c r="K354" s="21"/>
      <c r="L354" s="50"/>
      <c r="M354" s="51"/>
      <c r="N354" s="21"/>
      <c r="O354" s="50"/>
      <c r="P354" s="21"/>
      <c r="Q354" s="50"/>
      <c r="R354" s="21"/>
      <c r="S354" s="21"/>
      <c r="T354" s="50"/>
      <c r="U354" s="51">
        <f t="shared" si="52"/>
        <v>0</v>
      </c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>
        <v>228850982</v>
      </c>
      <c r="AN354" s="51">
        <f t="shared" si="59"/>
        <v>228850982</v>
      </c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>
        <v>82709495</v>
      </c>
      <c r="AZ354" s="51"/>
      <c r="BA354" s="51"/>
      <c r="BB354" s="51"/>
      <c r="BC354" s="52">
        <f t="shared" si="55"/>
        <v>311560477</v>
      </c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>
        <v>16541899</v>
      </c>
      <c r="BO354" s="51"/>
      <c r="BP354" s="52">
        <v>328102376</v>
      </c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>
        <v>16541899</v>
      </c>
      <c r="CD354" s="52"/>
      <c r="CE354" s="52"/>
      <c r="CF354" s="52"/>
      <c r="CG354" s="52">
        <f t="shared" si="56"/>
        <v>344644275</v>
      </c>
      <c r="CH354" s="52"/>
      <c r="CI354" s="52"/>
      <c r="CJ354" s="52"/>
      <c r="CK354" s="52"/>
      <c r="CL354" s="52"/>
      <c r="CM354" s="52"/>
      <c r="CN354" s="52"/>
      <c r="CO354" s="52"/>
      <c r="CP354" s="52"/>
      <c r="CQ354" s="52">
        <v>16541899</v>
      </c>
      <c r="CR354" s="52"/>
      <c r="CS354" s="52">
        <f t="shared" si="53"/>
        <v>361186174</v>
      </c>
      <c r="CT354" s="53">
        <v>132335192</v>
      </c>
      <c r="CU354" s="53">
        <f t="shared" si="54"/>
        <v>228850982</v>
      </c>
      <c r="CV354" s="54">
        <f t="shared" si="57"/>
        <v>361186174</v>
      </c>
      <c r="CW354" s="55">
        <f t="shared" si="58"/>
        <v>0</v>
      </c>
      <c r="CX354" s="16"/>
      <c r="CY354" s="16"/>
      <c r="CZ354" s="16"/>
    </row>
    <row r="355" spans="1:108" ht="15" customHeight="1" x14ac:dyDescent="0.2">
      <c r="A355" s="1">
        <v>8000990799</v>
      </c>
      <c r="B355" s="1">
        <v>800099079</v>
      </c>
      <c r="C355" s="9">
        <v>215652256</v>
      </c>
      <c r="D355" s="10" t="s">
        <v>707</v>
      </c>
      <c r="E355" s="46" t="s">
        <v>1730</v>
      </c>
      <c r="F355" s="21"/>
      <c r="G355" s="50"/>
      <c r="H355" s="21"/>
      <c r="I355" s="50"/>
      <c r="J355" s="21"/>
      <c r="K355" s="21"/>
      <c r="L355" s="50"/>
      <c r="M355" s="51"/>
      <c r="N355" s="21"/>
      <c r="O355" s="50"/>
      <c r="P355" s="21"/>
      <c r="Q355" s="50"/>
      <c r="R355" s="21"/>
      <c r="S355" s="21"/>
      <c r="T355" s="50"/>
      <c r="U355" s="51">
        <f t="shared" si="52"/>
        <v>0</v>
      </c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>
        <v>59938249</v>
      </c>
      <c r="AN355" s="51">
        <f t="shared" si="59"/>
        <v>59938249</v>
      </c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>
        <v>91548060</v>
      </c>
      <c r="AZ355" s="51"/>
      <c r="BA355" s="51">
        <f>VLOOKUP(B355,[1]Hoja3!J$3:K$674,2,0)</f>
        <v>40460291</v>
      </c>
      <c r="BB355" s="51"/>
      <c r="BC355" s="52">
        <f t="shared" si="55"/>
        <v>191946600</v>
      </c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>
        <v>18309612</v>
      </c>
      <c r="BO355" s="51"/>
      <c r="BP355" s="52">
        <v>210256212</v>
      </c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>
        <v>18309612</v>
      </c>
      <c r="CD355" s="52"/>
      <c r="CE355" s="52"/>
      <c r="CF355" s="52"/>
      <c r="CG355" s="52">
        <f t="shared" si="56"/>
        <v>228565824</v>
      </c>
      <c r="CH355" s="52"/>
      <c r="CI355" s="52"/>
      <c r="CJ355" s="52"/>
      <c r="CK355" s="52"/>
      <c r="CL355" s="52"/>
      <c r="CM355" s="52"/>
      <c r="CN355" s="52"/>
      <c r="CO355" s="52"/>
      <c r="CP355" s="52"/>
      <c r="CQ355" s="52">
        <v>18309612</v>
      </c>
      <c r="CR355" s="52"/>
      <c r="CS355" s="52">
        <f t="shared" si="53"/>
        <v>246875436</v>
      </c>
      <c r="CT355" s="53">
        <v>146476896</v>
      </c>
      <c r="CU355" s="53">
        <f t="shared" si="54"/>
        <v>100398540</v>
      </c>
      <c r="CV355" s="54">
        <f t="shared" si="57"/>
        <v>246875436</v>
      </c>
      <c r="CW355" s="55">
        <f t="shared" si="58"/>
        <v>0</v>
      </c>
      <c r="CX355" s="16"/>
      <c r="CY355" s="16"/>
      <c r="CZ355" s="16"/>
    </row>
    <row r="356" spans="1:108" ht="15" customHeight="1" x14ac:dyDescent="0.2">
      <c r="A356" s="1">
        <v>8909838138</v>
      </c>
      <c r="B356" s="1">
        <v>890983813</v>
      </c>
      <c r="C356" s="9">
        <v>219705697</v>
      </c>
      <c r="D356" s="10" t="s">
        <v>140</v>
      </c>
      <c r="E356" s="46" t="s">
        <v>1169</v>
      </c>
      <c r="F356" s="21"/>
      <c r="G356" s="50"/>
      <c r="H356" s="21"/>
      <c r="I356" s="50"/>
      <c r="J356" s="21"/>
      <c r="K356" s="21"/>
      <c r="L356" s="50"/>
      <c r="M356" s="51"/>
      <c r="N356" s="21"/>
      <c r="O356" s="50"/>
      <c r="P356" s="21"/>
      <c r="Q356" s="50"/>
      <c r="R356" s="21"/>
      <c r="S356" s="21"/>
      <c r="T356" s="50"/>
      <c r="U356" s="51">
        <f t="shared" si="52"/>
        <v>0</v>
      </c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>
        <v>154939389</v>
      </c>
      <c r="AN356" s="51">
        <f t="shared" si="59"/>
        <v>154939389</v>
      </c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>
        <v>168359175</v>
      </c>
      <c r="AZ356" s="51"/>
      <c r="BA356" s="51">
        <f>VLOOKUP(B356,[1]Hoja3!J$3:K$674,2,0)</f>
        <v>263394022</v>
      </c>
      <c r="BB356" s="51"/>
      <c r="BC356" s="52">
        <f t="shared" si="55"/>
        <v>586692586</v>
      </c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>
        <v>33671835</v>
      </c>
      <c r="BO356" s="51"/>
      <c r="BP356" s="52">
        <v>620364421</v>
      </c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>
        <v>33671835</v>
      </c>
      <c r="CD356" s="52"/>
      <c r="CE356" s="52"/>
      <c r="CF356" s="52"/>
      <c r="CG356" s="52">
        <f t="shared" si="56"/>
        <v>654036256</v>
      </c>
      <c r="CH356" s="52"/>
      <c r="CI356" s="52"/>
      <c r="CJ356" s="52"/>
      <c r="CK356" s="52"/>
      <c r="CL356" s="52"/>
      <c r="CM356" s="52"/>
      <c r="CN356" s="52"/>
      <c r="CO356" s="52"/>
      <c r="CP356" s="52"/>
      <c r="CQ356" s="52">
        <v>33671835</v>
      </c>
      <c r="CR356" s="52"/>
      <c r="CS356" s="52">
        <f t="shared" si="53"/>
        <v>687708091</v>
      </c>
      <c r="CT356" s="53">
        <v>269374680</v>
      </c>
      <c r="CU356" s="53">
        <f t="shared" si="54"/>
        <v>418333411</v>
      </c>
      <c r="CV356" s="54">
        <f t="shared" si="57"/>
        <v>687708091</v>
      </c>
      <c r="CW356" s="55">
        <f t="shared" si="58"/>
        <v>0</v>
      </c>
      <c r="CX356" s="16"/>
      <c r="CY356" s="16"/>
      <c r="CZ356" s="16"/>
    </row>
    <row r="357" spans="1:108" ht="15" customHeight="1" x14ac:dyDescent="0.2">
      <c r="A357" s="1">
        <v>8000990807</v>
      </c>
      <c r="B357" s="1">
        <v>800099080</v>
      </c>
      <c r="C357" s="9">
        <v>215852258</v>
      </c>
      <c r="D357" s="10" t="s">
        <v>708</v>
      </c>
      <c r="E357" s="46" t="s">
        <v>1731</v>
      </c>
      <c r="F357" s="21"/>
      <c r="G357" s="50"/>
      <c r="H357" s="21"/>
      <c r="I357" s="50"/>
      <c r="J357" s="21"/>
      <c r="K357" s="21"/>
      <c r="L357" s="50"/>
      <c r="M357" s="51"/>
      <c r="N357" s="21"/>
      <c r="O357" s="50"/>
      <c r="P357" s="21"/>
      <c r="Q357" s="50"/>
      <c r="R357" s="21"/>
      <c r="S357" s="21"/>
      <c r="T357" s="50"/>
      <c r="U357" s="51">
        <f t="shared" si="52"/>
        <v>0</v>
      </c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>
        <v>226095861</v>
      </c>
      <c r="AN357" s="51">
        <f t="shared" si="59"/>
        <v>226095861</v>
      </c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>
        <v>117994050</v>
      </c>
      <c r="AZ357" s="51"/>
      <c r="BA357" s="51"/>
      <c r="BB357" s="51"/>
      <c r="BC357" s="52">
        <f t="shared" si="55"/>
        <v>344089911</v>
      </c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>
        <v>23598810</v>
      </c>
      <c r="BO357" s="51"/>
      <c r="BP357" s="52">
        <v>367688721</v>
      </c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>
        <v>23598810</v>
      </c>
      <c r="CD357" s="52"/>
      <c r="CE357" s="52"/>
      <c r="CF357" s="52"/>
      <c r="CG357" s="52">
        <f t="shared" si="56"/>
        <v>391287531</v>
      </c>
      <c r="CH357" s="52"/>
      <c r="CI357" s="52"/>
      <c r="CJ357" s="52"/>
      <c r="CK357" s="52"/>
      <c r="CL357" s="52"/>
      <c r="CM357" s="52"/>
      <c r="CN357" s="52"/>
      <c r="CO357" s="52"/>
      <c r="CP357" s="52"/>
      <c r="CQ357" s="52">
        <v>23598810</v>
      </c>
      <c r="CR357" s="52"/>
      <c r="CS357" s="52">
        <f t="shared" si="53"/>
        <v>414886341</v>
      </c>
      <c r="CT357" s="53">
        <v>188790480</v>
      </c>
      <c r="CU357" s="53">
        <f t="shared" si="54"/>
        <v>226095861</v>
      </c>
      <c r="CV357" s="54">
        <f t="shared" si="57"/>
        <v>414886341</v>
      </c>
      <c r="CW357" s="55">
        <f t="shared" si="58"/>
        <v>0</v>
      </c>
      <c r="CX357" s="16"/>
      <c r="CY357" s="16"/>
      <c r="CZ357" s="16"/>
    </row>
    <row r="358" spans="1:108" ht="15" customHeight="1" x14ac:dyDescent="0.2">
      <c r="A358" s="1">
        <v>8915009786</v>
      </c>
      <c r="B358" s="1">
        <v>891500978</v>
      </c>
      <c r="C358" s="9">
        <v>215619256</v>
      </c>
      <c r="D358" s="10" t="s">
        <v>382</v>
      </c>
      <c r="E358" s="48" t="s">
        <v>2102</v>
      </c>
      <c r="F358" s="21"/>
      <c r="G358" s="50"/>
      <c r="H358" s="21"/>
      <c r="I358" s="50"/>
      <c r="J358" s="21"/>
      <c r="K358" s="21"/>
      <c r="L358" s="50"/>
      <c r="M358" s="51"/>
      <c r="N358" s="21"/>
      <c r="O358" s="50"/>
      <c r="P358" s="21"/>
      <c r="Q358" s="50"/>
      <c r="R358" s="21"/>
      <c r="S358" s="21"/>
      <c r="T358" s="50"/>
      <c r="U358" s="51">
        <f t="shared" si="52"/>
        <v>0</v>
      </c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>
        <v>191512871</v>
      </c>
      <c r="AN358" s="51">
        <f t="shared" si="59"/>
        <v>191512871</v>
      </c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>
        <f>VLOOKUP(B358,[1]Hoja3!J$3:K$674,2,0)</f>
        <v>367735282</v>
      </c>
      <c r="BB358" s="51"/>
      <c r="BC358" s="52">
        <f t="shared" si="55"/>
        <v>559248153</v>
      </c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>
        <v>0</v>
      </c>
      <c r="BO358" s="51"/>
      <c r="BP358" s="52">
        <v>559248153</v>
      </c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>
        <v>0</v>
      </c>
      <c r="CD358" s="52"/>
      <c r="CE358" s="52"/>
      <c r="CF358" s="52"/>
      <c r="CG358" s="52">
        <f t="shared" si="56"/>
        <v>559248153</v>
      </c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>
        <f t="shared" si="53"/>
        <v>559248153</v>
      </c>
      <c r="CT358" s="53"/>
      <c r="CU358" s="53">
        <f t="shared" si="54"/>
        <v>559248153</v>
      </c>
      <c r="CV358" s="54">
        <f t="shared" si="57"/>
        <v>559248153</v>
      </c>
      <c r="CW358" s="55">
        <f t="shared" si="58"/>
        <v>0</v>
      </c>
      <c r="CX358" s="16"/>
      <c r="CY358" s="16"/>
      <c r="CZ358" s="16"/>
    </row>
    <row r="359" spans="1:108" ht="15" customHeight="1" x14ac:dyDescent="0.2">
      <c r="A359" s="1">
        <v>8000990846</v>
      </c>
      <c r="B359" s="1">
        <v>800099084</v>
      </c>
      <c r="C359" s="9">
        <v>216052260</v>
      </c>
      <c r="D359" s="10" t="s">
        <v>709</v>
      </c>
      <c r="E359" s="46" t="s">
        <v>1732</v>
      </c>
      <c r="F359" s="21"/>
      <c r="G359" s="50"/>
      <c r="H359" s="21"/>
      <c r="I359" s="50"/>
      <c r="J359" s="21"/>
      <c r="K359" s="21"/>
      <c r="L359" s="50"/>
      <c r="M359" s="51"/>
      <c r="N359" s="21"/>
      <c r="O359" s="50"/>
      <c r="P359" s="21"/>
      <c r="Q359" s="50"/>
      <c r="R359" s="21"/>
      <c r="S359" s="21"/>
      <c r="T359" s="50"/>
      <c r="U359" s="51">
        <f t="shared" si="52"/>
        <v>0</v>
      </c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>
        <v>107894040</v>
      </c>
      <c r="AZ359" s="51"/>
      <c r="BA359" s="51">
        <f>VLOOKUP(B359,[1]Hoja3!J$3:K$674,2,0)</f>
        <v>66158805</v>
      </c>
      <c r="BB359" s="51"/>
      <c r="BC359" s="52">
        <f t="shared" si="55"/>
        <v>174052845</v>
      </c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>
        <v>21578808</v>
      </c>
      <c r="BO359" s="51"/>
      <c r="BP359" s="52">
        <v>195631653</v>
      </c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>
        <v>21578808</v>
      </c>
      <c r="CD359" s="52"/>
      <c r="CE359" s="52"/>
      <c r="CF359" s="52"/>
      <c r="CG359" s="52">
        <f t="shared" si="56"/>
        <v>217210461</v>
      </c>
      <c r="CH359" s="52"/>
      <c r="CI359" s="52"/>
      <c r="CJ359" s="52"/>
      <c r="CK359" s="52"/>
      <c r="CL359" s="52"/>
      <c r="CM359" s="52"/>
      <c r="CN359" s="52"/>
      <c r="CO359" s="52"/>
      <c r="CP359" s="52"/>
      <c r="CQ359" s="52">
        <v>21578808</v>
      </c>
      <c r="CR359" s="52"/>
      <c r="CS359" s="52">
        <f t="shared" si="53"/>
        <v>238789269</v>
      </c>
      <c r="CT359" s="53">
        <v>172630464</v>
      </c>
      <c r="CU359" s="53">
        <f t="shared" si="54"/>
        <v>66158805</v>
      </c>
      <c r="CV359" s="54">
        <f t="shared" si="57"/>
        <v>238789269</v>
      </c>
      <c r="CW359" s="55">
        <f t="shared" si="58"/>
        <v>0</v>
      </c>
      <c r="CX359" s="16"/>
      <c r="CY359" s="8"/>
      <c r="CZ359" s="8"/>
      <c r="DA359" s="8"/>
      <c r="DB359" s="8"/>
      <c r="DC359" s="8"/>
      <c r="DD359" s="8"/>
    </row>
    <row r="360" spans="1:108" ht="15" customHeight="1" x14ac:dyDescent="0.2">
      <c r="A360" s="1">
        <v>8001389593</v>
      </c>
      <c r="B360" s="1">
        <v>800138959</v>
      </c>
      <c r="C360" s="9">
        <v>215054250</v>
      </c>
      <c r="D360" s="10" t="s">
        <v>763</v>
      </c>
      <c r="E360" s="46" t="s">
        <v>1781</v>
      </c>
      <c r="F360" s="21"/>
      <c r="G360" s="50"/>
      <c r="H360" s="21"/>
      <c r="I360" s="50"/>
      <c r="J360" s="21"/>
      <c r="K360" s="21"/>
      <c r="L360" s="50"/>
      <c r="M360" s="51"/>
      <c r="N360" s="21"/>
      <c r="O360" s="50"/>
      <c r="P360" s="21"/>
      <c r="Q360" s="50"/>
      <c r="R360" s="21"/>
      <c r="S360" s="21"/>
      <c r="T360" s="50"/>
      <c r="U360" s="51">
        <f t="shared" si="52"/>
        <v>0</v>
      </c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>
        <v>268613035</v>
      </c>
      <c r="AZ360" s="51"/>
      <c r="BA360" s="51">
        <f>VLOOKUP(B360,[1]Hoja3!J$3:K$674,2,0)</f>
        <v>185456787</v>
      </c>
      <c r="BB360" s="51"/>
      <c r="BC360" s="52">
        <f t="shared" si="55"/>
        <v>454069822</v>
      </c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>
        <v>53722607</v>
      </c>
      <c r="BO360" s="51"/>
      <c r="BP360" s="52">
        <v>507792429</v>
      </c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>
        <v>53722607</v>
      </c>
      <c r="CD360" s="52"/>
      <c r="CE360" s="52"/>
      <c r="CF360" s="52"/>
      <c r="CG360" s="52">
        <f t="shared" si="56"/>
        <v>561515036</v>
      </c>
      <c r="CH360" s="52"/>
      <c r="CI360" s="52"/>
      <c r="CJ360" s="52"/>
      <c r="CK360" s="52"/>
      <c r="CL360" s="52"/>
      <c r="CM360" s="52"/>
      <c r="CN360" s="52"/>
      <c r="CO360" s="52"/>
      <c r="CP360" s="52"/>
      <c r="CQ360" s="52">
        <v>53722607</v>
      </c>
      <c r="CR360" s="52"/>
      <c r="CS360" s="52">
        <f t="shared" si="53"/>
        <v>615237643</v>
      </c>
      <c r="CT360" s="53">
        <v>429780856</v>
      </c>
      <c r="CU360" s="53">
        <f t="shared" si="54"/>
        <v>185456787</v>
      </c>
      <c r="CV360" s="54">
        <f t="shared" si="57"/>
        <v>615237643</v>
      </c>
      <c r="CW360" s="55">
        <f t="shared" si="58"/>
        <v>0</v>
      </c>
      <c r="CX360" s="16"/>
      <c r="CY360" s="8"/>
      <c r="CZ360" s="8"/>
      <c r="DA360" s="8"/>
      <c r="DB360" s="8"/>
      <c r="DC360" s="8"/>
      <c r="DD360" s="8"/>
    </row>
    <row r="361" spans="1:108" ht="15" customHeight="1" x14ac:dyDescent="0.2">
      <c r="A361" s="1">
        <v>8000398039</v>
      </c>
      <c r="B361" s="1">
        <v>800039803</v>
      </c>
      <c r="C361" s="9">
        <v>216154261</v>
      </c>
      <c r="D361" s="10" t="s">
        <v>764</v>
      </c>
      <c r="E361" s="46" t="s">
        <v>1782</v>
      </c>
      <c r="F361" s="21"/>
      <c r="G361" s="50"/>
      <c r="H361" s="21"/>
      <c r="I361" s="50"/>
      <c r="J361" s="21"/>
      <c r="K361" s="21"/>
      <c r="L361" s="50"/>
      <c r="M361" s="51"/>
      <c r="N361" s="21"/>
      <c r="O361" s="50"/>
      <c r="P361" s="21"/>
      <c r="Q361" s="50"/>
      <c r="R361" s="21"/>
      <c r="S361" s="21"/>
      <c r="T361" s="50"/>
      <c r="U361" s="51">
        <f t="shared" si="52"/>
        <v>0</v>
      </c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>
        <v>266005079</v>
      </c>
      <c r="AN361" s="51">
        <f>SUBTOTAL(9,AC361:AM361)</f>
        <v>266005079</v>
      </c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>
        <v>194947555</v>
      </c>
      <c r="AZ361" s="51"/>
      <c r="BA361" s="51">
        <f>VLOOKUP(B361,[1]Hoja3!J$3:K$674,2,0)</f>
        <v>144451766</v>
      </c>
      <c r="BB361" s="51"/>
      <c r="BC361" s="52">
        <f t="shared" si="55"/>
        <v>605404400</v>
      </c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>
        <v>38989511</v>
      </c>
      <c r="BO361" s="51"/>
      <c r="BP361" s="52">
        <v>644393911</v>
      </c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>
        <v>38989511</v>
      </c>
      <c r="CD361" s="52"/>
      <c r="CE361" s="52"/>
      <c r="CF361" s="52"/>
      <c r="CG361" s="52">
        <f t="shared" si="56"/>
        <v>683383422</v>
      </c>
      <c r="CH361" s="52"/>
      <c r="CI361" s="52"/>
      <c r="CJ361" s="52"/>
      <c r="CK361" s="52"/>
      <c r="CL361" s="52"/>
      <c r="CM361" s="52"/>
      <c r="CN361" s="52"/>
      <c r="CO361" s="52"/>
      <c r="CP361" s="52"/>
      <c r="CQ361" s="52">
        <v>38989511</v>
      </c>
      <c r="CR361" s="52"/>
      <c r="CS361" s="52">
        <f t="shared" si="53"/>
        <v>722372933</v>
      </c>
      <c r="CT361" s="53">
        <v>311916088</v>
      </c>
      <c r="CU361" s="53">
        <f t="shared" si="54"/>
        <v>410456845</v>
      </c>
      <c r="CV361" s="54">
        <f t="shared" si="57"/>
        <v>722372933</v>
      </c>
      <c r="CW361" s="55">
        <f t="shared" si="58"/>
        <v>0</v>
      </c>
      <c r="CX361" s="16"/>
      <c r="CY361" s="16"/>
      <c r="CZ361" s="16"/>
    </row>
    <row r="362" spans="1:108" ht="15" customHeight="1" x14ac:dyDescent="0.2">
      <c r="A362" s="1">
        <v>8911801328</v>
      </c>
      <c r="B362" s="1">
        <v>891180132</v>
      </c>
      <c r="C362" s="9">
        <v>214441244</v>
      </c>
      <c r="D362" s="10" t="s">
        <v>601</v>
      </c>
      <c r="E362" s="46" t="s">
        <v>1620</v>
      </c>
      <c r="F362" s="21"/>
      <c r="G362" s="50"/>
      <c r="H362" s="21"/>
      <c r="I362" s="50"/>
      <c r="J362" s="21"/>
      <c r="K362" s="21"/>
      <c r="L362" s="50"/>
      <c r="M362" s="51"/>
      <c r="N362" s="21"/>
      <c r="O362" s="50"/>
      <c r="P362" s="21"/>
      <c r="Q362" s="50"/>
      <c r="R362" s="21"/>
      <c r="S362" s="21"/>
      <c r="T362" s="50"/>
      <c r="U362" s="51">
        <f t="shared" si="52"/>
        <v>0</v>
      </c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>
        <f>VLOOKUP(B362,[1]Hoja3!J$3:K$674,2,0)</f>
        <v>62341337</v>
      </c>
      <c r="BB362" s="51"/>
      <c r="BC362" s="52">
        <f t="shared" si="55"/>
        <v>62341337</v>
      </c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>
        <v>5036549</v>
      </c>
      <c r="BO362" s="51"/>
      <c r="BP362" s="52">
        <v>67377886</v>
      </c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>
        <v>5036549</v>
      </c>
      <c r="CD362" s="52">
        <v>25182745</v>
      </c>
      <c r="CE362" s="52"/>
      <c r="CF362" s="52"/>
      <c r="CG362" s="52">
        <f t="shared" si="56"/>
        <v>97597180</v>
      </c>
      <c r="CH362" s="52"/>
      <c r="CI362" s="52"/>
      <c r="CJ362" s="52"/>
      <c r="CK362" s="52"/>
      <c r="CL362" s="52"/>
      <c r="CM362" s="52"/>
      <c r="CN362" s="52"/>
      <c r="CO362" s="52"/>
      <c r="CP362" s="52"/>
      <c r="CQ362" s="52">
        <v>5036549</v>
      </c>
      <c r="CR362" s="52"/>
      <c r="CS362" s="52">
        <f t="shared" si="53"/>
        <v>102633729</v>
      </c>
      <c r="CT362" s="53">
        <v>40292392</v>
      </c>
      <c r="CU362" s="53">
        <f t="shared" si="54"/>
        <v>62341337</v>
      </c>
      <c r="CV362" s="54">
        <f t="shared" si="57"/>
        <v>102633729</v>
      </c>
      <c r="CW362" s="55">
        <f t="shared" si="58"/>
        <v>0</v>
      </c>
      <c r="CX362" s="16"/>
      <c r="CY362" s="16"/>
      <c r="CZ362" s="16"/>
    </row>
    <row r="363" spans="1:108" ht="15" customHeight="1" x14ac:dyDescent="0.2">
      <c r="A363" s="1">
        <v>8902051141</v>
      </c>
      <c r="B363" s="1">
        <v>890205114</v>
      </c>
      <c r="C363" s="9">
        <v>216468264</v>
      </c>
      <c r="D363" s="10" t="s">
        <v>837</v>
      </c>
      <c r="E363" s="46" t="s">
        <v>1852</v>
      </c>
      <c r="F363" s="21"/>
      <c r="G363" s="50"/>
      <c r="H363" s="21"/>
      <c r="I363" s="50"/>
      <c r="J363" s="21"/>
      <c r="K363" s="21"/>
      <c r="L363" s="50"/>
      <c r="M363" s="51"/>
      <c r="N363" s="21"/>
      <c r="O363" s="50"/>
      <c r="P363" s="21"/>
      <c r="Q363" s="50"/>
      <c r="R363" s="21"/>
      <c r="S363" s="21"/>
      <c r="T363" s="50"/>
      <c r="U363" s="51">
        <f t="shared" si="52"/>
        <v>0</v>
      </c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>
        <v>36591777</v>
      </c>
      <c r="AN363" s="51">
        <f t="shared" ref="AN363:AN368" si="60">SUBTOTAL(9,AC363:AM363)</f>
        <v>36591777</v>
      </c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>
        <v>18003620</v>
      </c>
      <c r="AZ363" s="51"/>
      <c r="BA363" s="51"/>
      <c r="BB363" s="51"/>
      <c r="BC363" s="52">
        <f t="shared" si="55"/>
        <v>54595397</v>
      </c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>
        <v>3600724</v>
      </c>
      <c r="BO363" s="51"/>
      <c r="BP363" s="52">
        <v>58196121</v>
      </c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>
        <v>3600724</v>
      </c>
      <c r="CD363" s="52"/>
      <c r="CE363" s="52"/>
      <c r="CF363" s="52"/>
      <c r="CG363" s="52">
        <f t="shared" si="56"/>
        <v>61796845</v>
      </c>
      <c r="CH363" s="52"/>
      <c r="CI363" s="52"/>
      <c r="CJ363" s="52"/>
      <c r="CK363" s="52"/>
      <c r="CL363" s="52"/>
      <c r="CM363" s="52"/>
      <c r="CN363" s="52"/>
      <c r="CO363" s="52"/>
      <c r="CP363" s="52"/>
      <c r="CQ363" s="52">
        <v>3600724</v>
      </c>
      <c r="CR363" s="52"/>
      <c r="CS363" s="52">
        <f t="shared" si="53"/>
        <v>65397569</v>
      </c>
      <c r="CT363" s="53">
        <v>28805792</v>
      </c>
      <c r="CU363" s="53">
        <f t="shared" si="54"/>
        <v>36591777</v>
      </c>
      <c r="CV363" s="54">
        <f t="shared" si="57"/>
        <v>65397569</v>
      </c>
      <c r="CW363" s="55">
        <f t="shared" si="58"/>
        <v>0</v>
      </c>
      <c r="CX363" s="16"/>
      <c r="CY363" s="16"/>
      <c r="CZ363" s="16"/>
    </row>
    <row r="364" spans="1:108" ht="15" customHeight="1" x14ac:dyDescent="0.2">
      <c r="A364" s="1">
        <v>8902096663</v>
      </c>
      <c r="B364" s="1">
        <v>890209666</v>
      </c>
      <c r="C364" s="9">
        <v>216668266</v>
      </c>
      <c r="D364" s="10" t="s">
        <v>838</v>
      </c>
      <c r="E364" s="46" t="s">
        <v>1853</v>
      </c>
      <c r="F364" s="21"/>
      <c r="G364" s="50"/>
      <c r="H364" s="21"/>
      <c r="I364" s="50"/>
      <c r="J364" s="21"/>
      <c r="K364" s="21"/>
      <c r="L364" s="50"/>
      <c r="M364" s="51"/>
      <c r="N364" s="21"/>
      <c r="O364" s="50"/>
      <c r="P364" s="21"/>
      <c r="Q364" s="50"/>
      <c r="R364" s="21"/>
      <c r="S364" s="21"/>
      <c r="T364" s="50"/>
      <c r="U364" s="51">
        <f t="shared" si="52"/>
        <v>0</v>
      </c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>
        <v>52400503</v>
      </c>
      <c r="AN364" s="51">
        <f t="shared" si="60"/>
        <v>52400503</v>
      </c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>
        <v>28530425</v>
      </c>
      <c r="AZ364" s="51"/>
      <c r="BA364" s="51"/>
      <c r="BB364" s="51"/>
      <c r="BC364" s="52">
        <f t="shared" si="55"/>
        <v>80930928</v>
      </c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>
        <v>5706085</v>
      </c>
      <c r="BO364" s="51"/>
      <c r="BP364" s="52">
        <v>86637013</v>
      </c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>
        <v>5706085</v>
      </c>
      <c r="CD364" s="52"/>
      <c r="CE364" s="52"/>
      <c r="CF364" s="52"/>
      <c r="CG364" s="52">
        <f t="shared" si="56"/>
        <v>92343098</v>
      </c>
      <c r="CH364" s="52"/>
      <c r="CI364" s="52"/>
      <c r="CJ364" s="52"/>
      <c r="CK364" s="52"/>
      <c r="CL364" s="52"/>
      <c r="CM364" s="52"/>
      <c r="CN364" s="52"/>
      <c r="CO364" s="52"/>
      <c r="CP364" s="52"/>
      <c r="CQ364" s="52">
        <v>5706085</v>
      </c>
      <c r="CR364" s="52"/>
      <c r="CS364" s="52">
        <f t="shared" si="53"/>
        <v>98049183</v>
      </c>
      <c r="CT364" s="53">
        <v>45648680</v>
      </c>
      <c r="CU364" s="53">
        <f t="shared" si="54"/>
        <v>52400503</v>
      </c>
      <c r="CV364" s="54">
        <f t="shared" si="57"/>
        <v>98049183</v>
      </c>
      <c r="CW364" s="55">
        <f t="shared" si="58"/>
        <v>0</v>
      </c>
      <c r="CX364" s="16"/>
      <c r="CY364" s="16"/>
      <c r="CZ364" s="16"/>
    </row>
    <row r="365" spans="1:108" ht="15" customHeight="1" x14ac:dyDescent="0.2">
      <c r="A365" s="1">
        <v>8909820682</v>
      </c>
      <c r="B365" s="1">
        <v>890982068</v>
      </c>
      <c r="C365" s="9">
        <v>216405264</v>
      </c>
      <c r="D365" s="10" t="s">
        <v>86</v>
      </c>
      <c r="E365" s="46" t="s">
        <v>1117</v>
      </c>
      <c r="F365" s="21"/>
      <c r="G365" s="50"/>
      <c r="H365" s="21"/>
      <c r="I365" s="50"/>
      <c r="J365" s="21"/>
      <c r="K365" s="21"/>
      <c r="L365" s="50"/>
      <c r="M365" s="51"/>
      <c r="N365" s="21"/>
      <c r="O365" s="50"/>
      <c r="P365" s="21"/>
      <c r="Q365" s="50"/>
      <c r="R365" s="21"/>
      <c r="S365" s="21"/>
      <c r="T365" s="50"/>
      <c r="U365" s="51">
        <f t="shared" si="52"/>
        <v>0</v>
      </c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>
        <v>117715313</v>
      </c>
      <c r="AN365" s="51">
        <f t="shared" si="60"/>
        <v>117715313</v>
      </c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>
        <v>50577130</v>
      </c>
      <c r="AZ365" s="51"/>
      <c r="BA365" s="51"/>
      <c r="BB365" s="51"/>
      <c r="BC365" s="52">
        <f t="shared" si="55"/>
        <v>168292443</v>
      </c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>
        <v>10115426</v>
      </c>
      <c r="BO365" s="51"/>
      <c r="BP365" s="52">
        <v>178407869</v>
      </c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>
        <v>10115426</v>
      </c>
      <c r="CD365" s="52"/>
      <c r="CE365" s="52"/>
      <c r="CF365" s="52"/>
      <c r="CG365" s="52">
        <f t="shared" si="56"/>
        <v>188523295</v>
      </c>
      <c r="CH365" s="52"/>
      <c r="CI365" s="52"/>
      <c r="CJ365" s="52"/>
      <c r="CK365" s="52"/>
      <c r="CL365" s="52"/>
      <c r="CM365" s="52"/>
      <c r="CN365" s="52"/>
      <c r="CO365" s="52"/>
      <c r="CP365" s="52"/>
      <c r="CQ365" s="52">
        <v>10115426</v>
      </c>
      <c r="CR365" s="52"/>
      <c r="CS365" s="52">
        <f t="shared" si="53"/>
        <v>198638721</v>
      </c>
      <c r="CT365" s="53">
        <v>80923408</v>
      </c>
      <c r="CU365" s="53">
        <f t="shared" si="54"/>
        <v>117715313</v>
      </c>
      <c r="CV365" s="54">
        <f t="shared" si="57"/>
        <v>198638721</v>
      </c>
      <c r="CW365" s="55">
        <f t="shared" si="58"/>
        <v>0</v>
      </c>
      <c r="CX365" s="16"/>
      <c r="CY365" s="16"/>
      <c r="CZ365" s="16"/>
    </row>
    <row r="366" spans="1:108" ht="15" customHeight="1" x14ac:dyDescent="0.2">
      <c r="A366" s="1">
        <v>8909071065</v>
      </c>
      <c r="B366" s="1">
        <v>890907106</v>
      </c>
      <c r="C366" s="9">
        <v>216605266</v>
      </c>
      <c r="D366" s="10" t="s">
        <v>2157</v>
      </c>
      <c r="E366" s="47" t="s">
        <v>1049</v>
      </c>
      <c r="F366" s="21"/>
      <c r="G366" s="50"/>
      <c r="H366" s="21"/>
      <c r="I366" s="50">
        <f>2130216366+95794453</f>
        <v>2226010819</v>
      </c>
      <c r="J366" s="21">
        <v>165734630</v>
      </c>
      <c r="K366" s="21">
        <v>328365391</v>
      </c>
      <c r="L366" s="50"/>
      <c r="M366" s="52">
        <f>SUM(F366:L366)</f>
        <v>2720110840</v>
      </c>
      <c r="N366" s="21"/>
      <c r="O366" s="50"/>
      <c r="P366" s="21"/>
      <c r="Q366" s="50">
        <f>2069475424+43542933</f>
        <v>2113018357</v>
      </c>
      <c r="R366" s="21">
        <v>165991302</v>
      </c>
      <c r="S366" s="21">
        <f>162630761+165991302</f>
        <v>328622063</v>
      </c>
      <c r="T366" s="50"/>
      <c r="U366" s="51">
        <f t="shared" si="52"/>
        <v>5327742562</v>
      </c>
      <c r="V366" s="51"/>
      <c r="W366" s="51"/>
      <c r="X366" s="51"/>
      <c r="Y366" s="51">
        <v>3763631457</v>
      </c>
      <c r="Z366" s="51">
        <v>179877808</v>
      </c>
      <c r="AA366" s="51">
        <v>412575938</v>
      </c>
      <c r="AB366" s="51"/>
      <c r="AC366" s="51">
        <f t="shared" ref="AC366:AC378" si="61">SUM(U366:AB366)</f>
        <v>9683827765</v>
      </c>
      <c r="AD366" s="51"/>
      <c r="AE366" s="51"/>
      <c r="AF366" s="51"/>
      <c r="AG366" s="51"/>
      <c r="AH366" s="51">
        <v>2357126986</v>
      </c>
      <c r="AI366" s="51">
        <v>381036788</v>
      </c>
      <c r="AJ366" s="51">
        <v>177806308</v>
      </c>
      <c r="AK366" s="51">
        <v>447584777</v>
      </c>
      <c r="AL366" s="51"/>
      <c r="AM366" s="51">
        <v>1255278627</v>
      </c>
      <c r="AN366" s="51">
        <f t="shared" si="60"/>
        <v>14302661251</v>
      </c>
      <c r="AO366" s="51"/>
      <c r="AP366" s="51"/>
      <c r="AQ366" s="51">
        <v>372498345</v>
      </c>
      <c r="AR366" s="51"/>
      <c r="AS366" s="51"/>
      <c r="AT366" s="51">
        <v>2357126986</v>
      </c>
      <c r="AU366" s="51"/>
      <c r="AV366" s="51">
        <v>177806308</v>
      </c>
      <c r="AW366" s="51">
        <v>303235341</v>
      </c>
      <c r="AX366" s="51"/>
      <c r="AY366" s="51"/>
      <c r="AZ366" s="51"/>
      <c r="BA366" s="51"/>
      <c r="BB366" s="51">
        <f>VLOOKUP(B366,'[2]anuladas en mayo gratuidad}'!K$2:L$55,2,0)</f>
        <v>10074578</v>
      </c>
      <c r="BC366" s="52">
        <f t="shared" si="55"/>
        <v>17503253653</v>
      </c>
      <c r="BD366" s="51"/>
      <c r="BE366" s="51"/>
      <c r="BF366" s="51">
        <v>74499669</v>
      </c>
      <c r="BG366" s="51"/>
      <c r="BH366" s="51"/>
      <c r="BI366" s="51">
        <v>2437442561</v>
      </c>
      <c r="BJ366" s="51">
        <v>3676998</v>
      </c>
      <c r="BK366" s="51">
        <v>172355461</v>
      </c>
      <c r="BL366" s="51">
        <v>446469545</v>
      </c>
      <c r="BM366" s="51"/>
      <c r="BN366" s="51"/>
      <c r="BO366" s="51"/>
      <c r="BP366" s="52">
        <v>20637697887</v>
      </c>
      <c r="BQ366" s="52"/>
      <c r="BR366" s="52"/>
      <c r="BS366" s="52">
        <v>74499669</v>
      </c>
      <c r="BT366" s="52"/>
      <c r="BU366" s="52"/>
      <c r="BV366" s="52"/>
      <c r="BW366" s="52">
        <v>2356471573</v>
      </c>
      <c r="BX366" s="52"/>
      <c r="BY366" s="52">
        <v>1120456715</v>
      </c>
      <c r="BZ366" s="52">
        <v>175682336</v>
      </c>
      <c r="CA366" s="52">
        <v>459834019</v>
      </c>
      <c r="CB366" s="52"/>
      <c r="CC366" s="52"/>
      <c r="CD366" s="52"/>
      <c r="CE366" s="52">
        <v>42531595</v>
      </c>
      <c r="CF366" s="52"/>
      <c r="CG366" s="52">
        <f t="shared" si="56"/>
        <v>24867173794</v>
      </c>
      <c r="CH366" s="52"/>
      <c r="CI366" s="52"/>
      <c r="CJ366" s="52">
        <v>74499669</v>
      </c>
      <c r="CK366" s="52"/>
      <c r="CL366" s="52">
        <v>2371230765</v>
      </c>
      <c r="CM366" s="52">
        <v>58146498</v>
      </c>
      <c r="CN366" s="52">
        <v>177186441</v>
      </c>
      <c r="CO366" s="52">
        <v>320253122</v>
      </c>
      <c r="CP366" s="52"/>
      <c r="CQ366" s="52"/>
      <c r="CR366" s="52">
        <v>10074578</v>
      </c>
      <c r="CS366" s="52">
        <f t="shared" si="53"/>
        <v>27878564867</v>
      </c>
      <c r="CT366" s="53">
        <v>26580754645</v>
      </c>
      <c r="CU366" s="53">
        <f t="shared" si="54"/>
        <v>1297810222</v>
      </c>
      <c r="CV366" s="54">
        <f t="shared" si="57"/>
        <v>27878564867</v>
      </c>
      <c r="CW366" s="55">
        <f t="shared" si="58"/>
        <v>0</v>
      </c>
      <c r="CX366" s="16"/>
      <c r="CY366" s="16"/>
      <c r="CZ366" s="16"/>
    </row>
    <row r="367" spans="1:108" ht="15" customHeight="1" x14ac:dyDescent="0.2">
      <c r="A367" s="1">
        <v>8907020270</v>
      </c>
      <c r="B367" s="1">
        <v>890702027</v>
      </c>
      <c r="C367" s="9">
        <v>216873268</v>
      </c>
      <c r="D367" s="10" t="s">
        <v>2215</v>
      </c>
      <c r="E367" s="46" t="s">
        <v>2065</v>
      </c>
      <c r="F367" s="21"/>
      <c r="G367" s="50"/>
      <c r="H367" s="21"/>
      <c r="I367" s="50"/>
      <c r="J367" s="21"/>
      <c r="K367" s="21"/>
      <c r="L367" s="50"/>
      <c r="M367" s="51"/>
      <c r="N367" s="21"/>
      <c r="O367" s="50"/>
      <c r="P367" s="21"/>
      <c r="Q367" s="50"/>
      <c r="R367" s="21"/>
      <c r="S367" s="21"/>
      <c r="T367" s="50"/>
      <c r="U367" s="51">
        <f t="shared" si="52"/>
        <v>0</v>
      </c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>
        <v>797612320</v>
      </c>
      <c r="AN367" s="51">
        <f t="shared" si="60"/>
        <v>797612320</v>
      </c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>
        <v>410914665</v>
      </c>
      <c r="AZ367" s="51"/>
      <c r="BA367" s="51">
        <f>VLOOKUP(B367,[1]Hoja3!J$3:K$674,2,0)</f>
        <v>42532970</v>
      </c>
      <c r="BB367" s="51"/>
      <c r="BC367" s="52">
        <f t="shared" si="55"/>
        <v>1251059955</v>
      </c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>
        <v>82182933</v>
      </c>
      <c r="BO367" s="51"/>
      <c r="BP367" s="52">
        <v>1333242888</v>
      </c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>
        <v>82182933</v>
      </c>
      <c r="CD367" s="52"/>
      <c r="CE367" s="52"/>
      <c r="CF367" s="52"/>
      <c r="CG367" s="52">
        <f t="shared" si="56"/>
        <v>1415425821</v>
      </c>
      <c r="CH367" s="52"/>
      <c r="CI367" s="52"/>
      <c r="CJ367" s="52"/>
      <c r="CK367" s="52"/>
      <c r="CL367" s="52"/>
      <c r="CM367" s="52"/>
      <c r="CN367" s="52"/>
      <c r="CO367" s="52"/>
      <c r="CP367" s="52"/>
      <c r="CQ367" s="52">
        <v>82182933</v>
      </c>
      <c r="CR367" s="52"/>
      <c r="CS367" s="52">
        <f t="shared" si="53"/>
        <v>1497608754</v>
      </c>
      <c r="CT367" s="53">
        <v>657463464</v>
      </c>
      <c r="CU367" s="53">
        <f t="shared" si="54"/>
        <v>840145290</v>
      </c>
      <c r="CV367" s="54">
        <f t="shared" si="57"/>
        <v>1497608754</v>
      </c>
      <c r="CW367" s="55">
        <f t="shared" si="58"/>
        <v>0</v>
      </c>
      <c r="CX367" s="16"/>
      <c r="CY367" s="16"/>
      <c r="CZ367" s="16"/>
    </row>
    <row r="368" spans="1:108" ht="15" customHeight="1" x14ac:dyDescent="0.2">
      <c r="A368" s="1">
        <v>8999993281</v>
      </c>
      <c r="B368" s="1">
        <v>899999328</v>
      </c>
      <c r="C368" s="9">
        <v>216925269</v>
      </c>
      <c r="D368" s="10" t="s">
        <v>484</v>
      </c>
      <c r="E368" s="47" t="s">
        <v>1511</v>
      </c>
      <c r="F368" s="21"/>
      <c r="G368" s="50"/>
      <c r="H368" s="21"/>
      <c r="I368" s="57">
        <f>2598827980+26976346</f>
        <v>2625804326</v>
      </c>
      <c r="J368" s="21">
        <v>179760148</v>
      </c>
      <c r="K368" s="21">
        <v>356184528</v>
      </c>
      <c r="L368" s="50"/>
      <c r="M368" s="52">
        <f>SUM(F368:L368)</f>
        <v>3161749002</v>
      </c>
      <c r="N368" s="21"/>
      <c r="O368" s="50"/>
      <c r="P368" s="21"/>
      <c r="Q368" s="50">
        <f>2501976962+12261976</f>
        <v>2514238938</v>
      </c>
      <c r="R368" s="21">
        <v>180174998</v>
      </c>
      <c r="S368" s="21">
        <f>176424380+180174998</f>
        <v>356599378</v>
      </c>
      <c r="T368" s="50"/>
      <c r="U368" s="51">
        <f t="shared" si="52"/>
        <v>6212762316</v>
      </c>
      <c r="V368" s="51"/>
      <c r="W368" s="51"/>
      <c r="X368" s="51"/>
      <c r="Y368" s="51">
        <v>3228501418</v>
      </c>
      <c r="Z368" s="51">
        <v>186154177</v>
      </c>
      <c r="AA368" s="51">
        <v>427431515</v>
      </c>
      <c r="AB368" s="51"/>
      <c r="AC368" s="51">
        <f t="shared" si="61"/>
        <v>10054849426</v>
      </c>
      <c r="AD368" s="51"/>
      <c r="AE368" s="51"/>
      <c r="AF368" s="51"/>
      <c r="AG368" s="51"/>
      <c r="AH368" s="51">
        <v>2553113778</v>
      </c>
      <c r="AI368" s="51">
        <v>203472624</v>
      </c>
      <c r="AJ368" s="51">
        <v>186782538</v>
      </c>
      <c r="AK368" s="51">
        <v>470617134</v>
      </c>
      <c r="AL368" s="51"/>
      <c r="AM368" s="51">
        <v>1328207520</v>
      </c>
      <c r="AN368" s="51">
        <f t="shared" si="60"/>
        <v>14797043020</v>
      </c>
      <c r="AO368" s="51"/>
      <c r="AP368" s="51"/>
      <c r="AQ368" s="51">
        <v>588116610</v>
      </c>
      <c r="AR368" s="51"/>
      <c r="AS368" s="51"/>
      <c r="AT368" s="51">
        <v>2553113778</v>
      </c>
      <c r="AU368" s="51"/>
      <c r="AV368" s="51">
        <v>186782538</v>
      </c>
      <c r="AW368" s="51">
        <v>318791426</v>
      </c>
      <c r="AX368" s="51"/>
      <c r="AY368" s="51"/>
      <c r="AZ368" s="51">
        <v>52366033</v>
      </c>
      <c r="BA368" s="51"/>
      <c r="BB368" s="51"/>
      <c r="BC368" s="52">
        <f t="shared" si="55"/>
        <v>18496213405</v>
      </c>
      <c r="BD368" s="51"/>
      <c r="BE368" s="51"/>
      <c r="BF368" s="51">
        <v>117623322</v>
      </c>
      <c r="BG368" s="51"/>
      <c r="BH368" s="51"/>
      <c r="BI368" s="51">
        <v>2697551480</v>
      </c>
      <c r="BJ368" s="51">
        <v>116936479</v>
      </c>
      <c r="BK368" s="51">
        <v>172775253</v>
      </c>
      <c r="BL368" s="51">
        <v>377085912</v>
      </c>
      <c r="BM368" s="51"/>
      <c r="BN368" s="51"/>
      <c r="BO368" s="51"/>
      <c r="BP368" s="52">
        <v>21978185851</v>
      </c>
      <c r="BQ368" s="52"/>
      <c r="BR368" s="52"/>
      <c r="BS368" s="52">
        <v>117623322</v>
      </c>
      <c r="BT368" s="52"/>
      <c r="BU368" s="52"/>
      <c r="BV368" s="52"/>
      <c r="BW368" s="52">
        <v>2682613897</v>
      </c>
      <c r="BX368" s="52"/>
      <c r="BY368" s="52">
        <v>1290134084</v>
      </c>
      <c r="BZ368" s="52">
        <v>204156773</v>
      </c>
      <c r="CA368" s="52">
        <v>507532309</v>
      </c>
      <c r="CB368" s="52"/>
      <c r="CC368" s="52"/>
      <c r="CD368" s="52"/>
      <c r="CE368" s="52"/>
      <c r="CF368" s="52"/>
      <c r="CG368" s="52">
        <f t="shared" si="56"/>
        <v>26780246236</v>
      </c>
      <c r="CH368" s="52"/>
      <c r="CI368" s="52"/>
      <c r="CJ368" s="52">
        <v>117623322</v>
      </c>
      <c r="CK368" s="52"/>
      <c r="CL368" s="52">
        <v>2630392064</v>
      </c>
      <c r="CM368" s="52">
        <v>0</v>
      </c>
      <c r="CN368" s="52">
        <v>187995039</v>
      </c>
      <c r="CO368" s="52">
        <v>339925035</v>
      </c>
      <c r="CP368" s="52"/>
      <c r="CQ368" s="52"/>
      <c r="CR368" s="52"/>
      <c r="CS368" s="52">
        <f t="shared" si="53"/>
        <v>30056181696</v>
      </c>
      <c r="CT368" s="53">
        <v>28727974176</v>
      </c>
      <c r="CU368" s="53">
        <f t="shared" si="54"/>
        <v>1328207520</v>
      </c>
      <c r="CV368" s="54">
        <f t="shared" si="57"/>
        <v>30056181696</v>
      </c>
      <c r="CW368" s="55">
        <f t="shared" si="58"/>
        <v>0</v>
      </c>
      <c r="CX368" s="16"/>
      <c r="CY368" s="16"/>
      <c r="CZ368" s="16"/>
    </row>
    <row r="369" spans="1:108" ht="15" customHeight="1" x14ac:dyDescent="0.2">
      <c r="A369" s="1">
        <v>8001000549</v>
      </c>
      <c r="B369" s="1">
        <v>800100054</v>
      </c>
      <c r="C369" s="9">
        <v>217073270</v>
      </c>
      <c r="D369" s="10" t="s">
        <v>2216</v>
      </c>
      <c r="E369" s="46" t="s">
        <v>1942</v>
      </c>
      <c r="F369" s="21"/>
      <c r="G369" s="50"/>
      <c r="H369" s="21"/>
      <c r="I369" s="50"/>
      <c r="J369" s="21"/>
      <c r="K369" s="21"/>
      <c r="L369" s="50"/>
      <c r="M369" s="51"/>
      <c r="N369" s="21"/>
      <c r="O369" s="50"/>
      <c r="P369" s="21"/>
      <c r="Q369" s="50"/>
      <c r="R369" s="21"/>
      <c r="S369" s="21"/>
      <c r="T369" s="50"/>
      <c r="U369" s="51">
        <f t="shared" si="52"/>
        <v>0</v>
      </c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>
        <v>59230710</v>
      </c>
      <c r="AZ369" s="51"/>
      <c r="BA369" s="51">
        <f>VLOOKUP(B369,[1]Hoja3!J$3:K$674,2,0)</f>
        <v>164866245</v>
      </c>
      <c r="BB369" s="51"/>
      <c r="BC369" s="52">
        <f t="shared" si="55"/>
        <v>224096955</v>
      </c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>
        <v>11846142</v>
      </c>
      <c r="BO369" s="51"/>
      <c r="BP369" s="52">
        <v>235943097</v>
      </c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>
        <v>11846142</v>
      </c>
      <c r="CD369" s="52"/>
      <c r="CE369" s="52"/>
      <c r="CF369" s="52"/>
      <c r="CG369" s="52">
        <f t="shared" si="56"/>
        <v>247789239</v>
      </c>
      <c r="CH369" s="52"/>
      <c r="CI369" s="52"/>
      <c r="CJ369" s="52"/>
      <c r="CK369" s="52"/>
      <c r="CL369" s="52"/>
      <c r="CM369" s="52"/>
      <c r="CN369" s="52"/>
      <c r="CO369" s="52"/>
      <c r="CP369" s="52"/>
      <c r="CQ369" s="52">
        <v>11846142</v>
      </c>
      <c r="CR369" s="52"/>
      <c r="CS369" s="52">
        <f t="shared" si="53"/>
        <v>259635381</v>
      </c>
      <c r="CT369" s="53">
        <v>94769136</v>
      </c>
      <c r="CU369" s="53">
        <f t="shared" si="54"/>
        <v>164866245</v>
      </c>
      <c r="CV369" s="54">
        <f t="shared" si="57"/>
        <v>259635381</v>
      </c>
      <c r="CW369" s="55">
        <f t="shared" si="58"/>
        <v>0</v>
      </c>
      <c r="CX369" s="16"/>
      <c r="CY369" s="16"/>
      <c r="CZ369" s="16"/>
    </row>
    <row r="370" spans="1:108" ht="15" customHeight="1" x14ac:dyDescent="0.2">
      <c r="A370" s="1">
        <v>8908011449</v>
      </c>
      <c r="B370" s="1">
        <v>890801144</v>
      </c>
      <c r="C370" s="9">
        <v>217217272</v>
      </c>
      <c r="D370" s="10" t="s">
        <v>341</v>
      </c>
      <c r="E370" s="46" t="s">
        <v>1372</v>
      </c>
      <c r="F370" s="21"/>
      <c r="G370" s="50"/>
      <c r="H370" s="21"/>
      <c r="I370" s="50"/>
      <c r="J370" s="21"/>
      <c r="K370" s="21"/>
      <c r="L370" s="50"/>
      <c r="M370" s="51"/>
      <c r="N370" s="21"/>
      <c r="O370" s="50"/>
      <c r="P370" s="21"/>
      <c r="Q370" s="50"/>
      <c r="R370" s="21"/>
      <c r="S370" s="21"/>
      <c r="T370" s="50"/>
      <c r="U370" s="51">
        <f t="shared" si="52"/>
        <v>0</v>
      </c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>
        <v>141579621</v>
      </c>
      <c r="AN370" s="51">
        <f>SUBTOTAL(9,AC370:AM370)</f>
        <v>141579621</v>
      </c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>
        <v>72356580</v>
      </c>
      <c r="AZ370" s="51"/>
      <c r="BA370" s="51"/>
      <c r="BB370" s="51"/>
      <c r="BC370" s="52">
        <f t="shared" si="55"/>
        <v>213936201</v>
      </c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>
        <v>14471316</v>
      </c>
      <c r="BO370" s="51"/>
      <c r="BP370" s="52">
        <v>228407517</v>
      </c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>
        <v>14471316</v>
      </c>
      <c r="CD370" s="52"/>
      <c r="CE370" s="52"/>
      <c r="CF370" s="52"/>
      <c r="CG370" s="52">
        <f t="shared" si="56"/>
        <v>242878833</v>
      </c>
      <c r="CH370" s="52"/>
      <c r="CI370" s="52"/>
      <c r="CJ370" s="52"/>
      <c r="CK370" s="52"/>
      <c r="CL370" s="52"/>
      <c r="CM370" s="52"/>
      <c r="CN370" s="52"/>
      <c r="CO370" s="52"/>
      <c r="CP370" s="52"/>
      <c r="CQ370" s="52">
        <v>14471316</v>
      </c>
      <c r="CR370" s="52"/>
      <c r="CS370" s="52">
        <f t="shared" si="53"/>
        <v>257350149</v>
      </c>
      <c r="CT370" s="53">
        <v>115770528</v>
      </c>
      <c r="CU370" s="53">
        <f t="shared" si="54"/>
        <v>141579621</v>
      </c>
      <c r="CV370" s="54">
        <f t="shared" si="57"/>
        <v>257350149</v>
      </c>
      <c r="CW370" s="55">
        <f t="shared" si="58"/>
        <v>0</v>
      </c>
      <c r="CX370" s="16"/>
      <c r="CY370" s="16"/>
      <c r="CZ370" s="16"/>
    </row>
    <row r="371" spans="1:108" ht="15" customHeight="1" x14ac:dyDescent="0.2">
      <c r="A371" s="1">
        <v>8900013395</v>
      </c>
      <c r="B371" s="1">
        <v>890001339</v>
      </c>
      <c r="C371" s="9">
        <v>217263272</v>
      </c>
      <c r="D371" s="10" t="s">
        <v>793</v>
      </c>
      <c r="E371" s="46" t="s">
        <v>1810</v>
      </c>
      <c r="F371" s="21"/>
      <c r="G371" s="50"/>
      <c r="H371" s="21"/>
      <c r="I371" s="50"/>
      <c r="J371" s="21"/>
      <c r="K371" s="21"/>
      <c r="L371" s="50"/>
      <c r="M371" s="51"/>
      <c r="N371" s="21"/>
      <c r="O371" s="50"/>
      <c r="P371" s="21"/>
      <c r="Q371" s="50"/>
      <c r="R371" s="21"/>
      <c r="S371" s="21"/>
      <c r="T371" s="50"/>
      <c r="U371" s="51">
        <f t="shared" si="52"/>
        <v>0</v>
      </c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>
        <v>88081545</v>
      </c>
      <c r="AZ371" s="51"/>
      <c r="BA371" s="51">
        <f>VLOOKUP(B371,[1]Hoja3!J$3:K$674,2,0)</f>
        <v>100681050</v>
      </c>
      <c r="BB371" s="51"/>
      <c r="BC371" s="52">
        <f t="shared" si="55"/>
        <v>188762595</v>
      </c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>
        <v>17616309</v>
      </c>
      <c r="BO371" s="51"/>
      <c r="BP371" s="52">
        <v>206378904</v>
      </c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>
        <v>17616309</v>
      </c>
      <c r="CD371" s="52"/>
      <c r="CE371" s="52"/>
      <c r="CF371" s="52"/>
      <c r="CG371" s="52">
        <f t="shared" si="56"/>
        <v>223995213</v>
      </c>
      <c r="CH371" s="52"/>
      <c r="CI371" s="52"/>
      <c r="CJ371" s="52"/>
      <c r="CK371" s="52"/>
      <c r="CL371" s="52"/>
      <c r="CM371" s="52"/>
      <c r="CN371" s="52"/>
      <c r="CO371" s="52"/>
      <c r="CP371" s="52"/>
      <c r="CQ371" s="52">
        <v>17616309</v>
      </c>
      <c r="CR371" s="52"/>
      <c r="CS371" s="52">
        <f t="shared" si="53"/>
        <v>241611522</v>
      </c>
      <c r="CT371" s="53">
        <v>140930472</v>
      </c>
      <c r="CU371" s="53">
        <f t="shared" si="54"/>
        <v>100681050</v>
      </c>
      <c r="CV371" s="54">
        <f t="shared" si="57"/>
        <v>241611522</v>
      </c>
      <c r="CW371" s="55">
        <f t="shared" si="58"/>
        <v>0</v>
      </c>
      <c r="CX371" s="16"/>
      <c r="CY371" s="16"/>
      <c r="CZ371" s="16"/>
    </row>
    <row r="372" spans="1:108" ht="15" customHeight="1" x14ac:dyDescent="0.2">
      <c r="A372" s="1">
        <v>8918562880</v>
      </c>
      <c r="B372" s="1">
        <v>891856288</v>
      </c>
      <c r="C372" s="9">
        <v>217215272</v>
      </c>
      <c r="D372" s="10" t="s">
        <v>249</v>
      </c>
      <c r="E372" s="46" t="s">
        <v>1284</v>
      </c>
      <c r="F372" s="21"/>
      <c r="G372" s="50"/>
      <c r="H372" s="21"/>
      <c r="I372" s="50"/>
      <c r="J372" s="21"/>
      <c r="K372" s="21"/>
      <c r="L372" s="50"/>
      <c r="M372" s="51"/>
      <c r="N372" s="21"/>
      <c r="O372" s="50"/>
      <c r="P372" s="21"/>
      <c r="Q372" s="50"/>
      <c r="R372" s="21"/>
      <c r="S372" s="21"/>
      <c r="T372" s="50"/>
      <c r="U372" s="51">
        <f t="shared" si="52"/>
        <v>0</v>
      </c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>
        <v>14093890</v>
      </c>
      <c r="AN372" s="51">
        <f>SUBTOTAL(9,AC372:AM372)</f>
        <v>14093890</v>
      </c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>
        <v>32816120</v>
      </c>
      <c r="AZ372" s="51"/>
      <c r="BA372" s="51">
        <f>VLOOKUP(B372,[1]Hoja3!J$3:K$674,2,0)</f>
        <v>55120273</v>
      </c>
      <c r="BB372" s="51"/>
      <c r="BC372" s="52">
        <f t="shared" si="55"/>
        <v>102030283</v>
      </c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>
        <v>6563224</v>
      </c>
      <c r="BO372" s="51"/>
      <c r="BP372" s="52">
        <v>108593507</v>
      </c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>
        <v>6563224</v>
      </c>
      <c r="CD372" s="52"/>
      <c r="CE372" s="52"/>
      <c r="CF372" s="52"/>
      <c r="CG372" s="52">
        <f t="shared" si="56"/>
        <v>115156731</v>
      </c>
      <c r="CH372" s="52"/>
      <c r="CI372" s="52"/>
      <c r="CJ372" s="52"/>
      <c r="CK372" s="52"/>
      <c r="CL372" s="52"/>
      <c r="CM372" s="52"/>
      <c r="CN372" s="52"/>
      <c r="CO372" s="52"/>
      <c r="CP372" s="52"/>
      <c r="CQ372" s="52">
        <v>6563224</v>
      </c>
      <c r="CR372" s="52"/>
      <c r="CS372" s="52">
        <f t="shared" si="53"/>
        <v>121719955</v>
      </c>
      <c r="CT372" s="53">
        <v>52505792</v>
      </c>
      <c r="CU372" s="53">
        <f t="shared" si="54"/>
        <v>69214163</v>
      </c>
      <c r="CV372" s="54">
        <f t="shared" si="57"/>
        <v>121719955</v>
      </c>
      <c r="CW372" s="55">
        <f t="shared" si="58"/>
        <v>0</v>
      </c>
      <c r="CX372" s="16"/>
      <c r="CY372" s="8"/>
      <c r="CZ372" s="8"/>
      <c r="DA372" s="8"/>
      <c r="DB372" s="8"/>
      <c r="DC372" s="8"/>
      <c r="DD372" s="8"/>
    </row>
    <row r="373" spans="1:108" ht="15" customHeight="1" x14ac:dyDescent="0.2">
      <c r="A373" s="1">
        <v>8001000556</v>
      </c>
      <c r="B373" s="1">
        <v>800100055</v>
      </c>
      <c r="C373" s="9">
        <v>217573275</v>
      </c>
      <c r="D373" s="10" t="s">
        <v>2217</v>
      </c>
      <c r="E373" s="46" t="s">
        <v>1943</v>
      </c>
      <c r="F373" s="21"/>
      <c r="G373" s="50"/>
      <c r="H373" s="21"/>
      <c r="I373" s="50"/>
      <c r="J373" s="21"/>
      <c r="K373" s="21"/>
      <c r="L373" s="50"/>
      <c r="M373" s="51"/>
      <c r="N373" s="21"/>
      <c r="O373" s="50"/>
      <c r="P373" s="21"/>
      <c r="Q373" s="50"/>
      <c r="R373" s="21"/>
      <c r="S373" s="21"/>
      <c r="T373" s="50"/>
      <c r="U373" s="51">
        <f t="shared" si="52"/>
        <v>0</v>
      </c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>
        <v>257811162</v>
      </c>
      <c r="AN373" s="51">
        <f>SUBTOTAL(9,AC373:AM373)</f>
        <v>257811162</v>
      </c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>
        <v>154654355</v>
      </c>
      <c r="AZ373" s="51"/>
      <c r="BA373" s="51"/>
      <c r="BB373" s="51"/>
      <c r="BC373" s="52">
        <f t="shared" si="55"/>
        <v>412465517</v>
      </c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>
        <v>30930871</v>
      </c>
      <c r="BO373" s="51"/>
      <c r="BP373" s="52">
        <v>443396388</v>
      </c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>
        <v>30930871</v>
      </c>
      <c r="CD373" s="52"/>
      <c r="CE373" s="52"/>
      <c r="CF373" s="52"/>
      <c r="CG373" s="52">
        <f t="shared" si="56"/>
        <v>474327259</v>
      </c>
      <c r="CH373" s="52"/>
      <c r="CI373" s="52"/>
      <c r="CJ373" s="52"/>
      <c r="CK373" s="52"/>
      <c r="CL373" s="52"/>
      <c r="CM373" s="52"/>
      <c r="CN373" s="52"/>
      <c r="CO373" s="52"/>
      <c r="CP373" s="52"/>
      <c r="CQ373" s="52">
        <v>30930871</v>
      </c>
      <c r="CR373" s="52"/>
      <c r="CS373" s="52">
        <f t="shared" si="53"/>
        <v>505258130</v>
      </c>
      <c r="CT373" s="53">
        <v>247446968</v>
      </c>
      <c r="CU373" s="53">
        <f t="shared" si="54"/>
        <v>257811162</v>
      </c>
      <c r="CV373" s="54">
        <f t="shared" si="57"/>
        <v>505258130</v>
      </c>
      <c r="CW373" s="55">
        <f t="shared" si="58"/>
        <v>0</v>
      </c>
      <c r="CX373" s="16"/>
      <c r="CY373" s="16"/>
      <c r="CZ373" s="16"/>
    </row>
    <row r="374" spans="1:108" ht="15" customHeight="1" x14ac:dyDescent="0.2">
      <c r="A374" s="1">
        <v>8000957282</v>
      </c>
      <c r="B374" s="1">
        <v>800095728</v>
      </c>
      <c r="C374" s="9">
        <v>210118001</v>
      </c>
      <c r="D374" s="10" t="s">
        <v>2163</v>
      </c>
      <c r="E374" s="47" t="s">
        <v>1015</v>
      </c>
      <c r="F374" s="21"/>
      <c r="G374" s="50"/>
      <c r="H374" s="21"/>
      <c r="I374" s="50">
        <f>4891158804+174626254</f>
        <v>5065785058</v>
      </c>
      <c r="J374" s="21">
        <v>327071758</v>
      </c>
      <c r="K374" s="21">
        <v>651463006</v>
      </c>
      <c r="L374" s="50"/>
      <c r="M374" s="52">
        <f>SUM(F374:L374)</f>
        <v>6044319822</v>
      </c>
      <c r="N374" s="21"/>
      <c r="O374" s="50"/>
      <c r="P374" s="21"/>
      <c r="Q374" s="50">
        <f>4618076044+79375570</f>
        <v>4697451614</v>
      </c>
      <c r="R374" s="21">
        <v>327071758</v>
      </c>
      <c r="S374" s="21">
        <f>324391248+327071758</f>
        <v>651463006</v>
      </c>
      <c r="T374" s="50"/>
      <c r="U374" s="51">
        <f t="shared" si="52"/>
        <v>11720306200</v>
      </c>
      <c r="V374" s="51"/>
      <c r="W374" s="51"/>
      <c r="X374" s="51"/>
      <c r="Y374" s="51">
        <v>6715017771</v>
      </c>
      <c r="Z374" s="51">
        <v>335125831</v>
      </c>
      <c r="AA374" s="51">
        <v>766878313</v>
      </c>
      <c r="AB374" s="51"/>
      <c r="AC374" s="51">
        <f t="shared" si="61"/>
        <v>19537328115</v>
      </c>
      <c r="AD374" s="51"/>
      <c r="AE374" s="51"/>
      <c r="AF374" s="51"/>
      <c r="AG374" s="51"/>
      <c r="AH374" s="51">
        <v>4779876058</v>
      </c>
      <c r="AI374" s="51">
        <v>784472262</v>
      </c>
      <c r="AJ374" s="51">
        <v>335923796</v>
      </c>
      <c r="AK374" s="51">
        <v>849229218</v>
      </c>
      <c r="AL374" s="51"/>
      <c r="AM374" s="51">
        <v>1774713105</v>
      </c>
      <c r="AN374" s="51">
        <f>SUBTOTAL(9,AC374:AM374)</f>
        <v>28061542554</v>
      </c>
      <c r="AO374" s="51"/>
      <c r="AP374" s="51"/>
      <c r="AQ374" s="51">
        <v>900635495</v>
      </c>
      <c r="AR374" s="51"/>
      <c r="AS374" s="51"/>
      <c r="AT374" s="51">
        <v>4779876058</v>
      </c>
      <c r="AU374" s="51"/>
      <c r="AV374" s="51">
        <v>335923796</v>
      </c>
      <c r="AW374" s="51">
        <v>575812630</v>
      </c>
      <c r="AX374" s="51"/>
      <c r="AY374" s="51"/>
      <c r="AZ374" s="51"/>
      <c r="BA374" s="51">
        <f>VLOOKUP(B374,[1]Hoja3!J$3:K$674,2,0)</f>
        <v>278052895</v>
      </c>
      <c r="BB374" s="51">
        <f>VLOOKUP(B374,'[2]anuladas en mayo gratuidad}'!K$2:L$55,2,0)</f>
        <v>12917846</v>
      </c>
      <c r="BC374" s="52">
        <f t="shared" si="55"/>
        <v>34918925582</v>
      </c>
      <c r="BD374" s="51"/>
      <c r="BE374" s="51"/>
      <c r="BF374" s="51">
        <v>180127099</v>
      </c>
      <c r="BG374" s="51"/>
      <c r="BH374" s="51"/>
      <c r="BI374" s="51">
        <v>4828449079</v>
      </c>
      <c r="BJ374" s="51">
        <v>320545584</v>
      </c>
      <c r="BK374" s="51">
        <v>312975414</v>
      </c>
      <c r="BL374" s="51">
        <v>684518229</v>
      </c>
      <c r="BM374" s="51"/>
      <c r="BN374" s="51"/>
      <c r="BO374" s="51"/>
      <c r="BP374" s="52">
        <v>41245540987</v>
      </c>
      <c r="BQ374" s="52"/>
      <c r="BR374" s="52"/>
      <c r="BS374" s="52">
        <v>180127099</v>
      </c>
      <c r="BT374" s="52"/>
      <c r="BU374" s="52"/>
      <c r="BV374" s="52"/>
      <c r="BW374" s="52">
        <v>4884776345</v>
      </c>
      <c r="BX374" s="52">
        <v>588572405</v>
      </c>
      <c r="BY374" s="52">
        <v>2254577869</v>
      </c>
      <c r="BZ374" s="52">
        <v>345162249</v>
      </c>
      <c r="CA374" s="52">
        <v>894244037</v>
      </c>
      <c r="CB374" s="52"/>
      <c r="CC374" s="52"/>
      <c r="CD374" s="52"/>
      <c r="CE374" s="52">
        <v>12917846</v>
      </c>
      <c r="CF374" s="52"/>
      <c r="CG374" s="52">
        <f t="shared" si="56"/>
        <v>50405918837</v>
      </c>
      <c r="CH374" s="52"/>
      <c r="CI374" s="52"/>
      <c r="CJ374" s="52">
        <v>180127099</v>
      </c>
      <c r="CK374" s="52"/>
      <c r="CL374" s="52">
        <v>4864686491</v>
      </c>
      <c r="CM374" s="52">
        <v>971015434</v>
      </c>
      <c r="CN374" s="52">
        <v>336600036</v>
      </c>
      <c r="CO374" s="52">
        <v>611512740</v>
      </c>
      <c r="CP374" s="52"/>
      <c r="CQ374" s="52"/>
      <c r="CR374" s="52"/>
      <c r="CS374" s="52">
        <f t="shared" si="53"/>
        <v>57369860637</v>
      </c>
      <c r="CT374" s="53">
        <v>55317094637</v>
      </c>
      <c r="CU374" s="53">
        <f t="shared" si="54"/>
        <v>2052766000</v>
      </c>
      <c r="CV374" s="54">
        <f t="shared" si="57"/>
        <v>57369860637</v>
      </c>
      <c r="CW374" s="55">
        <f t="shared" si="58"/>
        <v>0</v>
      </c>
      <c r="CX374" s="16"/>
      <c r="CY374" s="16"/>
      <c r="CZ374" s="16"/>
    </row>
    <row r="375" spans="1:108" ht="15" customHeight="1" x14ac:dyDescent="0.2">
      <c r="A375" s="1">
        <v>8001884921</v>
      </c>
      <c r="B375" s="1">
        <v>800188492</v>
      </c>
      <c r="C375" s="9">
        <v>219019290</v>
      </c>
      <c r="D375" s="10" t="s">
        <v>383</v>
      </c>
      <c r="E375" s="46" t="s">
        <v>1414</v>
      </c>
      <c r="F375" s="21"/>
      <c r="G375" s="50"/>
      <c r="H375" s="21"/>
      <c r="I375" s="50"/>
      <c r="J375" s="21"/>
      <c r="K375" s="21"/>
      <c r="L375" s="50"/>
      <c r="M375" s="51"/>
      <c r="N375" s="21"/>
      <c r="O375" s="50"/>
      <c r="P375" s="21"/>
      <c r="Q375" s="50"/>
      <c r="R375" s="21"/>
      <c r="S375" s="21"/>
      <c r="T375" s="50"/>
      <c r="U375" s="51">
        <f t="shared" si="52"/>
        <v>0</v>
      </c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>
        <v>73859857</v>
      </c>
      <c r="AN375" s="51">
        <f>SUBTOTAL(9,AC375:AM375)</f>
        <v>73859857</v>
      </c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>
        <f>VLOOKUP(B375,[1]Hoja3!J$3:K$674,2,0)</f>
        <v>10327540</v>
      </c>
      <c r="BB375" s="51"/>
      <c r="BC375" s="52">
        <f t="shared" si="55"/>
        <v>84187397</v>
      </c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>
        <v>0</v>
      </c>
      <c r="BO375" s="51"/>
      <c r="BP375" s="52">
        <v>84187397</v>
      </c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>
        <v>56008484</v>
      </c>
      <c r="CD375" s="52"/>
      <c r="CE375" s="52"/>
      <c r="CF375" s="52"/>
      <c r="CG375" s="52">
        <f t="shared" si="56"/>
        <v>140195881</v>
      </c>
      <c r="CH375" s="52"/>
      <c r="CI375" s="52"/>
      <c r="CJ375" s="52"/>
      <c r="CK375" s="52"/>
      <c r="CL375" s="52"/>
      <c r="CM375" s="52"/>
      <c r="CN375" s="52"/>
      <c r="CO375" s="52"/>
      <c r="CP375" s="52"/>
      <c r="CQ375" s="52">
        <v>8001212</v>
      </c>
      <c r="CR375" s="52"/>
      <c r="CS375" s="52">
        <f t="shared" si="53"/>
        <v>148197093</v>
      </c>
      <c r="CT375" s="53">
        <v>64009696</v>
      </c>
      <c r="CU375" s="53">
        <f t="shared" si="54"/>
        <v>84187397</v>
      </c>
      <c r="CV375" s="54">
        <f t="shared" si="57"/>
        <v>148197093</v>
      </c>
      <c r="CW375" s="55">
        <f t="shared" si="58"/>
        <v>0</v>
      </c>
      <c r="CX375" s="16"/>
      <c r="CY375" s="16"/>
      <c r="CZ375" s="16"/>
    </row>
    <row r="376" spans="1:108" ht="15" customHeight="1" x14ac:dyDescent="0.2">
      <c r="A376" s="1">
        <v>8000263681</v>
      </c>
      <c r="B376" s="1">
        <v>800026368</v>
      </c>
      <c r="C376" s="9">
        <v>217615276</v>
      </c>
      <c r="D376" s="10" t="s">
        <v>250</v>
      </c>
      <c r="E376" s="46" t="s">
        <v>1285</v>
      </c>
      <c r="F376" s="21"/>
      <c r="G376" s="50"/>
      <c r="H376" s="21"/>
      <c r="I376" s="50"/>
      <c r="J376" s="21"/>
      <c r="K376" s="21"/>
      <c r="L376" s="50"/>
      <c r="M376" s="51"/>
      <c r="N376" s="21"/>
      <c r="O376" s="50"/>
      <c r="P376" s="21"/>
      <c r="Q376" s="50"/>
      <c r="R376" s="21"/>
      <c r="S376" s="21"/>
      <c r="T376" s="50"/>
      <c r="U376" s="51">
        <f t="shared" si="52"/>
        <v>0</v>
      </c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>
        <v>24410110</v>
      </c>
      <c r="AZ376" s="51"/>
      <c r="BA376" s="51">
        <f>VLOOKUP(B376,[1]Hoja3!J$3:K$674,2,0)</f>
        <v>43928445</v>
      </c>
      <c r="BB376" s="51"/>
      <c r="BC376" s="52">
        <f t="shared" si="55"/>
        <v>68338555</v>
      </c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>
        <v>4882022</v>
      </c>
      <c r="BO376" s="51"/>
      <c r="BP376" s="52">
        <v>73220577</v>
      </c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>
        <v>4882022</v>
      </c>
      <c r="CD376" s="52"/>
      <c r="CE376" s="52"/>
      <c r="CF376" s="52"/>
      <c r="CG376" s="52">
        <f t="shared" si="56"/>
        <v>78102599</v>
      </c>
      <c r="CH376" s="52"/>
      <c r="CI376" s="52"/>
      <c r="CJ376" s="52"/>
      <c r="CK376" s="52"/>
      <c r="CL376" s="52"/>
      <c r="CM376" s="52"/>
      <c r="CN376" s="52"/>
      <c r="CO376" s="52"/>
      <c r="CP376" s="52"/>
      <c r="CQ376" s="52">
        <v>4882022</v>
      </c>
      <c r="CR376" s="52"/>
      <c r="CS376" s="52">
        <f t="shared" si="53"/>
        <v>82984621</v>
      </c>
      <c r="CT376" s="53">
        <v>39056176</v>
      </c>
      <c r="CU376" s="53">
        <f t="shared" si="54"/>
        <v>43928445</v>
      </c>
      <c r="CV376" s="54">
        <f t="shared" si="57"/>
        <v>82984621</v>
      </c>
      <c r="CW376" s="55">
        <f t="shared" si="58"/>
        <v>0</v>
      </c>
      <c r="CX376" s="16"/>
      <c r="CY376" s="8"/>
      <c r="CZ376" s="8"/>
      <c r="DA376" s="8"/>
      <c r="DB376" s="8"/>
      <c r="DC376" s="8"/>
      <c r="DD376" s="8"/>
    </row>
    <row r="377" spans="1:108" ht="15" customHeight="1" x14ac:dyDescent="0.2">
      <c r="A377" s="1">
        <v>8902096402</v>
      </c>
      <c r="B377" s="1">
        <v>890209640</v>
      </c>
      <c r="C377" s="9">
        <v>217168271</v>
      </c>
      <c r="D377" s="10" t="s">
        <v>839</v>
      </c>
      <c r="E377" s="46" t="s">
        <v>1854</v>
      </c>
      <c r="F377" s="21"/>
      <c r="G377" s="50"/>
      <c r="H377" s="21"/>
      <c r="I377" s="50"/>
      <c r="J377" s="21"/>
      <c r="K377" s="21"/>
      <c r="L377" s="50"/>
      <c r="M377" s="51"/>
      <c r="N377" s="21"/>
      <c r="O377" s="50"/>
      <c r="P377" s="21"/>
      <c r="Q377" s="50"/>
      <c r="R377" s="21"/>
      <c r="S377" s="21"/>
      <c r="T377" s="50"/>
      <c r="U377" s="51">
        <f t="shared" si="52"/>
        <v>0</v>
      </c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>
        <v>48782960</v>
      </c>
      <c r="AZ377" s="51"/>
      <c r="BA377" s="51">
        <f>VLOOKUP(B377,[1]Hoja3!J$3:K$674,2,0)</f>
        <v>87175645</v>
      </c>
      <c r="BB377" s="51"/>
      <c r="BC377" s="52">
        <f t="shared" si="55"/>
        <v>135958605</v>
      </c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>
        <v>9756592</v>
      </c>
      <c r="BO377" s="51"/>
      <c r="BP377" s="52">
        <v>145715197</v>
      </c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>
        <v>9756592</v>
      </c>
      <c r="CD377" s="52"/>
      <c r="CE377" s="52"/>
      <c r="CF377" s="52"/>
      <c r="CG377" s="52">
        <f t="shared" si="56"/>
        <v>155471789</v>
      </c>
      <c r="CH377" s="52"/>
      <c r="CI377" s="52"/>
      <c r="CJ377" s="52"/>
      <c r="CK377" s="52"/>
      <c r="CL377" s="52"/>
      <c r="CM377" s="52"/>
      <c r="CN377" s="52"/>
      <c r="CO377" s="52"/>
      <c r="CP377" s="52"/>
      <c r="CQ377" s="52">
        <v>9756592</v>
      </c>
      <c r="CR377" s="52"/>
      <c r="CS377" s="52">
        <f t="shared" si="53"/>
        <v>165228381</v>
      </c>
      <c r="CT377" s="53">
        <v>78052736</v>
      </c>
      <c r="CU377" s="53">
        <f t="shared" si="54"/>
        <v>87175645</v>
      </c>
      <c r="CV377" s="54">
        <f t="shared" si="57"/>
        <v>165228381</v>
      </c>
      <c r="CW377" s="55">
        <f t="shared" si="58"/>
        <v>0</v>
      </c>
      <c r="CX377" s="16"/>
      <c r="CY377" s="16"/>
      <c r="CZ377" s="16"/>
    </row>
    <row r="378" spans="1:108" ht="15" customHeight="1" x14ac:dyDescent="0.2">
      <c r="A378" s="1">
        <v>8902051768</v>
      </c>
      <c r="B378" s="1">
        <v>890205176</v>
      </c>
      <c r="C378" s="9">
        <v>217668276</v>
      </c>
      <c r="D378" s="10" t="s">
        <v>2164</v>
      </c>
      <c r="E378" s="47" t="s">
        <v>1038</v>
      </c>
      <c r="F378" s="21"/>
      <c r="G378" s="50"/>
      <c r="H378" s="21"/>
      <c r="I378" s="50">
        <f>4084974740+73309331</f>
        <v>4158284071</v>
      </c>
      <c r="J378" s="21">
        <v>306183579</v>
      </c>
      <c r="K378" s="21">
        <v>609018116</v>
      </c>
      <c r="L378" s="50"/>
      <c r="M378" s="52">
        <f>SUM(F378:L378)</f>
        <v>5073485766</v>
      </c>
      <c r="N378" s="21"/>
      <c r="O378" s="50"/>
      <c r="P378" s="21"/>
      <c r="Q378" s="50">
        <f>3915338716+33322423</f>
        <v>3948661139</v>
      </c>
      <c r="R378" s="21">
        <v>306658486</v>
      </c>
      <c r="S378" s="21">
        <f>302834537+306658486</f>
        <v>609493023</v>
      </c>
      <c r="T378" s="50"/>
      <c r="U378" s="51">
        <f t="shared" si="52"/>
        <v>9938298414</v>
      </c>
      <c r="V378" s="51"/>
      <c r="W378" s="51"/>
      <c r="X378" s="51"/>
      <c r="Y378" s="51">
        <v>5960439741</v>
      </c>
      <c r="Z378" s="51">
        <v>321792405</v>
      </c>
      <c r="AA378" s="51">
        <v>733065407</v>
      </c>
      <c r="AB378" s="51"/>
      <c r="AC378" s="51">
        <f t="shared" si="61"/>
        <v>16953595967</v>
      </c>
      <c r="AD378" s="51"/>
      <c r="AE378" s="51"/>
      <c r="AF378" s="51"/>
      <c r="AG378" s="51"/>
      <c r="AH378" s="51">
        <v>4247282579</v>
      </c>
      <c r="AI378" s="51">
        <v>413566658</v>
      </c>
      <c r="AJ378" s="51">
        <v>321459104</v>
      </c>
      <c r="AK378" s="51">
        <v>809571310</v>
      </c>
      <c r="AL378" s="51"/>
      <c r="AM378" s="51">
        <v>1249566905</v>
      </c>
      <c r="AN378" s="51">
        <f>SUBTOTAL(9,AC378:AM378)</f>
        <v>23995042523</v>
      </c>
      <c r="AO378" s="51"/>
      <c r="AP378" s="51"/>
      <c r="AQ378" s="51">
        <v>722336125</v>
      </c>
      <c r="AR378" s="51"/>
      <c r="AS378" s="51"/>
      <c r="AT378" s="51">
        <v>4247282579</v>
      </c>
      <c r="AU378" s="51"/>
      <c r="AV378" s="51">
        <v>321459104</v>
      </c>
      <c r="AW378" s="51">
        <v>548407688</v>
      </c>
      <c r="AX378" s="51"/>
      <c r="AY378" s="51"/>
      <c r="AZ378" s="51">
        <v>192786241</v>
      </c>
      <c r="BA378" s="51">
        <f>VLOOKUP(B378,[1]Hoja3!J$3:K$674,2,0)</f>
        <v>892878036</v>
      </c>
      <c r="BB378" s="51"/>
      <c r="BC378" s="52">
        <f t="shared" si="55"/>
        <v>30920192296</v>
      </c>
      <c r="BD378" s="51"/>
      <c r="BE378" s="51"/>
      <c r="BF378" s="51">
        <v>144467225</v>
      </c>
      <c r="BG378" s="51"/>
      <c r="BH378" s="51"/>
      <c r="BI378" s="51">
        <v>4425153898</v>
      </c>
      <c r="BJ378" s="51">
        <v>263607960</v>
      </c>
      <c r="BK378" s="51">
        <v>342528192</v>
      </c>
      <c r="BL378" s="51">
        <v>795855135</v>
      </c>
      <c r="BM378" s="51"/>
      <c r="BN378" s="51"/>
      <c r="BO378" s="51"/>
      <c r="BP378" s="52">
        <v>36891804706</v>
      </c>
      <c r="BQ378" s="52"/>
      <c r="BR378" s="52"/>
      <c r="BS378" s="52">
        <v>144467225</v>
      </c>
      <c r="BT378" s="52"/>
      <c r="BU378" s="52"/>
      <c r="BV378" s="52"/>
      <c r="BW378" s="52">
        <v>4366290141</v>
      </c>
      <c r="BX378" s="52"/>
      <c r="BY378" s="52">
        <v>2010358758</v>
      </c>
      <c r="BZ378" s="52">
        <v>327479794</v>
      </c>
      <c r="CA378" s="52">
        <v>853388859</v>
      </c>
      <c r="CB378" s="52"/>
      <c r="CC378" s="52"/>
      <c r="CD378" s="52"/>
      <c r="CE378" s="52"/>
      <c r="CF378" s="52"/>
      <c r="CG378" s="52">
        <f t="shared" si="56"/>
        <v>44593789483</v>
      </c>
      <c r="CH378" s="52"/>
      <c r="CI378" s="52"/>
      <c r="CJ378" s="52">
        <v>144467225</v>
      </c>
      <c r="CK378" s="52"/>
      <c r="CL378" s="52">
        <v>4413118358</v>
      </c>
      <c r="CM378" s="52">
        <v>152156754</v>
      </c>
      <c r="CN378" s="52">
        <v>330096194</v>
      </c>
      <c r="CO378" s="52">
        <v>598916934</v>
      </c>
      <c r="CP378" s="52"/>
      <c r="CQ378" s="52"/>
      <c r="CR378" s="52"/>
      <c r="CS378" s="52">
        <f t="shared" si="53"/>
        <v>50232544948</v>
      </c>
      <c r="CT378" s="53">
        <v>48090100007</v>
      </c>
      <c r="CU378" s="53">
        <f t="shared" si="54"/>
        <v>2142444941</v>
      </c>
      <c r="CV378" s="54">
        <f t="shared" si="57"/>
        <v>50232544948</v>
      </c>
      <c r="CW378" s="55">
        <f t="shared" si="58"/>
        <v>0</v>
      </c>
      <c r="CX378" s="16"/>
      <c r="CY378" s="16"/>
      <c r="CZ378" s="16"/>
    </row>
    <row r="379" spans="1:108" ht="15" customHeight="1" x14ac:dyDescent="0.2">
      <c r="A379" s="1">
        <v>8001005191</v>
      </c>
      <c r="B379" s="1">
        <v>800100519</v>
      </c>
      <c r="C379" s="9">
        <v>217576275</v>
      </c>
      <c r="D379" s="10" t="s">
        <v>926</v>
      </c>
      <c r="E379" s="46" t="s">
        <v>1986</v>
      </c>
      <c r="F379" s="21"/>
      <c r="G379" s="50"/>
      <c r="H379" s="21"/>
      <c r="I379" s="50"/>
      <c r="J379" s="21"/>
      <c r="K379" s="21"/>
      <c r="L379" s="50"/>
      <c r="M379" s="51"/>
      <c r="N379" s="21"/>
      <c r="O379" s="50"/>
      <c r="P379" s="21"/>
      <c r="Q379" s="50"/>
      <c r="R379" s="21"/>
      <c r="S379" s="21"/>
      <c r="T379" s="50"/>
      <c r="U379" s="51">
        <f t="shared" si="52"/>
        <v>0</v>
      </c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>
        <v>692403819</v>
      </c>
      <c r="AN379" s="51">
        <f>SUBTOTAL(9,AC379:AM379)</f>
        <v>692403819</v>
      </c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>
        <v>338047235</v>
      </c>
      <c r="AZ379" s="51"/>
      <c r="BA379" s="51">
        <f>VLOOKUP(B379,[1]Hoja3!J$3:K$674,2,0)</f>
        <v>79708514</v>
      </c>
      <c r="BB379" s="51"/>
      <c r="BC379" s="52">
        <f t="shared" si="55"/>
        <v>1110159568</v>
      </c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>
        <v>67609447</v>
      </c>
      <c r="BO379" s="51"/>
      <c r="BP379" s="52">
        <v>1177769015</v>
      </c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>
        <v>67609447</v>
      </c>
      <c r="CD379" s="52"/>
      <c r="CE379" s="52"/>
      <c r="CF379" s="52"/>
      <c r="CG379" s="52">
        <f t="shared" si="56"/>
        <v>1245378462</v>
      </c>
      <c r="CH379" s="52"/>
      <c r="CI379" s="52"/>
      <c r="CJ379" s="52"/>
      <c r="CK379" s="52"/>
      <c r="CL379" s="52"/>
      <c r="CM379" s="52"/>
      <c r="CN379" s="52"/>
      <c r="CO379" s="52"/>
      <c r="CP379" s="52"/>
      <c r="CQ379" s="52">
        <v>67609447</v>
      </c>
      <c r="CR379" s="52"/>
      <c r="CS379" s="52">
        <f t="shared" si="53"/>
        <v>1312987909</v>
      </c>
      <c r="CT379" s="53">
        <v>540875576</v>
      </c>
      <c r="CU379" s="53">
        <f t="shared" si="54"/>
        <v>772112333</v>
      </c>
      <c r="CV379" s="54">
        <f t="shared" si="57"/>
        <v>1312987909</v>
      </c>
      <c r="CW379" s="55">
        <f t="shared" si="58"/>
        <v>0</v>
      </c>
      <c r="CX379" s="16"/>
      <c r="CY379" s="16"/>
      <c r="CZ379" s="16"/>
    </row>
    <row r="380" spans="1:108" ht="15" customHeight="1" x14ac:dyDescent="0.2">
      <c r="A380" s="1">
        <v>8999993645</v>
      </c>
      <c r="B380" s="1">
        <v>899999364</v>
      </c>
      <c r="C380" s="9">
        <v>217925279</v>
      </c>
      <c r="D380" s="10" t="s">
        <v>485</v>
      </c>
      <c r="E380" s="46" t="s">
        <v>1512</v>
      </c>
      <c r="F380" s="21"/>
      <c r="G380" s="50"/>
      <c r="H380" s="21"/>
      <c r="I380" s="50"/>
      <c r="J380" s="21"/>
      <c r="K380" s="21"/>
      <c r="L380" s="50"/>
      <c r="M380" s="51"/>
      <c r="N380" s="21"/>
      <c r="O380" s="50"/>
      <c r="P380" s="21"/>
      <c r="Q380" s="50"/>
      <c r="R380" s="21"/>
      <c r="S380" s="21"/>
      <c r="T380" s="50"/>
      <c r="U380" s="51">
        <f t="shared" si="52"/>
        <v>0</v>
      </c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>
        <v>163759537</v>
      </c>
      <c r="AN380" s="51">
        <f>SUBTOTAL(9,AC380:AM380)</f>
        <v>163759537</v>
      </c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>
        <v>72427545</v>
      </c>
      <c r="AZ380" s="51"/>
      <c r="BA380" s="51"/>
      <c r="BB380" s="51"/>
      <c r="BC380" s="52">
        <f t="shared" si="55"/>
        <v>236187082</v>
      </c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>
        <v>14485509</v>
      </c>
      <c r="BO380" s="51"/>
      <c r="BP380" s="52">
        <v>250672591</v>
      </c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>
        <v>14485509</v>
      </c>
      <c r="CD380" s="52"/>
      <c r="CE380" s="52"/>
      <c r="CF380" s="52"/>
      <c r="CG380" s="52">
        <f t="shared" si="56"/>
        <v>265158100</v>
      </c>
      <c r="CH380" s="52"/>
      <c r="CI380" s="52"/>
      <c r="CJ380" s="52"/>
      <c r="CK380" s="52"/>
      <c r="CL380" s="52"/>
      <c r="CM380" s="52"/>
      <c r="CN380" s="52"/>
      <c r="CO380" s="52"/>
      <c r="CP380" s="52"/>
      <c r="CQ380" s="52">
        <v>14485509</v>
      </c>
      <c r="CR380" s="52"/>
      <c r="CS380" s="52">
        <f t="shared" si="53"/>
        <v>279643609</v>
      </c>
      <c r="CT380" s="53">
        <v>115884072</v>
      </c>
      <c r="CU380" s="53">
        <f t="shared" si="54"/>
        <v>163759537</v>
      </c>
      <c r="CV380" s="54">
        <f t="shared" si="57"/>
        <v>279643609</v>
      </c>
      <c r="CW380" s="55">
        <f t="shared" si="58"/>
        <v>0</v>
      </c>
      <c r="CX380" s="16"/>
      <c r="CY380" s="16"/>
      <c r="CZ380" s="16"/>
    </row>
    <row r="381" spans="1:108" ht="15" customHeight="1" x14ac:dyDescent="0.2">
      <c r="A381" s="1">
        <v>8921700083</v>
      </c>
      <c r="B381" s="1">
        <v>892170008</v>
      </c>
      <c r="C381" s="9">
        <v>217944279</v>
      </c>
      <c r="D381" s="10" t="s">
        <v>635</v>
      </c>
      <c r="E381" s="46" t="s">
        <v>1653</v>
      </c>
      <c r="F381" s="21"/>
      <c r="G381" s="50"/>
      <c r="H381" s="21"/>
      <c r="I381" s="50"/>
      <c r="J381" s="21"/>
      <c r="K381" s="21"/>
      <c r="L381" s="50"/>
      <c r="M381" s="51"/>
      <c r="N381" s="21"/>
      <c r="O381" s="50"/>
      <c r="P381" s="21"/>
      <c r="Q381" s="50"/>
      <c r="R381" s="21"/>
      <c r="S381" s="21"/>
      <c r="T381" s="50"/>
      <c r="U381" s="51">
        <f t="shared" si="52"/>
        <v>0</v>
      </c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>
        <v>628905388</v>
      </c>
      <c r="AN381" s="51">
        <f>SUBTOTAL(9,AC381:AM381)</f>
        <v>628905388</v>
      </c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2">
        <f t="shared" si="55"/>
        <v>628905388</v>
      </c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>
        <v>0</v>
      </c>
      <c r="BO381" s="51"/>
      <c r="BP381" s="52">
        <v>628905388</v>
      </c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>
        <v>0</v>
      </c>
      <c r="CD381" s="52"/>
      <c r="CE381" s="52">
        <v>28033226</v>
      </c>
      <c r="CF381" s="52"/>
      <c r="CG381" s="52">
        <f t="shared" si="56"/>
        <v>656938614</v>
      </c>
      <c r="CH381" s="52"/>
      <c r="CI381" s="52"/>
      <c r="CJ381" s="52"/>
      <c r="CK381" s="52"/>
      <c r="CL381" s="52"/>
      <c r="CM381" s="52"/>
      <c r="CN381" s="52"/>
      <c r="CO381" s="52"/>
      <c r="CP381" s="52"/>
      <c r="CQ381" s="52">
        <v>500012488</v>
      </c>
      <c r="CR381" s="52"/>
      <c r="CS381" s="52">
        <f t="shared" si="53"/>
        <v>1156951102</v>
      </c>
      <c r="CT381" s="53">
        <v>500012488</v>
      </c>
      <c r="CU381" s="53">
        <f t="shared" si="54"/>
        <v>656938614</v>
      </c>
      <c r="CV381" s="54">
        <f t="shared" si="57"/>
        <v>1156951102</v>
      </c>
      <c r="CW381" s="55">
        <f t="shared" si="58"/>
        <v>0</v>
      </c>
      <c r="CX381" s="16"/>
      <c r="CY381" s="16"/>
      <c r="CZ381" s="16"/>
    </row>
    <row r="382" spans="1:108" ht="15" customHeight="1" x14ac:dyDescent="0.2">
      <c r="A382" s="1">
        <v>8001360694</v>
      </c>
      <c r="B382" s="1">
        <v>800136069</v>
      </c>
      <c r="C382" s="9">
        <v>210081300</v>
      </c>
      <c r="D382" s="10" t="s">
        <v>951</v>
      </c>
      <c r="E382" s="46" t="s">
        <v>2011</v>
      </c>
      <c r="F382" s="21"/>
      <c r="G382" s="50"/>
      <c r="H382" s="21"/>
      <c r="I382" s="50"/>
      <c r="J382" s="21"/>
      <c r="K382" s="21"/>
      <c r="L382" s="50"/>
      <c r="M382" s="51"/>
      <c r="N382" s="21"/>
      <c r="O382" s="50"/>
      <c r="P382" s="21"/>
      <c r="Q382" s="50"/>
      <c r="R382" s="21"/>
      <c r="S382" s="21"/>
      <c r="T382" s="50"/>
      <c r="U382" s="51">
        <f t="shared" si="52"/>
        <v>0</v>
      </c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>
        <v>348459835</v>
      </c>
      <c r="AZ382" s="51"/>
      <c r="BA382" s="51">
        <f>VLOOKUP(B382,[1]Hoja3!J$3:K$674,2,0)</f>
        <v>351771836</v>
      </c>
      <c r="BB382" s="51"/>
      <c r="BC382" s="52">
        <f t="shared" si="55"/>
        <v>700231671</v>
      </c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>
        <v>69691967</v>
      </c>
      <c r="BO382" s="51"/>
      <c r="BP382" s="52">
        <v>769923638</v>
      </c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>
        <v>69691967</v>
      </c>
      <c r="CD382" s="52"/>
      <c r="CE382" s="52"/>
      <c r="CF382" s="52"/>
      <c r="CG382" s="52">
        <f t="shared" si="56"/>
        <v>839615605</v>
      </c>
      <c r="CH382" s="52"/>
      <c r="CI382" s="52"/>
      <c r="CJ382" s="52"/>
      <c r="CK382" s="52"/>
      <c r="CL382" s="52"/>
      <c r="CM382" s="52"/>
      <c r="CN382" s="52"/>
      <c r="CO382" s="52"/>
      <c r="CP382" s="52"/>
      <c r="CQ382" s="52">
        <v>69691967</v>
      </c>
      <c r="CR382" s="52"/>
      <c r="CS382" s="52">
        <f t="shared" si="53"/>
        <v>909307572</v>
      </c>
      <c r="CT382" s="53">
        <v>557535736</v>
      </c>
      <c r="CU382" s="53">
        <f t="shared" si="54"/>
        <v>351771836</v>
      </c>
      <c r="CV382" s="54">
        <f t="shared" si="57"/>
        <v>909307572</v>
      </c>
      <c r="CW382" s="55">
        <f t="shared" si="58"/>
        <v>0</v>
      </c>
      <c r="CX382" s="16"/>
      <c r="CY382" s="16"/>
      <c r="CZ382" s="16"/>
    </row>
    <row r="383" spans="1:108" ht="15" customHeight="1" x14ac:dyDescent="0.2">
      <c r="A383" s="1">
        <v>8999994201</v>
      </c>
      <c r="B383" s="1">
        <v>899999420</v>
      </c>
      <c r="C383" s="9">
        <v>218125281</v>
      </c>
      <c r="D383" s="10" t="s">
        <v>486</v>
      </c>
      <c r="E383" s="46" t="s">
        <v>1513</v>
      </c>
      <c r="F383" s="21"/>
      <c r="G383" s="50"/>
      <c r="H383" s="21"/>
      <c r="I383" s="50"/>
      <c r="J383" s="21"/>
      <c r="K383" s="21"/>
      <c r="L383" s="50"/>
      <c r="M383" s="51"/>
      <c r="N383" s="21"/>
      <c r="O383" s="50"/>
      <c r="P383" s="21"/>
      <c r="Q383" s="50"/>
      <c r="R383" s="21"/>
      <c r="S383" s="21"/>
      <c r="T383" s="50"/>
      <c r="U383" s="51">
        <f t="shared" si="52"/>
        <v>0</v>
      </c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>
        <v>116856050</v>
      </c>
      <c r="AN383" s="51">
        <f>SUBTOTAL(9,AC383:AM383)</f>
        <v>116856050</v>
      </c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2">
        <f t="shared" si="55"/>
        <v>116856050</v>
      </c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>
        <v>0</v>
      </c>
      <c r="BO383" s="51"/>
      <c r="BP383" s="52">
        <v>116856050</v>
      </c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>
        <v>56405293</v>
      </c>
      <c r="CD383" s="52"/>
      <c r="CE383" s="52"/>
      <c r="CF383" s="52"/>
      <c r="CG383" s="52">
        <f t="shared" si="56"/>
        <v>173261343</v>
      </c>
      <c r="CH383" s="52"/>
      <c r="CI383" s="52"/>
      <c r="CJ383" s="52"/>
      <c r="CK383" s="52"/>
      <c r="CL383" s="52"/>
      <c r="CM383" s="52"/>
      <c r="CN383" s="52"/>
      <c r="CO383" s="52"/>
      <c r="CP383" s="52"/>
      <c r="CQ383" s="52">
        <v>8057899</v>
      </c>
      <c r="CR383" s="52"/>
      <c r="CS383" s="52">
        <f t="shared" si="53"/>
        <v>181319242</v>
      </c>
      <c r="CT383" s="53">
        <v>64463192</v>
      </c>
      <c r="CU383" s="53">
        <f t="shared" si="54"/>
        <v>116856050</v>
      </c>
      <c r="CV383" s="54">
        <f t="shared" si="57"/>
        <v>181319242</v>
      </c>
      <c r="CW383" s="55">
        <f t="shared" si="58"/>
        <v>0</v>
      </c>
      <c r="CX383" s="16"/>
      <c r="CY383" s="16"/>
      <c r="CZ383" s="16"/>
    </row>
    <row r="384" spans="1:108" ht="15" customHeight="1" x14ac:dyDescent="0.2">
      <c r="A384" s="1">
        <v>8000990853</v>
      </c>
      <c r="B384" s="1">
        <v>800099085</v>
      </c>
      <c r="C384" s="9">
        <v>212052520</v>
      </c>
      <c r="D384" s="10" t="s">
        <v>730</v>
      </c>
      <c r="E384" s="46" t="s">
        <v>1752</v>
      </c>
      <c r="F384" s="21"/>
      <c r="G384" s="50"/>
      <c r="H384" s="21"/>
      <c r="I384" s="50"/>
      <c r="J384" s="21"/>
      <c r="K384" s="21"/>
      <c r="L384" s="50"/>
      <c r="M384" s="51"/>
      <c r="N384" s="21"/>
      <c r="O384" s="50"/>
      <c r="P384" s="21"/>
      <c r="Q384" s="50"/>
      <c r="R384" s="21"/>
      <c r="S384" s="21"/>
      <c r="T384" s="50"/>
      <c r="U384" s="51">
        <f t="shared" si="52"/>
        <v>0</v>
      </c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>
        <v>114509850</v>
      </c>
      <c r="AZ384" s="51"/>
      <c r="BA384" s="51">
        <f>VLOOKUP(B384,[1]Hoja3!J$3:K$674,2,0)</f>
        <v>118256632</v>
      </c>
      <c r="BB384" s="51"/>
      <c r="BC384" s="52">
        <f t="shared" si="55"/>
        <v>232766482</v>
      </c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>
        <v>22901970</v>
      </c>
      <c r="BO384" s="51"/>
      <c r="BP384" s="52">
        <v>255668452</v>
      </c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>
        <v>22901970</v>
      </c>
      <c r="CD384" s="52"/>
      <c r="CE384" s="52"/>
      <c r="CF384" s="52"/>
      <c r="CG384" s="52">
        <f t="shared" si="56"/>
        <v>278570422</v>
      </c>
      <c r="CH384" s="52"/>
      <c r="CI384" s="52"/>
      <c r="CJ384" s="52"/>
      <c r="CK384" s="52"/>
      <c r="CL384" s="52"/>
      <c r="CM384" s="52"/>
      <c r="CN384" s="52"/>
      <c r="CO384" s="52"/>
      <c r="CP384" s="52"/>
      <c r="CQ384" s="52">
        <v>22901970</v>
      </c>
      <c r="CR384" s="52"/>
      <c r="CS384" s="52">
        <f t="shared" si="53"/>
        <v>301472392</v>
      </c>
      <c r="CT384" s="53">
        <v>183215760</v>
      </c>
      <c r="CU384" s="53">
        <f t="shared" si="54"/>
        <v>118256632</v>
      </c>
      <c r="CV384" s="54">
        <f t="shared" si="57"/>
        <v>301472392</v>
      </c>
      <c r="CW384" s="55">
        <f t="shared" si="58"/>
        <v>0</v>
      </c>
      <c r="CX384" s="16"/>
      <c r="CY384" s="16"/>
      <c r="CZ384" s="16"/>
    </row>
    <row r="385" spans="1:108" ht="15" customHeight="1" x14ac:dyDescent="0.2">
      <c r="A385" s="1">
        <v>8909808481</v>
      </c>
      <c r="B385" s="1">
        <v>890980848</v>
      </c>
      <c r="C385" s="9">
        <v>218205282</v>
      </c>
      <c r="D385" s="10" t="s">
        <v>87</v>
      </c>
      <c r="E385" s="46" t="s">
        <v>1118</v>
      </c>
      <c r="F385" s="21"/>
      <c r="G385" s="50"/>
      <c r="H385" s="21"/>
      <c r="I385" s="50"/>
      <c r="J385" s="21"/>
      <c r="K385" s="21"/>
      <c r="L385" s="50"/>
      <c r="M385" s="51"/>
      <c r="N385" s="21"/>
      <c r="O385" s="50"/>
      <c r="P385" s="21"/>
      <c r="Q385" s="50"/>
      <c r="R385" s="21"/>
      <c r="S385" s="21"/>
      <c r="T385" s="50"/>
      <c r="U385" s="51">
        <f t="shared" si="52"/>
        <v>0</v>
      </c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>
        <v>265313232</v>
      </c>
      <c r="AN385" s="51">
        <f>SUBTOTAL(9,AC385:AM385)</f>
        <v>265313232</v>
      </c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2">
        <f t="shared" si="55"/>
        <v>265313232</v>
      </c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>
        <v>0</v>
      </c>
      <c r="BO385" s="51"/>
      <c r="BP385" s="52">
        <v>265313232</v>
      </c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>
        <v>0</v>
      </c>
      <c r="CD385" s="52"/>
      <c r="CE385" s="52"/>
      <c r="CF385" s="52"/>
      <c r="CG385" s="52">
        <f t="shared" si="56"/>
        <v>265313232</v>
      </c>
      <c r="CH385" s="52"/>
      <c r="CI385" s="52"/>
      <c r="CJ385" s="52"/>
      <c r="CK385" s="52"/>
      <c r="CL385" s="52"/>
      <c r="CM385" s="52"/>
      <c r="CN385" s="52"/>
      <c r="CO385" s="52"/>
      <c r="CP385" s="52"/>
      <c r="CQ385" s="52">
        <v>0</v>
      </c>
      <c r="CR385" s="52"/>
      <c r="CS385" s="52">
        <f t="shared" si="53"/>
        <v>265313232</v>
      </c>
      <c r="CT385" s="53"/>
      <c r="CU385" s="53">
        <f t="shared" si="54"/>
        <v>265313232</v>
      </c>
      <c r="CV385" s="54">
        <f t="shared" si="57"/>
        <v>265313232</v>
      </c>
      <c r="CW385" s="55">
        <f t="shared" si="58"/>
        <v>0</v>
      </c>
      <c r="CX385" s="16"/>
      <c r="CY385" s="16"/>
      <c r="CZ385" s="16"/>
    </row>
    <row r="386" spans="1:108" ht="15" customHeight="1" x14ac:dyDescent="0.2">
      <c r="A386" s="1">
        <v>8001000563</v>
      </c>
      <c r="B386" s="1">
        <v>800100056</v>
      </c>
      <c r="C386" s="9">
        <v>218373283</v>
      </c>
      <c r="D386" s="10" t="s">
        <v>2218</v>
      </c>
      <c r="E386" s="46" t="s">
        <v>1944</v>
      </c>
      <c r="F386" s="21"/>
      <c r="G386" s="50"/>
      <c r="H386" s="21"/>
      <c r="I386" s="50"/>
      <c r="J386" s="21"/>
      <c r="K386" s="21"/>
      <c r="L386" s="50"/>
      <c r="M386" s="51"/>
      <c r="N386" s="21"/>
      <c r="O386" s="50"/>
      <c r="P386" s="21"/>
      <c r="Q386" s="50"/>
      <c r="R386" s="21"/>
      <c r="S386" s="21"/>
      <c r="T386" s="50"/>
      <c r="U386" s="51">
        <f t="shared" si="52"/>
        <v>0</v>
      </c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>
        <v>507095759</v>
      </c>
      <c r="AN386" s="51">
        <f>SUBTOTAL(9,AC386:AM386)</f>
        <v>507095759</v>
      </c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2">
        <f t="shared" si="55"/>
        <v>507095759</v>
      </c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>
        <v>0</v>
      </c>
      <c r="BO386" s="51"/>
      <c r="BP386" s="52">
        <v>507095759</v>
      </c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>
        <v>0</v>
      </c>
      <c r="CD386" s="52"/>
      <c r="CE386" s="52"/>
      <c r="CF386" s="52"/>
      <c r="CG386" s="52">
        <f t="shared" si="56"/>
        <v>507095759</v>
      </c>
      <c r="CH386" s="52"/>
      <c r="CI386" s="52"/>
      <c r="CJ386" s="52"/>
      <c r="CK386" s="52"/>
      <c r="CL386" s="52"/>
      <c r="CM386" s="52"/>
      <c r="CN386" s="52"/>
      <c r="CO386" s="52"/>
      <c r="CP386" s="52"/>
      <c r="CQ386" s="52">
        <v>0</v>
      </c>
      <c r="CR386" s="52"/>
      <c r="CS386" s="52">
        <f t="shared" si="53"/>
        <v>507095759</v>
      </c>
      <c r="CT386" s="53"/>
      <c r="CU386" s="53">
        <f t="shared" si="54"/>
        <v>507095759</v>
      </c>
      <c r="CV386" s="54">
        <f t="shared" si="57"/>
        <v>507095759</v>
      </c>
      <c r="CW386" s="55">
        <f t="shared" si="58"/>
        <v>0</v>
      </c>
      <c r="CX386" s="16"/>
      <c r="CY386" s="16"/>
      <c r="CZ386" s="16"/>
    </row>
    <row r="387" spans="1:108" ht="15" customHeight="1" x14ac:dyDescent="0.2">
      <c r="A387" s="1">
        <v>8909837068</v>
      </c>
      <c r="B387" s="1">
        <v>890983706</v>
      </c>
      <c r="C387" s="9">
        <v>218405284</v>
      </c>
      <c r="D387" s="10" t="s">
        <v>88</v>
      </c>
      <c r="E387" s="46" t="s">
        <v>1119</v>
      </c>
      <c r="F387" s="21"/>
      <c r="G387" s="50"/>
      <c r="H387" s="21"/>
      <c r="I387" s="50"/>
      <c r="J387" s="21"/>
      <c r="K387" s="21"/>
      <c r="L387" s="50"/>
      <c r="M387" s="51"/>
      <c r="N387" s="21"/>
      <c r="O387" s="50"/>
      <c r="P387" s="21"/>
      <c r="Q387" s="50"/>
      <c r="R387" s="21"/>
      <c r="S387" s="21"/>
      <c r="T387" s="50"/>
      <c r="U387" s="51">
        <f t="shared" ref="U387:U450" si="62">SUM(M387:T387)</f>
        <v>0</v>
      </c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>
        <v>251695784</v>
      </c>
      <c r="AN387" s="51">
        <f>SUBTOTAL(9,AC387:AM387)</f>
        <v>251695784</v>
      </c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>
        <v>195193590</v>
      </c>
      <c r="AZ387" s="51"/>
      <c r="BA387" s="51">
        <f>VLOOKUP(B387,[1]Hoja3!J$3:K$674,2,0)</f>
        <v>41002011</v>
      </c>
      <c r="BB387" s="51">
        <f>VLOOKUP(B387,'[2]anuladas en mayo gratuidad}'!K$2:L$55,2,0)</f>
        <v>57303217</v>
      </c>
      <c r="BC387" s="52">
        <f t="shared" si="55"/>
        <v>430588168</v>
      </c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>
        <v>39038718</v>
      </c>
      <c r="BO387" s="51"/>
      <c r="BP387" s="52">
        <v>469626886</v>
      </c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>
        <v>39038718</v>
      </c>
      <c r="CD387" s="52"/>
      <c r="CE387" s="52">
        <v>57340008</v>
      </c>
      <c r="CF387" s="52"/>
      <c r="CG387" s="52">
        <f t="shared" si="56"/>
        <v>566005612</v>
      </c>
      <c r="CH387" s="52"/>
      <c r="CI387" s="52"/>
      <c r="CJ387" s="52"/>
      <c r="CK387" s="52"/>
      <c r="CL387" s="52"/>
      <c r="CM387" s="52"/>
      <c r="CN387" s="52"/>
      <c r="CO387" s="52"/>
      <c r="CP387" s="52"/>
      <c r="CQ387" s="52">
        <v>39038718</v>
      </c>
      <c r="CR387" s="52">
        <v>92559848</v>
      </c>
      <c r="CS387" s="52">
        <f t="shared" ref="CS387:CS450" si="63">SUM(CG387:CR387)</f>
        <v>697604178</v>
      </c>
      <c r="CT387" s="53">
        <v>312309744</v>
      </c>
      <c r="CU387" s="53">
        <f t="shared" ref="CU387:CU450" si="64">+AM387+BA387-BB387+BO387+CE387+CF387+CR387</f>
        <v>385294434</v>
      </c>
      <c r="CV387" s="54">
        <f t="shared" si="57"/>
        <v>697604178</v>
      </c>
      <c r="CW387" s="55">
        <f t="shared" si="58"/>
        <v>0</v>
      </c>
      <c r="CX387" s="16"/>
      <c r="CY387" s="16"/>
      <c r="CZ387" s="16"/>
    </row>
    <row r="388" spans="1:108" ht="15" customHeight="1" x14ac:dyDescent="0.2">
      <c r="A388" s="1">
        <v>8920991831</v>
      </c>
      <c r="B388" s="1">
        <v>892099183</v>
      </c>
      <c r="C388" s="9">
        <v>218750287</v>
      </c>
      <c r="D388" s="10" t="s">
        <v>674</v>
      </c>
      <c r="E388" s="46" t="s">
        <v>1695</v>
      </c>
      <c r="F388" s="21"/>
      <c r="G388" s="50"/>
      <c r="H388" s="21"/>
      <c r="I388" s="50"/>
      <c r="J388" s="21"/>
      <c r="K388" s="21"/>
      <c r="L388" s="50"/>
      <c r="M388" s="51"/>
      <c r="N388" s="21"/>
      <c r="O388" s="50"/>
      <c r="P388" s="21"/>
      <c r="Q388" s="50"/>
      <c r="R388" s="21"/>
      <c r="S388" s="21"/>
      <c r="T388" s="50"/>
      <c r="U388" s="51">
        <f t="shared" si="62"/>
        <v>0</v>
      </c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>
        <v>82014935</v>
      </c>
      <c r="AZ388" s="51"/>
      <c r="BA388" s="51">
        <f>VLOOKUP(B388,[1]Hoja3!J$3:K$674,2,0)</f>
        <v>215050391</v>
      </c>
      <c r="BB388" s="51"/>
      <c r="BC388" s="52">
        <f t="shared" ref="BC388:BC451" si="65">SUM(AN388:BA388)-BB388</f>
        <v>297065326</v>
      </c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>
        <v>16402987</v>
      </c>
      <c r="BO388" s="51"/>
      <c r="BP388" s="52">
        <v>313468313</v>
      </c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>
        <v>16402987</v>
      </c>
      <c r="CD388" s="52"/>
      <c r="CE388" s="52"/>
      <c r="CF388" s="52"/>
      <c r="CG388" s="52">
        <f t="shared" ref="CG388:CG451" si="66">SUM(BP388:CF388)</f>
        <v>329871300</v>
      </c>
      <c r="CH388" s="52"/>
      <c r="CI388" s="52"/>
      <c r="CJ388" s="52"/>
      <c r="CK388" s="52"/>
      <c r="CL388" s="52"/>
      <c r="CM388" s="52"/>
      <c r="CN388" s="52"/>
      <c r="CO388" s="52"/>
      <c r="CP388" s="52"/>
      <c r="CQ388" s="52">
        <v>16402987</v>
      </c>
      <c r="CR388" s="52"/>
      <c r="CS388" s="52">
        <f t="shared" si="63"/>
        <v>346274287</v>
      </c>
      <c r="CT388" s="53">
        <v>131223896</v>
      </c>
      <c r="CU388" s="53">
        <f t="shared" si="64"/>
        <v>215050391</v>
      </c>
      <c r="CV388" s="54">
        <f t="shared" ref="CV388:CV451" si="67">+CT388+CU388</f>
        <v>346274287</v>
      </c>
      <c r="CW388" s="55">
        <f t="shared" ref="CW388:CW451" si="68">+CS388-CV388</f>
        <v>0</v>
      </c>
      <c r="CX388" s="16"/>
      <c r="CY388" s="16"/>
      <c r="CZ388" s="16"/>
    </row>
    <row r="389" spans="1:108" ht="15" customHeight="1" x14ac:dyDescent="0.2">
      <c r="A389" s="1">
        <v>8917800451</v>
      </c>
      <c r="B389" s="1">
        <v>891780045</v>
      </c>
      <c r="C389" s="9">
        <v>218847288</v>
      </c>
      <c r="D389" s="10" t="s">
        <v>648</v>
      </c>
      <c r="E389" s="46" t="s">
        <v>1667</v>
      </c>
      <c r="F389" s="21"/>
      <c r="G389" s="50"/>
      <c r="H389" s="21"/>
      <c r="I389" s="50"/>
      <c r="J389" s="21"/>
      <c r="K389" s="21"/>
      <c r="L389" s="50"/>
      <c r="M389" s="51"/>
      <c r="N389" s="21"/>
      <c r="O389" s="50"/>
      <c r="P389" s="21"/>
      <c r="Q389" s="50"/>
      <c r="R389" s="21"/>
      <c r="S389" s="21"/>
      <c r="T389" s="50"/>
      <c r="U389" s="51">
        <f t="shared" si="62"/>
        <v>0</v>
      </c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>
        <v>1046400396</v>
      </c>
      <c r="AN389" s="51">
        <f t="shared" ref="AN389:AN394" si="69">SUBTOTAL(9,AC389:AM389)</f>
        <v>1046400396</v>
      </c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>
        <v>563538720</v>
      </c>
      <c r="AZ389" s="51"/>
      <c r="BA389" s="51">
        <f>VLOOKUP(B389,[1]Hoja3!J$3:K$674,2,0)</f>
        <v>244218764</v>
      </c>
      <c r="BB389" s="51">
        <f>VLOOKUP(B389,'[2]anuladas en mayo gratuidad}'!K$2:L$55,2,0)</f>
        <v>183902248</v>
      </c>
      <c r="BC389" s="52">
        <f t="shared" si="65"/>
        <v>1670255632</v>
      </c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>
        <v>112707744</v>
      </c>
      <c r="BO389" s="51">
        <v>86035754</v>
      </c>
      <c r="BP389" s="52">
        <v>1868999130</v>
      </c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>
        <v>112707744</v>
      </c>
      <c r="CD389" s="52"/>
      <c r="CE389" s="52"/>
      <c r="CF389" s="52"/>
      <c r="CG389" s="52">
        <f t="shared" si="66"/>
        <v>1981706874</v>
      </c>
      <c r="CH389" s="52"/>
      <c r="CI389" s="52"/>
      <c r="CJ389" s="52"/>
      <c r="CK389" s="52"/>
      <c r="CL389" s="52"/>
      <c r="CM389" s="52"/>
      <c r="CN389" s="52"/>
      <c r="CO389" s="52"/>
      <c r="CP389" s="52"/>
      <c r="CQ389" s="52">
        <v>112707744</v>
      </c>
      <c r="CR389" s="52"/>
      <c r="CS389" s="52">
        <f t="shared" si="63"/>
        <v>2094414618</v>
      </c>
      <c r="CT389" s="53">
        <v>901661952</v>
      </c>
      <c r="CU389" s="53">
        <f t="shared" si="64"/>
        <v>1192752666</v>
      </c>
      <c r="CV389" s="54">
        <f t="shared" si="67"/>
        <v>2094414618</v>
      </c>
      <c r="CW389" s="55">
        <f t="shared" si="68"/>
        <v>0</v>
      </c>
      <c r="CX389" s="16"/>
      <c r="CY389" s="16"/>
      <c r="CZ389" s="16"/>
    </row>
    <row r="390" spans="1:108" ht="15" customHeight="1" x14ac:dyDescent="0.2">
      <c r="A390" s="1">
        <v>8000990892</v>
      </c>
      <c r="B390" s="1">
        <v>800099089</v>
      </c>
      <c r="C390" s="9">
        <v>218752287</v>
      </c>
      <c r="D390" s="10" t="s">
        <v>710</v>
      </c>
      <c r="E390" s="46" t="s">
        <v>1733</v>
      </c>
      <c r="F390" s="21"/>
      <c r="G390" s="50"/>
      <c r="H390" s="21"/>
      <c r="I390" s="50"/>
      <c r="J390" s="21"/>
      <c r="K390" s="21"/>
      <c r="L390" s="50"/>
      <c r="M390" s="51"/>
      <c r="N390" s="21"/>
      <c r="O390" s="50"/>
      <c r="P390" s="21"/>
      <c r="Q390" s="50"/>
      <c r="R390" s="21"/>
      <c r="S390" s="21"/>
      <c r="T390" s="50"/>
      <c r="U390" s="51">
        <f t="shared" si="62"/>
        <v>0</v>
      </c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>
        <v>17936589</v>
      </c>
      <c r="AN390" s="51">
        <f t="shared" si="69"/>
        <v>17936589</v>
      </c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>
        <f>VLOOKUP(B390,[1]Hoja3!J$3:K$674,2,0)</f>
        <v>65723652</v>
      </c>
      <c r="BB390" s="51"/>
      <c r="BC390" s="52">
        <f t="shared" si="65"/>
        <v>83660241</v>
      </c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>
        <v>0</v>
      </c>
      <c r="BO390" s="51"/>
      <c r="BP390" s="52">
        <v>83660241</v>
      </c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>
        <v>0</v>
      </c>
      <c r="CD390" s="52"/>
      <c r="CE390" s="52"/>
      <c r="CF390" s="52"/>
      <c r="CG390" s="52">
        <f t="shared" si="66"/>
        <v>83660241</v>
      </c>
      <c r="CH390" s="52"/>
      <c r="CI390" s="52"/>
      <c r="CJ390" s="52"/>
      <c r="CK390" s="52"/>
      <c r="CL390" s="52"/>
      <c r="CM390" s="52"/>
      <c r="CN390" s="52"/>
      <c r="CO390" s="52"/>
      <c r="CP390" s="52"/>
      <c r="CQ390" s="52">
        <v>82438176</v>
      </c>
      <c r="CR390" s="52"/>
      <c r="CS390" s="52">
        <f t="shared" si="63"/>
        <v>166098417</v>
      </c>
      <c r="CT390" s="53">
        <v>82438176</v>
      </c>
      <c r="CU390" s="53">
        <f t="shared" si="64"/>
        <v>83660241</v>
      </c>
      <c r="CV390" s="54">
        <f t="shared" si="67"/>
        <v>166098417</v>
      </c>
      <c r="CW390" s="55">
        <f t="shared" si="68"/>
        <v>0</v>
      </c>
      <c r="CX390" s="16"/>
      <c r="CY390" s="16"/>
      <c r="CZ390" s="16"/>
    </row>
    <row r="391" spans="1:108" ht="15" customHeight="1" x14ac:dyDescent="0.2">
      <c r="A391" s="1">
        <v>8999994335</v>
      </c>
      <c r="B391" s="1">
        <v>899999433</v>
      </c>
      <c r="C391" s="9">
        <v>218625286</v>
      </c>
      <c r="D391" s="10" t="s">
        <v>487</v>
      </c>
      <c r="E391" s="46" t="s">
        <v>1514</v>
      </c>
      <c r="F391" s="21"/>
      <c r="G391" s="50"/>
      <c r="H391" s="21"/>
      <c r="I391" s="50"/>
      <c r="J391" s="21"/>
      <c r="K391" s="21"/>
      <c r="L391" s="50"/>
      <c r="M391" s="51"/>
      <c r="N391" s="21"/>
      <c r="O391" s="50"/>
      <c r="P391" s="21"/>
      <c r="Q391" s="50"/>
      <c r="R391" s="21"/>
      <c r="S391" s="21"/>
      <c r="T391" s="50"/>
      <c r="U391" s="51">
        <f t="shared" si="62"/>
        <v>0</v>
      </c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>
        <v>743838988</v>
      </c>
      <c r="AN391" s="51">
        <f t="shared" si="69"/>
        <v>743838988</v>
      </c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2">
        <f t="shared" si="65"/>
        <v>743838988</v>
      </c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>
        <v>0</v>
      </c>
      <c r="BO391" s="51"/>
      <c r="BP391" s="52">
        <v>743838988</v>
      </c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>
        <v>364446026</v>
      </c>
      <c r="CD391" s="52"/>
      <c r="CE391" s="52"/>
      <c r="CF391" s="52"/>
      <c r="CG391" s="52">
        <f t="shared" si="66"/>
        <v>1108285014</v>
      </c>
      <c r="CH391" s="52"/>
      <c r="CI391" s="52"/>
      <c r="CJ391" s="52"/>
      <c r="CK391" s="52"/>
      <c r="CL391" s="52"/>
      <c r="CM391" s="52"/>
      <c r="CN391" s="52"/>
      <c r="CO391" s="52"/>
      <c r="CP391" s="52"/>
      <c r="CQ391" s="52">
        <v>52063718</v>
      </c>
      <c r="CR391" s="52"/>
      <c r="CS391" s="52">
        <f t="shared" si="63"/>
        <v>1160348732</v>
      </c>
      <c r="CT391" s="53">
        <v>416509744</v>
      </c>
      <c r="CU391" s="53">
        <f t="shared" si="64"/>
        <v>743838988</v>
      </c>
      <c r="CV391" s="54">
        <f t="shared" si="67"/>
        <v>1160348732</v>
      </c>
      <c r="CW391" s="55">
        <f t="shared" si="68"/>
        <v>0</v>
      </c>
      <c r="CX391" s="16"/>
      <c r="CY391" s="16"/>
      <c r="CZ391" s="16"/>
    </row>
    <row r="392" spans="1:108" ht="15" customHeight="1" x14ac:dyDescent="0.2">
      <c r="A392" s="1">
        <v>8999993233</v>
      </c>
      <c r="B392" s="1">
        <v>899999323</v>
      </c>
      <c r="C392" s="9">
        <v>218825288</v>
      </c>
      <c r="D392" s="10" t="s">
        <v>488</v>
      </c>
      <c r="E392" s="46" t="s">
        <v>1515</v>
      </c>
      <c r="F392" s="21"/>
      <c r="G392" s="50"/>
      <c r="H392" s="21"/>
      <c r="I392" s="50"/>
      <c r="J392" s="21"/>
      <c r="K392" s="21"/>
      <c r="L392" s="50"/>
      <c r="M392" s="51"/>
      <c r="N392" s="21"/>
      <c r="O392" s="50"/>
      <c r="P392" s="21"/>
      <c r="Q392" s="50"/>
      <c r="R392" s="21"/>
      <c r="S392" s="21"/>
      <c r="T392" s="50"/>
      <c r="U392" s="51">
        <f t="shared" si="62"/>
        <v>0</v>
      </c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>
        <v>98347353</v>
      </c>
      <c r="AN392" s="51">
        <f t="shared" si="69"/>
        <v>98347353</v>
      </c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>
        <f>VLOOKUP(B392,[1]Hoja3!J$3:K$674,2,0)</f>
        <v>29132340</v>
      </c>
      <c r="BB392" s="51"/>
      <c r="BC392" s="52">
        <f t="shared" si="65"/>
        <v>127479693</v>
      </c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>
        <v>0</v>
      </c>
      <c r="BO392" s="51"/>
      <c r="BP392" s="52">
        <v>127479693</v>
      </c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>
        <v>0</v>
      </c>
      <c r="CD392" s="52"/>
      <c r="CE392" s="52"/>
      <c r="CF392" s="52"/>
      <c r="CG392" s="52">
        <f t="shared" si="66"/>
        <v>127479693</v>
      </c>
      <c r="CH392" s="52"/>
      <c r="CI392" s="52"/>
      <c r="CJ392" s="52"/>
      <c r="CK392" s="52"/>
      <c r="CL392" s="52"/>
      <c r="CM392" s="52"/>
      <c r="CN392" s="52"/>
      <c r="CO392" s="52"/>
      <c r="CP392" s="52"/>
      <c r="CQ392" s="52">
        <v>65810240</v>
      </c>
      <c r="CR392" s="52"/>
      <c r="CS392" s="52">
        <f t="shared" si="63"/>
        <v>193289933</v>
      </c>
      <c r="CT392" s="53">
        <v>65810240</v>
      </c>
      <c r="CU392" s="53">
        <f t="shared" si="64"/>
        <v>127479693</v>
      </c>
      <c r="CV392" s="54">
        <f t="shared" si="67"/>
        <v>193289933</v>
      </c>
      <c r="CW392" s="55">
        <f t="shared" si="68"/>
        <v>0</v>
      </c>
      <c r="CX392" s="16"/>
      <c r="CY392" s="16"/>
      <c r="CZ392" s="16"/>
    </row>
    <row r="393" spans="1:108" ht="15" customHeight="1" x14ac:dyDescent="0.2">
      <c r="A393" s="1">
        <v>8000946717</v>
      </c>
      <c r="B393" s="1">
        <v>800094671</v>
      </c>
      <c r="C393" s="9">
        <v>219325293</v>
      </c>
      <c r="D393" s="10" t="s">
        <v>489</v>
      </c>
      <c r="E393" s="46" t="s">
        <v>1516</v>
      </c>
      <c r="F393" s="21"/>
      <c r="G393" s="50"/>
      <c r="H393" s="21"/>
      <c r="I393" s="50"/>
      <c r="J393" s="21"/>
      <c r="K393" s="21"/>
      <c r="L393" s="50"/>
      <c r="M393" s="51"/>
      <c r="N393" s="21"/>
      <c r="O393" s="50"/>
      <c r="P393" s="21"/>
      <c r="Q393" s="50"/>
      <c r="R393" s="21"/>
      <c r="S393" s="21"/>
      <c r="T393" s="50"/>
      <c r="U393" s="51">
        <f t="shared" si="62"/>
        <v>0</v>
      </c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>
        <v>67163446</v>
      </c>
      <c r="AN393" s="51">
        <f t="shared" si="69"/>
        <v>67163446</v>
      </c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2">
        <f t="shared" si="65"/>
        <v>67163446</v>
      </c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>
        <v>0</v>
      </c>
      <c r="BO393" s="51"/>
      <c r="BP393" s="52">
        <v>67163446</v>
      </c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>
        <v>0</v>
      </c>
      <c r="CD393" s="52"/>
      <c r="CE393" s="52"/>
      <c r="CF393" s="52"/>
      <c r="CG393" s="52">
        <f t="shared" si="66"/>
        <v>67163446</v>
      </c>
      <c r="CH393" s="52"/>
      <c r="CI393" s="52"/>
      <c r="CJ393" s="52"/>
      <c r="CK393" s="52"/>
      <c r="CL393" s="52"/>
      <c r="CM393" s="52"/>
      <c r="CN393" s="52"/>
      <c r="CO393" s="52"/>
      <c r="CP393" s="52"/>
      <c r="CQ393" s="52">
        <v>66565952</v>
      </c>
      <c r="CR393" s="52"/>
      <c r="CS393" s="52">
        <f t="shared" si="63"/>
        <v>133729398</v>
      </c>
      <c r="CT393" s="53">
        <v>66565952</v>
      </c>
      <c r="CU393" s="53">
        <f t="shared" si="64"/>
        <v>67163446</v>
      </c>
      <c r="CV393" s="54">
        <f t="shared" si="67"/>
        <v>133729398</v>
      </c>
      <c r="CW393" s="55">
        <f t="shared" si="68"/>
        <v>0</v>
      </c>
      <c r="CX393" s="16"/>
      <c r="CY393" s="16"/>
      <c r="CZ393" s="16"/>
    </row>
    <row r="394" spans="1:108" ht="15" customHeight="1" x14ac:dyDescent="0.2">
      <c r="A394" s="1">
        <v>8999994191</v>
      </c>
      <c r="B394" s="1">
        <v>899999419</v>
      </c>
      <c r="C394" s="9">
        <v>219525295</v>
      </c>
      <c r="D394" s="10" t="s">
        <v>490</v>
      </c>
      <c r="E394" s="46" t="s">
        <v>1517</v>
      </c>
      <c r="F394" s="21"/>
      <c r="G394" s="50"/>
      <c r="H394" s="21"/>
      <c r="I394" s="50"/>
      <c r="J394" s="21"/>
      <c r="K394" s="21"/>
      <c r="L394" s="50"/>
      <c r="M394" s="51"/>
      <c r="N394" s="21"/>
      <c r="O394" s="50"/>
      <c r="P394" s="21"/>
      <c r="Q394" s="50"/>
      <c r="R394" s="21"/>
      <c r="S394" s="21"/>
      <c r="T394" s="50"/>
      <c r="U394" s="51">
        <f t="shared" si="62"/>
        <v>0</v>
      </c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>
        <v>189326749</v>
      </c>
      <c r="AN394" s="51">
        <f t="shared" si="69"/>
        <v>189326749</v>
      </c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>
        <v>62634100</v>
      </c>
      <c r="AZ394" s="51"/>
      <c r="BA394" s="51"/>
      <c r="BB394" s="51"/>
      <c r="BC394" s="52">
        <f t="shared" si="65"/>
        <v>251960849</v>
      </c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>
        <v>12526820</v>
      </c>
      <c r="BO394" s="51"/>
      <c r="BP394" s="52">
        <v>264487669</v>
      </c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>
        <v>12526820</v>
      </c>
      <c r="CD394" s="52"/>
      <c r="CE394" s="52"/>
      <c r="CF394" s="52"/>
      <c r="CG394" s="52">
        <f t="shared" si="66"/>
        <v>277014489</v>
      </c>
      <c r="CH394" s="52"/>
      <c r="CI394" s="52"/>
      <c r="CJ394" s="52"/>
      <c r="CK394" s="52"/>
      <c r="CL394" s="52"/>
      <c r="CM394" s="52"/>
      <c r="CN394" s="52"/>
      <c r="CO394" s="52"/>
      <c r="CP394" s="52"/>
      <c r="CQ394" s="52">
        <v>12526820</v>
      </c>
      <c r="CR394" s="52"/>
      <c r="CS394" s="52">
        <f t="shared" si="63"/>
        <v>289541309</v>
      </c>
      <c r="CT394" s="53">
        <v>100214560</v>
      </c>
      <c r="CU394" s="53">
        <f t="shared" si="64"/>
        <v>189326749</v>
      </c>
      <c r="CV394" s="54">
        <f t="shared" si="67"/>
        <v>289541309</v>
      </c>
      <c r="CW394" s="55">
        <f t="shared" si="68"/>
        <v>0</v>
      </c>
      <c r="CX394" s="16"/>
      <c r="CY394" s="16"/>
      <c r="CZ394" s="16"/>
    </row>
    <row r="395" spans="1:108" ht="15" customHeight="1" x14ac:dyDescent="0.2">
      <c r="A395" s="1">
        <v>8000200459</v>
      </c>
      <c r="B395" s="1">
        <v>800020045</v>
      </c>
      <c r="C395" s="9">
        <v>219315293</v>
      </c>
      <c r="D395" s="10" t="s">
        <v>251</v>
      </c>
      <c r="E395" s="46" t="s">
        <v>1286</v>
      </c>
      <c r="F395" s="21"/>
      <c r="G395" s="50"/>
      <c r="H395" s="21"/>
      <c r="I395" s="50"/>
      <c r="J395" s="21"/>
      <c r="K395" s="21"/>
      <c r="L395" s="50"/>
      <c r="M395" s="51"/>
      <c r="N395" s="21"/>
      <c r="O395" s="50"/>
      <c r="P395" s="21"/>
      <c r="Q395" s="50"/>
      <c r="R395" s="21"/>
      <c r="S395" s="21"/>
      <c r="T395" s="50"/>
      <c r="U395" s="51">
        <f t="shared" si="62"/>
        <v>0</v>
      </c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>
        <v>32449520</v>
      </c>
      <c r="AZ395" s="51"/>
      <c r="BA395" s="51">
        <f>VLOOKUP(B395,[1]Hoja3!J$3:K$674,2,0)</f>
        <v>51340504</v>
      </c>
      <c r="BB395" s="51"/>
      <c r="BC395" s="52">
        <f t="shared" si="65"/>
        <v>83790024</v>
      </c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>
        <v>6489904</v>
      </c>
      <c r="BO395" s="51"/>
      <c r="BP395" s="52">
        <v>90279928</v>
      </c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>
        <v>6489904</v>
      </c>
      <c r="CD395" s="52"/>
      <c r="CE395" s="52"/>
      <c r="CF395" s="52"/>
      <c r="CG395" s="52">
        <f t="shared" si="66"/>
        <v>96769832</v>
      </c>
      <c r="CH395" s="52"/>
      <c r="CI395" s="52"/>
      <c r="CJ395" s="52"/>
      <c r="CK395" s="52"/>
      <c r="CL395" s="52"/>
      <c r="CM395" s="52"/>
      <c r="CN395" s="52"/>
      <c r="CO395" s="52"/>
      <c r="CP395" s="52"/>
      <c r="CQ395" s="52">
        <v>6489904</v>
      </c>
      <c r="CR395" s="52"/>
      <c r="CS395" s="52">
        <f t="shared" si="63"/>
        <v>103259736</v>
      </c>
      <c r="CT395" s="53">
        <v>51919232</v>
      </c>
      <c r="CU395" s="53">
        <f t="shared" si="64"/>
        <v>51340504</v>
      </c>
      <c r="CV395" s="54">
        <f t="shared" si="67"/>
        <v>103259736</v>
      </c>
      <c r="CW395" s="55">
        <f t="shared" si="68"/>
        <v>0</v>
      </c>
      <c r="CX395" s="16"/>
      <c r="CY395" s="8"/>
      <c r="CZ395" s="8"/>
      <c r="DA395" s="8"/>
      <c r="DB395" s="8"/>
      <c r="DC395" s="8"/>
      <c r="DD395" s="8"/>
    </row>
    <row r="396" spans="1:108" ht="15" customHeight="1" x14ac:dyDescent="0.2">
      <c r="A396" s="1">
        <v>8999993312</v>
      </c>
      <c r="B396" s="1">
        <v>899999331</v>
      </c>
      <c r="C396" s="9">
        <v>219725297</v>
      </c>
      <c r="D396" s="10" t="s">
        <v>491</v>
      </c>
      <c r="E396" s="46" t="s">
        <v>1518</v>
      </c>
      <c r="F396" s="21"/>
      <c r="G396" s="50"/>
      <c r="H396" s="21"/>
      <c r="I396" s="50"/>
      <c r="J396" s="21"/>
      <c r="K396" s="21"/>
      <c r="L396" s="50"/>
      <c r="M396" s="51"/>
      <c r="N396" s="21"/>
      <c r="O396" s="50"/>
      <c r="P396" s="21"/>
      <c r="Q396" s="50"/>
      <c r="R396" s="21"/>
      <c r="S396" s="21"/>
      <c r="T396" s="50"/>
      <c r="U396" s="51">
        <f t="shared" si="62"/>
        <v>0</v>
      </c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>
        <v>127758638</v>
      </c>
      <c r="AN396" s="51">
        <f t="shared" ref="AN396:AN401" si="70">SUBTOTAL(9,AC396:AM396)</f>
        <v>127758638</v>
      </c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2">
        <f t="shared" si="65"/>
        <v>127758638</v>
      </c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>
        <v>0</v>
      </c>
      <c r="BO396" s="51"/>
      <c r="BP396" s="52">
        <v>127758638</v>
      </c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>
        <v>104330394</v>
      </c>
      <c r="CD396" s="52"/>
      <c r="CE396" s="52"/>
      <c r="CF396" s="52"/>
      <c r="CG396" s="52">
        <f t="shared" si="66"/>
        <v>232089032</v>
      </c>
      <c r="CH396" s="52"/>
      <c r="CI396" s="52"/>
      <c r="CJ396" s="52"/>
      <c r="CK396" s="52"/>
      <c r="CL396" s="52"/>
      <c r="CM396" s="52"/>
      <c r="CN396" s="52"/>
      <c r="CO396" s="52"/>
      <c r="CP396" s="52"/>
      <c r="CQ396" s="52">
        <v>14904342</v>
      </c>
      <c r="CR396" s="52"/>
      <c r="CS396" s="52">
        <f t="shared" si="63"/>
        <v>246993374</v>
      </c>
      <c r="CT396" s="53">
        <v>119234736</v>
      </c>
      <c r="CU396" s="53">
        <f t="shared" si="64"/>
        <v>127758638</v>
      </c>
      <c r="CV396" s="54">
        <f t="shared" si="67"/>
        <v>246993374</v>
      </c>
      <c r="CW396" s="55">
        <f t="shared" si="68"/>
        <v>0</v>
      </c>
      <c r="CX396" s="16"/>
      <c r="CY396" s="16"/>
      <c r="CZ396" s="16"/>
    </row>
    <row r="397" spans="1:108" ht="15" customHeight="1" x14ac:dyDescent="0.2">
      <c r="A397" s="1">
        <v>8902067224</v>
      </c>
      <c r="B397" s="1">
        <v>890206722</v>
      </c>
      <c r="C397" s="9">
        <v>219668296</v>
      </c>
      <c r="D397" s="10" t="s">
        <v>840</v>
      </c>
      <c r="E397" s="46" t="s">
        <v>1855</v>
      </c>
      <c r="F397" s="21"/>
      <c r="G397" s="50"/>
      <c r="H397" s="21"/>
      <c r="I397" s="50"/>
      <c r="J397" s="21"/>
      <c r="K397" s="21"/>
      <c r="L397" s="50"/>
      <c r="M397" s="51"/>
      <c r="N397" s="21"/>
      <c r="O397" s="50"/>
      <c r="P397" s="21"/>
      <c r="Q397" s="50"/>
      <c r="R397" s="21"/>
      <c r="S397" s="21"/>
      <c r="T397" s="50"/>
      <c r="U397" s="51">
        <f t="shared" si="62"/>
        <v>0</v>
      </c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>
        <v>16911336</v>
      </c>
      <c r="AN397" s="51">
        <f t="shared" si="70"/>
        <v>16911336</v>
      </c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>
        <v>20839605</v>
      </c>
      <c r="AZ397" s="51"/>
      <c r="BA397" s="51">
        <f>VLOOKUP(B397,[1]Hoja3!J$3:K$674,2,0)</f>
        <v>26235802</v>
      </c>
      <c r="BB397" s="51"/>
      <c r="BC397" s="52">
        <f t="shared" si="65"/>
        <v>63986743</v>
      </c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>
        <v>4167921</v>
      </c>
      <c r="BO397" s="51"/>
      <c r="BP397" s="52">
        <v>68154664</v>
      </c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>
        <v>4167921</v>
      </c>
      <c r="CD397" s="52"/>
      <c r="CE397" s="52"/>
      <c r="CF397" s="52"/>
      <c r="CG397" s="52">
        <f t="shared" si="66"/>
        <v>72322585</v>
      </c>
      <c r="CH397" s="52"/>
      <c r="CI397" s="52"/>
      <c r="CJ397" s="52"/>
      <c r="CK397" s="52"/>
      <c r="CL397" s="52"/>
      <c r="CM397" s="52"/>
      <c r="CN397" s="52"/>
      <c r="CO397" s="52"/>
      <c r="CP397" s="52"/>
      <c r="CQ397" s="52">
        <v>4167921</v>
      </c>
      <c r="CR397" s="52"/>
      <c r="CS397" s="52">
        <f t="shared" si="63"/>
        <v>76490506</v>
      </c>
      <c r="CT397" s="53">
        <v>33343368</v>
      </c>
      <c r="CU397" s="53">
        <f t="shared" si="64"/>
        <v>43147138</v>
      </c>
      <c r="CV397" s="54">
        <f t="shared" si="67"/>
        <v>76490506</v>
      </c>
      <c r="CW397" s="55">
        <f t="shared" si="68"/>
        <v>0</v>
      </c>
      <c r="CX397" s="16"/>
      <c r="CY397" s="16"/>
      <c r="CZ397" s="16"/>
    </row>
    <row r="398" spans="1:108" ht="15" customHeight="1" x14ac:dyDescent="0.2">
      <c r="A398" s="1">
        <v>8901024720</v>
      </c>
      <c r="B398" s="1">
        <v>890102472</v>
      </c>
      <c r="C398" s="9">
        <v>219608296</v>
      </c>
      <c r="D398" s="10" t="s">
        <v>164</v>
      </c>
      <c r="E398" s="46" t="s">
        <v>1192</v>
      </c>
      <c r="F398" s="21"/>
      <c r="G398" s="50"/>
      <c r="H398" s="21"/>
      <c r="I398" s="50"/>
      <c r="J398" s="21"/>
      <c r="K398" s="21"/>
      <c r="L398" s="50"/>
      <c r="M398" s="51"/>
      <c r="N398" s="21"/>
      <c r="O398" s="50"/>
      <c r="P398" s="21"/>
      <c r="Q398" s="50"/>
      <c r="R398" s="21"/>
      <c r="S398" s="21"/>
      <c r="T398" s="50"/>
      <c r="U398" s="51">
        <f t="shared" si="62"/>
        <v>0</v>
      </c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>
        <v>521072348</v>
      </c>
      <c r="AN398" s="51">
        <f t="shared" si="70"/>
        <v>521072348</v>
      </c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>
        <v>285524400</v>
      </c>
      <c r="AZ398" s="51"/>
      <c r="BA398" s="51"/>
      <c r="BB398" s="51"/>
      <c r="BC398" s="52">
        <f t="shared" si="65"/>
        <v>806596748</v>
      </c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>
        <v>57104880</v>
      </c>
      <c r="BO398" s="51"/>
      <c r="BP398" s="52">
        <v>863701628</v>
      </c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>
        <v>57104880</v>
      </c>
      <c r="CD398" s="52"/>
      <c r="CE398" s="52">
        <v>50422976</v>
      </c>
      <c r="CF398" s="52"/>
      <c r="CG398" s="52">
        <f t="shared" si="66"/>
        <v>971229484</v>
      </c>
      <c r="CH398" s="52"/>
      <c r="CI398" s="52"/>
      <c r="CJ398" s="52"/>
      <c r="CK398" s="52"/>
      <c r="CL398" s="52"/>
      <c r="CM398" s="52"/>
      <c r="CN398" s="52"/>
      <c r="CO398" s="52"/>
      <c r="CP398" s="52"/>
      <c r="CQ398" s="52">
        <v>57104880</v>
      </c>
      <c r="CR398" s="52"/>
      <c r="CS398" s="52">
        <f t="shared" si="63"/>
        <v>1028334364</v>
      </c>
      <c r="CT398" s="53">
        <v>456839040</v>
      </c>
      <c r="CU398" s="53">
        <f t="shared" si="64"/>
        <v>571495324</v>
      </c>
      <c r="CV398" s="54">
        <f t="shared" si="67"/>
        <v>1028334364</v>
      </c>
      <c r="CW398" s="55">
        <f t="shared" si="68"/>
        <v>0</v>
      </c>
      <c r="CX398" s="16"/>
      <c r="CY398" s="16"/>
      <c r="CZ398" s="16"/>
    </row>
    <row r="399" spans="1:108" ht="15" customHeight="1" x14ac:dyDescent="0.2">
      <c r="A399" s="1">
        <v>8000498260</v>
      </c>
      <c r="B399" s="1">
        <v>800049826</v>
      </c>
      <c r="C399" s="9">
        <v>213570235</v>
      </c>
      <c r="D399" s="10" t="s">
        <v>897</v>
      </c>
      <c r="E399" s="46" t="s">
        <v>1910</v>
      </c>
      <c r="F399" s="21"/>
      <c r="G399" s="50"/>
      <c r="H399" s="21"/>
      <c r="I399" s="50"/>
      <c r="J399" s="21"/>
      <c r="K399" s="21"/>
      <c r="L399" s="50"/>
      <c r="M399" s="51"/>
      <c r="N399" s="21"/>
      <c r="O399" s="50"/>
      <c r="P399" s="21"/>
      <c r="Q399" s="50"/>
      <c r="R399" s="21"/>
      <c r="S399" s="21"/>
      <c r="T399" s="50"/>
      <c r="U399" s="51">
        <f t="shared" si="62"/>
        <v>0</v>
      </c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>
        <v>38893863</v>
      </c>
      <c r="AN399" s="51">
        <f t="shared" si="70"/>
        <v>38893863</v>
      </c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>
        <v>189080835</v>
      </c>
      <c r="AZ399" s="51"/>
      <c r="BA399" s="51">
        <f>VLOOKUP(B399,[1]Hoja3!J$3:K$674,2,0)</f>
        <v>331009626</v>
      </c>
      <c r="BB399" s="51"/>
      <c r="BC399" s="52">
        <f t="shared" si="65"/>
        <v>558984324</v>
      </c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>
        <v>37816167</v>
      </c>
      <c r="BO399" s="51"/>
      <c r="BP399" s="52">
        <v>596800491</v>
      </c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>
        <v>37816167</v>
      </c>
      <c r="CD399" s="52"/>
      <c r="CE399" s="52"/>
      <c r="CF399" s="52"/>
      <c r="CG399" s="52">
        <f t="shared" si="66"/>
        <v>634616658</v>
      </c>
      <c r="CH399" s="52"/>
      <c r="CI399" s="52"/>
      <c r="CJ399" s="52"/>
      <c r="CK399" s="52"/>
      <c r="CL399" s="52"/>
      <c r="CM399" s="52"/>
      <c r="CN399" s="52"/>
      <c r="CO399" s="52"/>
      <c r="CP399" s="52"/>
      <c r="CQ399" s="52">
        <v>37816167</v>
      </c>
      <c r="CR399" s="52"/>
      <c r="CS399" s="52">
        <f t="shared" si="63"/>
        <v>672432825</v>
      </c>
      <c r="CT399" s="53">
        <v>302529336</v>
      </c>
      <c r="CU399" s="53">
        <f t="shared" si="64"/>
        <v>369903489</v>
      </c>
      <c r="CV399" s="54">
        <f t="shared" si="67"/>
        <v>672432825</v>
      </c>
      <c r="CW399" s="55">
        <f t="shared" si="68"/>
        <v>0</v>
      </c>
      <c r="CX399" s="16"/>
      <c r="CY399" s="16"/>
      <c r="CZ399" s="16"/>
    </row>
    <row r="400" spans="1:108" ht="15" customHeight="1" x14ac:dyDescent="0.2">
      <c r="A400" s="1">
        <v>8000946842</v>
      </c>
      <c r="B400" s="1">
        <v>800094684</v>
      </c>
      <c r="C400" s="9">
        <v>219925299</v>
      </c>
      <c r="D400" s="10" t="s">
        <v>492</v>
      </c>
      <c r="E400" s="46" t="s">
        <v>1519</v>
      </c>
      <c r="F400" s="21"/>
      <c r="G400" s="50"/>
      <c r="H400" s="21"/>
      <c r="I400" s="50"/>
      <c r="J400" s="21"/>
      <c r="K400" s="21"/>
      <c r="L400" s="50"/>
      <c r="M400" s="51"/>
      <c r="N400" s="21"/>
      <c r="O400" s="50"/>
      <c r="P400" s="21"/>
      <c r="Q400" s="50"/>
      <c r="R400" s="21"/>
      <c r="S400" s="21"/>
      <c r="T400" s="50"/>
      <c r="U400" s="51">
        <f t="shared" si="62"/>
        <v>0</v>
      </c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>
        <v>45563759</v>
      </c>
      <c r="AN400" s="51">
        <f t="shared" si="70"/>
        <v>45563759</v>
      </c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2">
        <f t="shared" si="65"/>
        <v>45563759</v>
      </c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>
        <v>0</v>
      </c>
      <c r="BO400" s="51"/>
      <c r="BP400" s="52">
        <v>45563759</v>
      </c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>
        <v>0</v>
      </c>
      <c r="CD400" s="52"/>
      <c r="CE400" s="52"/>
      <c r="CF400" s="52"/>
      <c r="CG400" s="52">
        <f t="shared" si="66"/>
        <v>45563759</v>
      </c>
      <c r="CH400" s="52"/>
      <c r="CI400" s="52"/>
      <c r="CJ400" s="52"/>
      <c r="CK400" s="52"/>
      <c r="CL400" s="52"/>
      <c r="CM400" s="52"/>
      <c r="CN400" s="52"/>
      <c r="CO400" s="52"/>
      <c r="CP400" s="52"/>
      <c r="CQ400" s="52">
        <v>0</v>
      </c>
      <c r="CR400" s="52"/>
      <c r="CS400" s="52">
        <f t="shared" si="63"/>
        <v>45563759</v>
      </c>
      <c r="CT400" s="53"/>
      <c r="CU400" s="53">
        <f t="shared" si="64"/>
        <v>45563759</v>
      </c>
      <c r="CV400" s="54">
        <f t="shared" si="67"/>
        <v>45563759</v>
      </c>
      <c r="CW400" s="55">
        <f t="shared" si="68"/>
        <v>0</v>
      </c>
      <c r="CX400" s="16"/>
      <c r="CY400" s="16"/>
      <c r="CZ400" s="16"/>
    </row>
    <row r="401" spans="1:108" ht="15" customHeight="1" x14ac:dyDescent="0.2">
      <c r="A401" s="1">
        <v>8000965954</v>
      </c>
      <c r="B401" s="1">
        <v>800096595</v>
      </c>
      <c r="C401" s="9">
        <v>219520295</v>
      </c>
      <c r="D401" s="10" t="s">
        <v>423</v>
      </c>
      <c r="E401" s="46" t="s">
        <v>1450</v>
      </c>
      <c r="F401" s="21"/>
      <c r="G401" s="50"/>
      <c r="H401" s="21"/>
      <c r="I401" s="50"/>
      <c r="J401" s="21"/>
      <c r="K401" s="21"/>
      <c r="L401" s="50"/>
      <c r="M401" s="51"/>
      <c r="N401" s="21"/>
      <c r="O401" s="50"/>
      <c r="P401" s="21"/>
      <c r="Q401" s="50"/>
      <c r="R401" s="21"/>
      <c r="S401" s="21"/>
      <c r="T401" s="50"/>
      <c r="U401" s="51">
        <f t="shared" si="62"/>
        <v>0</v>
      </c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>
        <v>166762464</v>
      </c>
      <c r="AN401" s="51">
        <f t="shared" si="70"/>
        <v>166762464</v>
      </c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>
        <v>100423565</v>
      </c>
      <c r="AZ401" s="51"/>
      <c r="BA401" s="51">
        <f>VLOOKUP(B401,[1]Hoja3!J$3:K$674,2,0)</f>
        <v>24088847</v>
      </c>
      <c r="BB401" s="51"/>
      <c r="BC401" s="52">
        <f t="shared" si="65"/>
        <v>291274876</v>
      </c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>
        <v>20084713</v>
      </c>
      <c r="BO401" s="51"/>
      <c r="BP401" s="52">
        <v>311359589</v>
      </c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>
        <v>20084713</v>
      </c>
      <c r="CD401" s="52"/>
      <c r="CE401" s="52"/>
      <c r="CF401" s="52"/>
      <c r="CG401" s="52">
        <f t="shared" si="66"/>
        <v>331444302</v>
      </c>
      <c r="CH401" s="52"/>
      <c r="CI401" s="52"/>
      <c r="CJ401" s="52"/>
      <c r="CK401" s="52"/>
      <c r="CL401" s="52"/>
      <c r="CM401" s="52"/>
      <c r="CN401" s="52"/>
      <c r="CO401" s="52"/>
      <c r="CP401" s="52"/>
      <c r="CQ401" s="52">
        <v>20084713</v>
      </c>
      <c r="CR401" s="52"/>
      <c r="CS401" s="52">
        <f t="shared" si="63"/>
        <v>351529015</v>
      </c>
      <c r="CT401" s="53">
        <v>160677704</v>
      </c>
      <c r="CU401" s="53">
        <f t="shared" si="64"/>
        <v>190851311</v>
      </c>
      <c r="CV401" s="54">
        <f t="shared" si="67"/>
        <v>351529015</v>
      </c>
      <c r="CW401" s="55">
        <f t="shared" si="68"/>
        <v>0</v>
      </c>
      <c r="CX401" s="16"/>
      <c r="CY401" s="16"/>
      <c r="CZ401" s="16"/>
    </row>
    <row r="402" spans="1:108" ht="15" customHeight="1" x14ac:dyDescent="0.2">
      <c r="A402" s="1">
        <v>8000996917</v>
      </c>
      <c r="B402" s="1">
        <v>800099691</v>
      </c>
      <c r="C402" s="9">
        <v>219868298</v>
      </c>
      <c r="D402" s="10" t="s">
        <v>841</v>
      </c>
      <c r="E402" s="46" t="s">
        <v>1856</v>
      </c>
      <c r="F402" s="21"/>
      <c r="G402" s="50"/>
      <c r="H402" s="21"/>
      <c r="I402" s="50"/>
      <c r="J402" s="21"/>
      <c r="K402" s="21"/>
      <c r="L402" s="50"/>
      <c r="M402" s="51"/>
      <c r="N402" s="21"/>
      <c r="O402" s="50"/>
      <c r="P402" s="21"/>
      <c r="Q402" s="50"/>
      <c r="R402" s="21"/>
      <c r="S402" s="21"/>
      <c r="T402" s="50"/>
      <c r="U402" s="51">
        <f t="shared" si="62"/>
        <v>0</v>
      </c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>
        <v>29622700</v>
      </c>
      <c r="AZ402" s="51"/>
      <c r="BA402" s="51">
        <f>VLOOKUP(B402,[1]Hoja3!J$3:K$674,2,0)</f>
        <v>60923755</v>
      </c>
      <c r="BB402" s="51"/>
      <c r="BC402" s="52">
        <f t="shared" si="65"/>
        <v>90546455</v>
      </c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>
        <v>5924540</v>
      </c>
      <c r="BO402" s="51"/>
      <c r="BP402" s="52">
        <v>96470995</v>
      </c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>
        <v>5924540</v>
      </c>
      <c r="CD402" s="52"/>
      <c r="CE402" s="52"/>
      <c r="CF402" s="52"/>
      <c r="CG402" s="52">
        <f t="shared" si="66"/>
        <v>102395535</v>
      </c>
      <c r="CH402" s="52"/>
      <c r="CI402" s="52"/>
      <c r="CJ402" s="52"/>
      <c r="CK402" s="52"/>
      <c r="CL402" s="52"/>
      <c r="CM402" s="52"/>
      <c r="CN402" s="52"/>
      <c r="CO402" s="52"/>
      <c r="CP402" s="52"/>
      <c r="CQ402" s="52">
        <v>5924540</v>
      </c>
      <c r="CR402" s="52"/>
      <c r="CS402" s="52">
        <f t="shared" si="63"/>
        <v>108320075</v>
      </c>
      <c r="CT402" s="53">
        <v>47396320</v>
      </c>
      <c r="CU402" s="53">
        <f t="shared" si="64"/>
        <v>60923755</v>
      </c>
      <c r="CV402" s="54">
        <f t="shared" si="67"/>
        <v>108320075</v>
      </c>
      <c r="CW402" s="55">
        <f t="shared" si="68"/>
        <v>0</v>
      </c>
      <c r="CX402" s="16"/>
      <c r="CY402" s="16"/>
      <c r="CZ402" s="16"/>
    </row>
    <row r="403" spans="1:108" ht="15" customHeight="1" x14ac:dyDescent="0.2">
      <c r="A403" s="1">
        <v>8918577641</v>
      </c>
      <c r="B403" s="1">
        <v>891857764</v>
      </c>
      <c r="C403" s="9">
        <v>219615296</v>
      </c>
      <c r="D403" s="10" t="s">
        <v>252</v>
      </c>
      <c r="E403" s="46" t="s">
        <v>1287</v>
      </c>
      <c r="F403" s="21"/>
      <c r="G403" s="50"/>
      <c r="H403" s="21"/>
      <c r="I403" s="50"/>
      <c r="J403" s="21"/>
      <c r="K403" s="21"/>
      <c r="L403" s="50"/>
      <c r="M403" s="51"/>
      <c r="N403" s="21"/>
      <c r="O403" s="50"/>
      <c r="P403" s="21"/>
      <c r="Q403" s="50"/>
      <c r="R403" s="21"/>
      <c r="S403" s="21"/>
      <c r="T403" s="50"/>
      <c r="U403" s="51">
        <f t="shared" si="62"/>
        <v>0</v>
      </c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>
        <v>37921875</v>
      </c>
      <c r="AZ403" s="51"/>
      <c r="BA403" s="51">
        <f>VLOOKUP(B403,[1]Hoja3!J$3:K$674,2,0)</f>
        <v>73692548</v>
      </c>
      <c r="BB403" s="51"/>
      <c r="BC403" s="52">
        <f t="shared" si="65"/>
        <v>111614423</v>
      </c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>
        <v>7584375</v>
      </c>
      <c r="BO403" s="51"/>
      <c r="BP403" s="52">
        <v>119198798</v>
      </c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>
        <v>7584375</v>
      </c>
      <c r="CD403" s="52"/>
      <c r="CE403" s="52"/>
      <c r="CF403" s="52"/>
      <c r="CG403" s="52">
        <f t="shared" si="66"/>
        <v>126783173</v>
      </c>
      <c r="CH403" s="52"/>
      <c r="CI403" s="52"/>
      <c r="CJ403" s="52"/>
      <c r="CK403" s="52"/>
      <c r="CL403" s="52"/>
      <c r="CM403" s="52"/>
      <c r="CN403" s="52"/>
      <c r="CO403" s="52"/>
      <c r="CP403" s="52"/>
      <c r="CQ403" s="52">
        <v>7584375</v>
      </c>
      <c r="CR403" s="52"/>
      <c r="CS403" s="52">
        <f t="shared" si="63"/>
        <v>134367548</v>
      </c>
      <c r="CT403" s="53">
        <v>60675000</v>
      </c>
      <c r="CU403" s="53">
        <f t="shared" si="64"/>
        <v>73692548</v>
      </c>
      <c r="CV403" s="54">
        <f t="shared" si="67"/>
        <v>134367548</v>
      </c>
      <c r="CW403" s="55">
        <f t="shared" si="68"/>
        <v>0</v>
      </c>
      <c r="CX403" s="16"/>
      <c r="CY403" s="8"/>
      <c r="CZ403" s="8"/>
      <c r="DA403" s="8"/>
      <c r="DB403" s="8"/>
      <c r="DC403" s="8"/>
      <c r="DD403" s="8"/>
    </row>
    <row r="404" spans="1:108" ht="15" customHeight="1" x14ac:dyDescent="0.2">
      <c r="A404" s="1">
        <v>8000256088</v>
      </c>
      <c r="B404" s="1">
        <v>800025608</v>
      </c>
      <c r="C404" s="9">
        <v>219915299</v>
      </c>
      <c r="D404" s="10" t="s">
        <v>253</v>
      </c>
      <c r="E404" s="42" t="s">
        <v>1288</v>
      </c>
      <c r="F404" s="21"/>
      <c r="G404" s="50"/>
      <c r="H404" s="21"/>
      <c r="I404" s="50"/>
      <c r="J404" s="21"/>
      <c r="K404" s="21"/>
      <c r="L404" s="50"/>
      <c r="M404" s="51"/>
      <c r="N404" s="21"/>
      <c r="O404" s="50"/>
      <c r="P404" s="21"/>
      <c r="Q404" s="50"/>
      <c r="R404" s="21"/>
      <c r="S404" s="21"/>
      <c r="T404" s="50"/>
      <c r="U404" s="51">
        <f t="shared" si="62"/>
        <v>0</v>
      </c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>
        <v>109650475</v>
      </c>
      <c r="AZ404" s="51"/>
      <c r="BA404" s="51">
        <f>VLOOKUP(B404,[1]Hoja3!J$3:K$674,2,0)</f>
        <v>196434484</v>
      </c>
      <c r="BB404" s="51"/>
      <c r="BC404" s="52">
        <f t="shared" si="65"/>
        <v>306084959</v>
      </c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>
        <v>21930095</v>
      </c>
      <c r="BO404" s="51"/>
      <c r="BP404" s="52">
        <v>328015054</v>
      </c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>
        <v>21930095</v>
      </c>
      <c r="CD404" s="52"/>
      <c r="CE404" s="52"/>
      <c r="CF404" s="52"/>
      <c r="CG404" s="52">
        <f t="shared" si="66"/>
        <v>349945149</v>
      </c>
      <c r="CH404" s="52"/>
      <c r="CI404" s="52"/>
      <c r="CJ404" s="52"/>
      <c r="CK404" s="52"/>
      <c r="CL404" s="52"/>
      <c r="CM404" s="52"/>
      <c r="CN404" s="52"/>
      <c r="CO404" s="52"/>
      <c r="CP404" s="52"/>
      <c r="CQ404" s="52">
        <v>21930095</v>
      </c>
      <c r="CR404" s="52"/>
      <c r="CS404" s="52">
        <f t="shared" si="63"/>
        <v>371875244</v>
      </c>
      <c r="CT404" s="53">
        <v>175440760</v>
      </c>
      <c r="CU404" s="53">
        <f t="shared" si="64"/>
        <v>196434484</v>
      </c>
      <c r="CV404" s="54">
        <f t="shared" si="67"/>
        <v>371875244</v>
      </c>
      <c r="CW404" s="55">
        <f t="shared" si="68"/>
        <v>0</v>
      </c>
      <c r="CX404" s="16"/>
      <c r="CY404" s="8"/>
      <c r="CZ404" s="8"/>
      <c r="DA404" s="8"/>
      <c r="DB404" s="8"/>
      <c r="DC404" s="8"/>
      <c r="DD404" s="8"/>
    </row>
    <row r="405" spans="1:108" ht="15" customHeight="1" x14ac:dyDescent="0.2">
      <c r="A405" s="1">
        <v>8911800226</v>
      </c>
      <c r="B405" s="1">
        <v>891180022</v>
      </c>
      <c r="C405" s="9">
        <v>219841298</v>
      </c>
      <c r="D405" s="10" t="s">
        <v>602</v>
      </c>
      <c r="E405" s="42" t="s">
        <v>1621</v>
      </c>
      <c r="F405" s="21"/>
      <c r="G405" s="50"/>
      <c r="H405" s="21"/>
      <c r="I405" s="50"/>
      <c r="J405" s="21"/>
      <c r="K405" s="21"/>
      <c r="L405" s="50"/>
      <c r="M405" s="51"/>
      <c r="N405" s="21"/>
      <c r="O405" s="50"/>
      <c r="P405" s="21"/>
      <c r="Q405" s="50"/>
      <c r="R405" s="21"/>
      <c r="S405" s="21"/>
      <c r="T405" s="50"/>
      <c r="U405" s="51">
        <f t="shared" si="62"/>
        <v>0</v>
      </c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>
        <v>1090704401</v>
      </c>
      <c r="AN405" s="51">
        <f>SUBTOTAL(9,AC405:AM405)</f>
        <v>1090704401</v>
      </c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>
        <v>441820895</v>
      </c>
      <c r="AZ405" s="51"/>
      <c r="BA405" s="51"/>
      <c r="BB405" s="51"/>
      <c r="BC405" s="52">
        <f t="shared" si="65"/>
        <v>1532525296</v>
      </c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>
        <v>88364179</v>
      </c>
      <c r="BO405" s="51"/>
      <c r="BP405" s="52">
        <v>1620889475</v>
      </c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>
        <v>88364179</v>
      </c>
      <c r="CD405" s="52"/>
      <c r="CE405" s="52"/>
      <c r="CF405" s="52"/>
      <c r="CG405" s="52">
        <f t="shared" si="66"/>
        <v>1709253654</v>
      </c>
      <c r="CH405" s="52"/>
      <c r="CI405" s="52"/>
      <c r="CJ405" s="52"/>
      <c r="CK405" s="52"/>
      <c r="CL405" s="52"/>
      <c r="CM405" s="52"/>
      <c r="CN405" s="52"/>
      <c r="CO405" s="52"/>
      <c r="CP405" s="52"/>
      <c r="CQ405" s="52">
        <v>88364179</v>
      </c>
      <c r="CR405" s="52"/>
      <c r="CS405" s="52">
        <f t="shared" si="63"/>
        <v>1797617833</v>
      </c>
      <c r="CT405" s="53">
        <v>706913432</v>
      </c>
      <c r="CU405" s="53">
        <f t="shared" si="64"/>
        <v>1090704401</v>
      </c>
      <c r="CV405" s="54">
        <f t="shared" si="67"/>
        <v>1797617833</v>
      </c>
      <c r="CW405" s="55">
        <f t="shared" si="68"/>
        <v>0</v>
      </c>
      <c r="CX405" s="16"/>
      <c r="CY405" s="16"/>
      <c r="CZ405" s="16"/>
    </row>
    <row r="406" spans="1:108" ht="15" customHeight="1" x14ac:dyDescent="0.2">
      <c r="A406" s="1">
        <v>8900008646</v>
      </c>
      <c r="B406" s="1">
        <v>890000864</v>
      </c>
      <c r="C406" s="9">
        <v>210263302</v>
      </c>
      <c r="D406" s="10" t="s">
        <v>794</v>
      </c>
      <c r="E406" s="42" t="s">
        <v>1811</v>
      </c>
      <c r="F406" s="21"/>
      <c r="G406" s="50"/>
      <c r="H406" s="21"/>
      <c r="I406" s="50"/>
      <c r="J406" s="21"/>
      <c r="K406" s="21"/>
      <c r="L406" s="50"/>
      <c r="M406" s="51"/>
      <c r="N406" s="21"/>
      <c r="O406" s="50"/>
      <c r="P406" s="21"/>
      <c r="Q406" s="50"/>
      <c r="R406" s="21"/>
      <c r="S406" s="21"/>
      <c r="T406" s="50"/>
      <c r="U406" s="51">
        <f t="shared" si="62"/>
        <v>0</v>
      </c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>
        <v>115960118</v>
      </c>
      <c r="AN406" s="51">
        <f>SUBTOTAL(9,AC406:AM406)</f>
        <v>115960118</v>
      </c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>
        <v>58502940</v>
      </c>
      <c r="AZ406" s="51"/>
      <c r="BA406" s="51"/>
      <c r="BB406" s="51"/>
      <c r="BC406" s="52">
        <f t="shared" si="65"/>
        <v>174463058</v>
      </c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>
        <v>11700588</v>
      </c>
      <c r="BO406" s="51"/>
      <c r="BP406" s="52">
        <v>186163646</v>
      </c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>
        <v>11700588</v>
      </c>
      <c r="CD406" s="52"/>
      <c r="CE406" s="52"/>
      <c r="CF406" s="52"/>
      <c r="CG406" s="52">
        <f t="shared" si="66"/>
        <v>197864234</v>
      </c>
      <c r="CH406" s="52"/>
      <c r="CI406" s="52"/>
      <c r="CJ406" s="52"/>
      <c r="CK406" s="52"/>
      <c r="CL406" s="52"/>
      <c r="CM406" s="52"/>
      <c r="CN406" s="52"/>
      <c r="CO406" s="52"/>
      <c r="CP406" s="52"/>
      <c r="CQ406" s="52">
        <v>11700588</v>
      </c>
      <c r="CR406" s="52"/>
      <c r="CS406" s="52">
        <f t="shared" si="63"/>
        <v>209564822</v>
      </c>
      <c r="CT406" s="53">
        <v>93604704</v>
      </c>
      <c r="CU406" s="53">
        <f t="shared" si="64"/>
        <v>115960118</v>
      </c>
      <c r="CV406" s="54">
        <f t="shared" si="67"/>
        <v>209564822</v>
      </c>
      <c r="CW406" s="55">
        <f t="shared" si="68"/>
        <v>0</v>
      </c>
      <c r="CX406" s="16"/>
      <c r="CY406" s="16"/>
      <c r="CZ406" s="16"/>
    </row>
    <row r="407" spans="1:108" ht="15" customHeight="1" x14ac:dyDescent="0.2">
      <c r="A407" s="1">
        <v>8911801761</v>
      </c>
      <c r="B407" s="1">
        <v>891180176</v>
      </c>
      <c r="C407" s="9">
        <v>210641306</v>
      </c>
      <c r="D407" s="10" t="s">
        <v>603</v>
      </c>
      <c r="E407" s="42" t="s">
        <v>1622</v>
      </c>
      <c r="F407" s="21"/>
      <c r="G407" s="50"/>
      <c r="H407" s="21"/>
      <c r="I407" s="50"/>
      <c r="J407" s="21"/>
      <c r="K407" s="21"/>
      <c r="L407" s="50"/>
      <c r="M407" s="51"/>
      <c r="N407" s="21"/>
      <c r="O407" s="50"/>
      <c r="P407" s="21"/>
      <c r="Q407" s="50"/>
      <c r="R407" s="21"/>
      <c r="S407" s="21"/>
      <c r="T407" s="50"/>
      <c r="U407" s="51">
        <f t="shared" si="62"/>
        <v>0</v>
      </c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>
        <v>199119255</v>
      </c>
      <c r="AZ407" s="51"/>
      <c r="BA407" s="51">
        <f>VLOOKUP(B407,[1]Hoja3!J$3:K$674,2,0)</f>
        <v>428424160</v>
      </c>
      <c r="BB407" s="51"/>
      <c r="BC407" s="52">
        <f t="shared" si="65"/>
        <v>627543415</v>
      </c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>
        <v>39823851</v>
      </c>
      <c r="BO407" s="51"/>
      <c r="BP407" s="52">
        <v>667367266</v>
      </c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>
        <v>39823851</v>
      </c>
      <c r="CD407" s="52"/>
      <c r="CE407" s="52"/>
      <c r="CF407" s="52"/>
      <c r="CG407" s="52">
        <f t="shared" si="66"/>
        <v>707191117</v>
      </c>
      <c r="CH407" s="52"/>
      <c r="CI407" s="52"/>
      <c r="CJ407" s="52"/>
      <c r="CK407" s="52"/>
      <c r="CL407" s="52"/>
      <c r="CM407" s="52"/>
      <c r="CN407" s="52"/>
      <c r="CO407" s="52"/>
      <c r="CP407" s="52"/>
      <c r="CQ407" s="52">
        <v>39823851</v>
      </c>
      <c r="CR407" s="52"/>
      <c r="CS407" s="52">
        <f t="shared" si="63"/>
        <v>747014968</v>
      </c>
      <c r="CT407" s="53">
        <v>318590808</v>
      </c>
      <c r="CU407" s="53">
        <f t="shared" si="64"/>
        <v>428424160</v>
      </c>
      <c r="CV407" s="54">
        <f t="shared" si="67"/>
        <v>747014968</v>
      </c>
      <c r="CW407" s="55">
        <f t="shared" si="68"/>
        <v>0</v>
      </c>
      <c r="CX407" s="16"/>
      <c r="CY407" s="16"/>
      <c r="CZ407" s="16"/>
    </row>
    <row r="408" spans="1:108" ht="15" customHeight="1" x14ac:dyDescent="0.2">
      <c r="A408" s="1">
        <v>8001005201</v>
      </c>
      <c r="B408" s="1">
        <v>800100520</v>
      </c>
      <c r="C408" s="9">
        <v>210676306</v>
      </c>
      <c r="D408" s="10" t="s">
        <v>927</v>
      </c>
      <c r="E408" s="42" t="s">
        <v>1987</v>
      </c>
      <c r="F408" s="21"/>
      <c r="G408" s="50"/>
      <c r="H408" s="21"/>
      <c r="I408" s="50"/>
      <c r="J408" s="21"/>
      <c r="K408" s="21"/>
      <c r="L408" s="50"/>
      <c r="M408" s="51"/>
      <c r="N408" s="21"/>
      <c r="O408" s="50"/>
      <c r="P408" s="21"/>
      <c r="Q408" s="50"/>
      <c r="R408" s="21"/>
      <c r="S408" s="21"/>
      <c r="T408" s="50"/>
      <c r="U408" s="51">
        <f t="shared" si="62"/>
        <v>0</v>
      </c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>
        <v>277360538</v>
      </c>
      <c r="AN408" s="51">
        <f>SUBTOTAL(9,AC408:AM408)</f>
        <v>277360538</v>
      </c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>
        <v>109112215</v>
      </c>
      <c r="AZ408" s="51"/>
      <c r="BA408" s="51"/>
      <c r="BB408" s="51"/>
      <c r="BC408" s="52">
        <f t="shared" si="65"/>
        <v>386472753</v>
      </c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>
        <v>21822443</v>
      </c>
      <c r="BO408" s="51"/>
      <c r="BP408" s="52">
        <v>408295196</v>
      </c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>
        <v>21822443</v>
      </c>
      <c r="CD408" s="52"/>
      <c r="CE408" s="52"/>
      <c r="CF408" s="52"/>
      <c r="CG408" s="52">
        <f t="shared" si="66"/>
        <v>430117639</v>
      </c>
      <c r="CH408" s="52"/>
      <c r="CI408" s="52"/>
      <c r="CJ408" s="52"/>
      <c r="CK408" s="52"/>
      <c r="CL408" s="52"/>
      <c r="CM408" s="52"/>
      <c r="CN408" s="52"/>
      <c r="CO408" s="52"/>
      <c r="CP408" s="52"/>
      <c r="CQ408" s="52">
        <v>21822443</v>
      </c>
      <c r="CR408" s="52"/>
      <c r="CS408" s="52">
        <f t="shared" si="63"/>
        <v>451940082</v>
      </c>
      <c r="CT408" s="53">
        <v>174579544</v>
      </c>
      <c r="CU408" s="53">
        <f t="shared" si="64"/>
        <v>277360538</v>
      </c>
      <c r="CV408" s="54">
        <f t="shared" si="67"/>
        <v>451940082</v>
      </c>
      <c r="CW408" s="55">
        <f t="shared" si="68"/>
        <v>0</v>
      </c>
      <c r="CX408" s="16"/>
      <c r="CY408" s="16"/>
      <c r="CZ408" s="16"/>
    </row>
    <row r="409" spans="1:108" ht="15" customHeight="1" x14ac:dyDescent="0.2">
      <c r="A409" s="1">
        <v>8909837867</v>
      </c>
      <c r="B409" s="1">
        <v>890983786</v>
      </c>
      <c r="C409" s="9">
        <v>210605306</v>
      </c>
      <c r="D409" s="10" t="s">
        <v>89</v>
      </c>
      <c r="E409" s="42" t="s">
        <v>1120</v>
      </c>
      <c r="F409" s="21"/>
      <c r="G409" s="50"/>
      <c r="H409" s="21"/>
      <c r="I409" s="50"/>
      <c r="J409" s="21"/>
      <c r="K409" s="21"/>
      <c r="L409" s="50"/>
      <c r="M409" s="51"/>
      <c r="N409" s="21"/>
      <c r="O409" s="50"/>
      <c r="P409" s="21"/>
      <c r="Q409" s="50"/>
      <c r="R409" s="21"/>
      <c r="S409" s="21"/>
      <c r="T409" s="50"/>
      <c r="U409" s="51">
        <f t="shared" si="62"/>
        <v>0</v>
      </c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>
        <v>41537650</v>
      </c>
      <c r="AZ409" s="51"/>
      <c r="BA409" s="51">
        <f>VLOOKUP(B409,[1]Hoja3!J$3:K$674,2,0)</f>
        <v>90787692</v>
      </c>
      <c r="BB409" s="51"/>
      <c r="BC409" s="52">
        <f t="shared" si="65"/>
        <v>132325342</v>
      </c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>
        <v>8307530</v>
      </c>
      <c r="BO409" s="51"/>
      <c r="BP409" s="52">
        <v>140632872</v>
      </c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>
        <v>8307530</v>
      </c>
      <c r="CD409" s="52"/>
      <c r="CE409" s="52"/>
      <c r="CF409" s="52"/>
      <c r="CG409" s="52">
        <f t="shared" si="66"/>
        <v>148940402</v>
      </c>
      <c r="CH409" s="52"/>
      <c r="CI409" s="52"/>
      <c r="CJ409" s="52"/>
      <c r="CK409" s="52"/>
      <c r="CL409" s="52"/>
      <c r="CM409" s="52"/>
      <c r="CN409" s="52"/>
      <c r="CO409" s="52"/>
      <c r="CP409" s="52"/>
      <c r="CQ409" s="52">
        <v>8307530</v>
      </c>
      <c r="CR409" s="52"/>
      <c r="CS409" s="52">
        <f t="shared" si="63"/>
        <v>157247932</v>
      </c>
      <c r="CT409" s="53">
        <v>66460240</v>
      </c>
      <c r="CU409" s="53">
        <f t="shared" si="64"/>
        <v>90787692</v>
      </c>
      <c r="CV409" s="54">
        <f t="shared" si="67"/>
        <v>157247932</v>
      </c>
      <c r="CW409" s="55">
        <f t="shared" si="68"/>
        <v>0</v>
      </c>
      <c r="CX409" s="16"/>
      <c r="CY409" s="16"/>
      <c r="CZ409" s="16"/>
    </row>
    <row r="410" spans="1:108" ht="15" customHeight="1" x14ac:dyDescent="0.2">
      <c r="A410" s="1">
        <v>8906803784</v>
      </c>
      <c r="B410" s="1">
        <v>890680378</v>
      </c>
      <c r="C410" s="9">
        <v>210725307</v>
      </c>
      <c r="D410" s="10" t="s">
        <v>2166</v>
      </c>
      <c r="E410" s="43" t="s">
        <v>1044</v>
      </c>
      <c r="F410" s="21"/>
      <c r="G410" s="50"/>
      <c r="H410" s="21"/>
      <c r="I410" s="57">
        <f>1976316623+66560956</f>
        <v>2042877579</v>
      </c>
      <c r="J410" s="21">
        <v>124578880</v>
      </c>
      <c r="K410" s="21">
        <v>246909640</v>
      </c>
      <c r="L410" s="50"/>
      <c r="M410" s="52">
        <f>SUM(F410:L410)</f>
        <v>2414366099</v>
      </c>
      <c r="N410" s="21"/>
      <c r="O410" s="50"/>
      <c r="P410" s="21"/>
      <c r="Q410" s="50">
        <f>1883410129+30254980</f>
        <v>1913665109</v>
      </c>
      <c r="R410" s="21">
        <v>124578880</v>
      </c>
      <c r="S410" s="21">
        <f>122330760+124578880</f>
        <v>246909640</v>
      </c>
      <c r="T410" s="50"/>
      <c r="U410" s="51">
        <f t="shared" si="62"/>
        <v>4699519728</v>
      </c>
      <c r="V410" s="51"/>
      <c r="W410" s="51"/>
      <c r="X410" s="51"/>
      <c r="Y410" s="51">
        <v>2360832668</v>
      </c>
      <c r="Z410" s="51">
        <v>130070016</v>
      </c>
      <c r="AA410" s="51">
        <v>299259950</v>
      </c>
      <c r="AB410" s="51"/>
      <c r="AC410" s="51">
        <f t="shared" ref="AC410:AC412" si="71">SUM(U410:AB410)</f>
        <v>7489682362</v>
      </c>
      <c r="AD410" s="51"/>
      <c r="AE410" s="51"/>
      <c r="AF410" s="51"/>
      <c r="AG410" s="51"/>
      <c r="AH410" s="51">
        <v>1928149607</v>
      </c>
      <c r="AI410" s="51">
        <v>308000538</v>
      </c>
      <c r="AJ410" s="51">
        <v>129626180</v>
      </c>
      <c r="AK410" s="51">
        <v>326716500</v>
      </c>
      <c r="AL410" s="51"/>
      <c r="AM410" s="51">
        <v>867774701</v>
      </c>
      <c r="AN410" s="51">
        <f>SUBTOTAL(9,AC410:AM410)</f>
        <v>11049949888</v>
      </c>
      <c r="AO410" s="51"/>
      <c r="AP410" s="51"/>
      <c r="AQ410" s="51">
        <v>312037055</v>
      </c>
      <c r="AR410" s="51"/>
      <c r="AS410" s="51"/>
      <c r="AT410" s="51">
        <v>1928149607</v>
      </c>
      <c r="AU410" s="51"/>
      <c r="AV410" s="51">
        <v>129626180</v>
      </c>
      <c r="AW410" s="51">
        <v>221330964</v>
      </c>
      <c r="AX410" s="51"/>
      <c r="AY410" s="51"/>
      <c r="AZ410" s="51"/>
      <c r="BA410" s="51"/>
      <c r="BB410" s="51"/>
      <c r="BC410" s="52">
        <f t="shared" si="65"/>
        <v>13641093694</v>
      </c>
      <c r="BD410" s="51"/>
      <c r="BE410" s="51"/>
      <c r="BF410" s="51">
        <v>62407411</v>
      </c>
      <c r="BG410" s="51"/>
      <c r="BH410" s="51"/>
      <c r="BI410" s="51">
        <v>1876114831</v>
      </c>
      <c r="BJ410" s="51">
        <v>38261560</v>
      </c>
      <c r="BK410" s="51">
        <v>102917072</v>
      </c>
      <c r="BL410" s="51">
        <v>225324955</v>
      </c>
      <c r="BM410" s="51"/>
      <c r="BN410" s="51"/>
      <c r="BO410" s="51"/>
      <c r="BP410" s="52">
        <v>15946119523</v>
      </c>
      <c r="BQ410" s="52"/>
      <c r="BR410" s="52"/>
      <c r="BS410" s="52">
        <v>62407411</v>
      </c>
      <c r="BT410" s="52"/>
      <c r="BU410" s="52"/>
      <c r="BV410" s="52"/>
      <c r="BW410" s="52">
        <v>1897309748</v>
      </c>
      <c r="BX410" s="52"/>
      <c r="BY410" s="52">
        <v>884938396</v>
      </c>
      <c r="BZ410" s="52">
        <v>126022918</v>
      </c>
      <c r="CA410" s="52">
        <v>330153822</v>
      </c>
      <c r="CB410" s="52"/>
      <c r="CC410" s="52"/>
      <c r="CD410" s="52"/>
      <c r="CE410" s="52"/>
      <c r="CF410" s="52"/>
      <c r="CG410" s="52">
        <f t="shared" si="66"/>
        <v>19246951818</v>
      </c>
      <c r="CH410" s="52"/>
      <c r="CI410" s="52"/>
      <c r="CJ410" s="52">
        <v>62407411</v>
      </c>
      <c r="CK410" s="52"/>
      <c r="CL410" s="52">
        <v>1904904666</v>
      </c>
      <c r="CM410" s="52">
        <v>36777345</v>
      </c>
      <c r="CN410" s="52">
        <v>128174334</v>
      </c>
      <c r="CO410" s="52">
        <v>231282568</v>
      </c>
      <c r="CP410" s="52"/>
      <c r="CQ410" s="52"/>
      <c r="CR410" s="52"/>
      <c r="CS410" s="52">
        <f t="shared" si="63"/>
        <v>21610498142</v>
      </c>
      <c r="CT410" s="53">
        <v>20742723441</v>
      </c>
      <c r="CU410" s="53">
        <f t="shared" si="64"/>
        <v>867774701</v>
      </c>
      <c r="CV410" s="54">
        <f t="shared" si="67"/>
        <v>21610498142</v>
      </c>
      <c r="CW410" s="55">
        <f t="shared" si="68"/>
        <v>0</v>
      </c>
      <c r="CX410" s="16"/>
      <c r="CY410" s="16"/>
      <c r="CZ410" s="16"/>
    </row>
    <row r="411" spans="1:108" ht="15" customHeight="1" x14ac:dyDescent="0.2">
      <c r="A411" s="1">
        <v>8909808071</v>
      </c>
      <c r="B411" s="1">
        <v>890980807</v>
      </c>
      <c r="C411" s="9">
        <v>210805308</v>
      </c>
      <c r="D411" s="10" t="s">
        <v>90</v>
      </c>
      <c r="E411" s="42" t="s">
        <v>1121</v>
      </c>
      <c r="F411" s="21"/>
      <c r="G411" s="50"/>
      <c r="H411" s="21"/>
      <c r="I411" s="50"/>
      <c r="J411" s="21"/>
      <c r="K411" s="21"/>
      <c r="L411" s="50"/>
      <c r="M411" s="51"/>
      <c r="N411" s="21"/>
      <c r="O411" s="50"/>
      <c r="P411" s="21"/>
      <c r="Q411" s="50"/>
      <c r="R411" s="21"/>
      <c r="S411" s="21"/>
      <c r="T411" s="50"/>
      <c r="U411" s="51">
        <f t="shared" si="62"/>
        <v>0</v>
      </c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>
        <v>381578896</v>
      </c>
      <c r="AN411" s="51">
        <f>SUBTOTAL(9,AC411:AM411)</f>
        <v>381578896</v>
      </c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>
        <v>193001915</v>
      </c>
      <c r="AZ411" s="51"/>
      <c r="BA411" s="51">
        <f>VLOOKUP(B411,[1]Hoja3!J$3:K$674,2,0)</f>
        <v>78969478</v>
      </c>
      <c r="BB411" s="51"/>
      <c r="BC411" s="52">
        <f t="shared" si="65"/>
        <v>653550289</v>
      </c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>
        <v>38600383</v>
      </c>
      <c r="BO411" s="51"/>
      <c r="BP411" s="52">
        <v>692150672</v>
      </c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>
        <v>38600383</v>
      </c>
      <c r="CD411" s="52"/>
      <c r="CE411" s="52"/>
      <c r="CF411" s="52"/>
      <c r="CG411" s="52">
        <f t="shared" si="66"/>
        <v>730751055</v>
      </c>
      <c r="CH411" s="52"/>
      <c r="CI411" s="52"/>
      <c r="CJ411" s="52"/>
      <c r="CK411" s="52"/>
      <c r="CL411" s="52"/>
      <c r="CM411" s="52"/>
      <c r="CN411" s="52"/>
      <c r="CO411" s="52"/>
      <c r="CP411" s="52"/>
      <c r="CQ411" s="52">
        <v>38600383</v>
      </c>
      <c r="CR411" s="52"/>
      <c r="CS411" s="52">
        <f t="shared" si="63"/>
        <v>769351438</v>
      </c>
      <c r="CT411" s="53">
        <v>308803064</v>
      </c>
      <c r="CU411" s="53">
        <f t="shared" si="64"/>
        <v>460548374</v>
      </c>
      <c r="CV411" s="54">
        <f t="shared" si="67"/>
        <v>769351438</v>
      </c>
      <c r="CW411" s="55">
        <f t="shared" si="68"/>
        <v>0</v>
      </c>
      <c r="CX411" s="16"/>
      <c r="CY411" s="16"/>
      <c r="CZ411" s="16"/>
    </row>
    <row r="412" spans="1:108" ht="15" customHeight="1" x14ac:dyDescent="0.2">
      <c r="A412" s="1">
        <v>8902048026</v>
      </c>
      <c r="B412" s="1">
        <v>890204802</v>
      </c>
      <c r="C412" s="9">
        <v>210768307</v>
      </c>
      <c r="D412" s="10" t="s">
        <v>2167</v>
      </c>
      <c r="E412" s="43" t="s">
        <v>1037</v>
      </c>
      <c r="F412" s="21"/>
      <c r="G412" s="50"/>
      <c r="H412" s="21"/>
      <c r="I412" s="57">
        <f>3240371069+69084331</f>
        <v>3309455400</v>
      </c>
      <c r="J412" s="21">
        <v>224733427</v>
      </c>
      <c r="K412" s="21">
        <v>450914432</v>
      </c>
      <c r="L412" s="50"/>
      <c r="M412" s="52">
        <f>SUM(F412:L412)</f>
        <v>3985103259</v>
      </c>
      <c r="N412" s="21"/>
      <c r="O412" s="50"/>
      <c r="P412" s="21"/>
      <c r="Q412" s="50">
        <f>3132289258+31401968</f>
        <v>3163691226</v>
      </c>
      <c r="R412" s="21">
        <v>225099759</v>
      </c>
      <c r="S412" s="21">
        <f>226181005+225099759</f>
        <v>451280764</v>
      </c>
      <c r="T412" s="50"/>
      <c r="U412" s="51">
        <f t="shared" si="62"/>
        <v>7825175008</v>
      </c>
      <c r="V412" s="51"/>
      <c r="W412" s="51"/>
      <c r="X412" s="51"/>
      <c r="Y412" s="51">
        <v>4496419367</v>
      </c>
      <c r="Z412" s="51">
        <v>222420712</v>
      </c>
      <c r="AA412" s="51">
        <v>511130481</v>
      </c>
      <c r="AB412" s="51"/>
      <c r="AC412" s="51">
        <f t="shared" si="71"/>
        <v>13055145568</v>
      </c>
      <c r="AD412" s="51"/>
      <c r="AE412" s="51"/>
      <c r="AF412" s="51"/>
      <c r="AG412" s="51"/>
      <c r="AH412" s="51">
        <v>3182215294</v>
      </c>
      <c r="AI412" s="51">
        <v>391263781</v>
      </c>
      <c r="AJ412" s="51">
        <v>232907268</v>
      </c>
      <c r="AK412" s="51">
        <v>587251864</v>
      </c>
      <c r="AL412" s="51"/>
      <c r="AM412" s="51">
        <v>1479995436</v>
      </c>
      <c r="AN412" s="51">
        <f>SUBTOTAL(9,AC412:AM412)</f>
        <v>18928779211</v>
      </c>
      <c r="AO412" s="51"/>
      <c r="AP412" s="51"/>
      <c r="AQ412" s="51">
        <v>486592645</v>
      </c>
      <c r="AR412" s="51"/>
      <c r="AS412" s="51"/>
      <c r="AT412" s="51">
        <v>3182215294</v>
      </c>
      <c r="AU412" s="51"/>
      <c r="AV412" s="51">
        <v>232907268</v>
      </c>
      <c r="AW412" s="51">
        <v>397899442</v>
      </c>
      <c r="AX412" s="51"/>
      <c r="AY412" s="51"/>
      <c r="AZ412" s="51">
        <v>257612641</v>
      </c>
      <c r="BA412" s="51">
        <f>VLOOKUP(B412,[1]Hoja3!J$3:K$674,2,0)</f>
        <v>151364732</v>
      </c>
      <c r="BB412" s="51"/>
      <c r="BC412" s="52">
        <f t="shared" si="65"/>
        <v>23637371233</v>
      </c>
      <c r="BD412" s="51"/>
      <c r="BE412" s="51"/>
      <c r="BF412" s="51">
        <v>97318529</v>
      </c>
      <c r="BG412" s="51"/>
      <c r="BH412" s="51"/>
      <c r="BI412" s="51">
        <v>3234874547</v>
      </c>
      <c r="BJ412" s="51">
        <v>298192708</v>
      </c>
      <c r="BK412" s="51">
        <v>241622937</v>
      </c>
      <c r="BL412" s="51">
        <v>533645551</v>
      </c>
      <c r="BM412" s="51"/>
      <c r="BN412" s="51"/>
      <c r="BO412" s="51"/>
      <c r="BP412" s="52">
        <v>28043025505</v>
      </c>
      <c r="BQ412" s="52"/>
      <c r="BR412" s="52"/>
      <c r="BS412" s="52">
        <v>97318529</v>
      </c>
      <c r="BT412" s="52"/>
      <c r="BU412" s="52"/>
      <c r="BV412" s="52"/>
      <c r="BW412" s="52">
        <v>3241375825</v>
      </c>
      <c r="BX412" s="52"/>
      <c r="BY412" s="52">
        <v>1674000000</v>
      </c>
      <c r="BZ412" s="52">
        <v>238304433</v>
      </c>
      <c r="CA412" s="52">
        <v>621376638</v>
      </c>
      <c r="CB412" s="52"/>
      <c r="CC412" s="52"/>
      <c r="CD412" s="52"/>
      <c r="CE412" s="52"/>
      <c r="CF412" s="52"/>
      <c r="CG412" s="52">
        <f t="shared" si="66"/>
        <v>33915400930</v>
      </c>
      <c r="CH412" s="52"/>
      <c r="CI412" s="52"/>
      <c r="CJ412" s="52">
        <v>97318529</v>
      </c>
      <c r="CK412" s="52"/>
      <c r="CL412" s="52">
        <v>3277173443</v>
      </c>
      <c r="CM412" s="52">
        <v>703344749</v>
      </c>
      <c r="CN412" s="52">
        <v>239936319</v>
      </c>
      <c r="CO412" s="52">
        <v>436350662</v>
      </c>
      <c r="CP412" s="52"/>
      <c r="CQ412" s="52"/>
      <c r="CR412" s="52"/>
      <c r="CS412" s="52">
        <f t="shared" si="63"/>
        <v>38669524632</v>
      </c>
      <c r="CT412" s="53">
        <v>37038164464</v>
      </c>
      <c r="CU412" s="53">
        <f t="shared" si="64"/>
        <v>1631360168</v>
      </c>
      <c r="CV412" s="54">
        <f t="shared" si="67"/>
        <v>38669524632</v>
      </c>
      <c r="CW412" s="55">
        <f t="shared" si="68"/>
        <v>0</v>
      </c>
      <c r="CX412" s="16"/>
      <c r="CY412" s="16"/>
      <c r="CZ412" s="16"/>
    </row>
    <row r="413" spans="1:108" ht="15" customHeight="1" x14ac:dyDescent="0.2">
      <c r="A413" s="1">
        <v>8909839381</v>
      </c>
      <c r="B413" s="1">
        <v>890983938</v>
      </c>
      <c r="C413" s="9">
        <v>211005310</v>
      </c>
      <c r="D413" s="10" t="s">
        <v>91</v>
      </c>
      <c r="E413" s="42" t="s">
        <v>1122</v>
      </c>
      <c r="F413" s="21"/>
      <c r="G413" s="50"/>
      <c r="H413" s="21"/>
      <c r="I413" s="50"/>
      <c r="J413" s="21"/>
      <c r="K413" s="21"/>
      <c r="L413" s="50"/>
      <c r="M413" s="51"/>
      <c r="N413" s="21"/>
      <c r="O413" s="50"/>
      <c r="P413" s="21"/>
      <c r="Q413" s="50"/>
      <c r="R413" s="21"/>
      <c r="S413" s="21"/>
      <c r="T413" s="50"/>
      <c r="U413" s="51">
        <f t="shared" si="62"/>
        <v>0</v>
      </c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>
        <v>64351040</v>
      </c>
      <c r="AZ413" s="51"/>
      <c r="BA413" s="51">
        <f>VLOOKUP(B413,[1]Hoja3!J$3:K$674,2,0)</f>
        <v>113489369</v>
      </c>
      <c r="BB413" s="51"/>
      <c r="BC413" s="52">
        <f t="shared" si="65"/>
        <v>177840409</v>
      </c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>
        <v>12870208</v>
      </c>
      <c r="BO413" s="51"/>
      <c r="BP413" s="52">
        <v>190710617</v>
      </c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>
        <v>12870208</v>
      </c>
      <c r="CD413" s="52"/>
      <c r="CE413" s="52"/>
      <c r="CF413" s="52"/>
      <c r="CG413" s="52">
        <f t="shared" si="66"/>
        <v>203580825</v>
      </c>
      <c r="CH413" s="52"/>
      <c r="CI413" s="52"/>
      <c r="CJ413" s="52"/>
      <c r="CK413" s="52"/>
      <c r="CL413" s="52"/>
      <c r="CM413" s="52"/>
      <c r="CN413" s="52"/>
      <c r="CO413" s="52"/>
      <c r="CP413" s="52"/>
      <c r="CQ413" s="52">
        <v>12870208</v>
      </c>
      <c r="CR413" s="52"/>
      <c r="CS413" s="52">
        <f t="shared" si="63"/>
        <v>216451033</v>
      </c>
      <c r="CT413" s="53">
        <v>102961664</v>
      </c>
      <c r="CU413" s="53">
        <f t="shared" si="64"/>
        <v>113489369</v>
      </c>
      <c r="CV413" s="54">
        <f t="shared" si="67"/>
        <v>216451033</v>
      </c>
      <c r="CW413" s="55">
        <f t="shared" si="68"/>
        <v>0</v>
      </c>
      <c r="CX413" s="16"/>
      <c r="CY413" s="16"/>
      <c r="CZ413" s="16"/>
    </row>
    <row r="414" spans="1:108" ht="15" customHeight="1" x14ac:dyDescent="0.2">
      <c r="A414" s="1">
        <v>8000965979</v>
      </c>
      <c r="B414" s="1">
        <v>800096597</v>
      </c>
      <c r="C414" s="9">
        <v>211020310</v>
      </c>
      <c r="D414" s="10" t="s">
        <v>424</v>
      </c>
      <c r="E414" s="42" t="s">
        <v>1451</v>
      </c>
      <c r="F414" s="21"/>
      <c r="G414" s="50"/>
      <c r="H414" s="21"/>
      <c r="I414" s="50"/>
      <c r="J414" s="21"/>
      <c r="K414" s="21"/>
      <c r="L414" s="50"/>
      <c r="M414" s="51"/>
      <c r="N414" s="21"/>
      <c r="O414" s="50"/>
      <c r="P414" s="21"/>
      <c r="Q414" s="50"/>
      <c r="R414" s="21"/>
      <c r="S414" s="21"/>
      <c r="T414" s="50"/>
      <c r="U414" s="51">
        <f t="shared" si="62"/>
        <v>0</v>
      </c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>
        <v>46531565</v>
      </c>
      <c r="AZ414" s="51"/>
      <c r="BA414" s="51">
        <f>VLOOKUP(B414,[1]Hoja3!J$3:K$674,2,0)</f>
        <v>71416402</v>
      </c>
      <c r="BB414" s="51"/>
      <c r="BC414" s="52">
        <f t="shared" si="65"/>
        <v>117947967</v>
      </c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>
        <v>9306313</v>
      </c>
      <c r="BO414" s="51"/>
      <c r="BP414" s="52">
        <v>127254280</v>
      </c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>
        <v>9306313</v>
      </c>
      <c r="CD414" s="52"/>
      <c r="CE414" s="52"/>
      <c r="CF414" s="52"/>
      <c r="CG414" s="52">
        <f t="shared" si="66"/>
        <v>136560593</v>
      </c>
      <c r="CH414" s="52"/>
      <c r="CI414" s="52"/>
      <c r="CJ414" s="52"/>
      <c r="CK414" s="52"/>
      <c r="CL414" s="52"/>
      <c r="CM414" s="52"/>
      <c r="CN414" s="52"/>
      <c r="CO414" s="52"/>
      <c r="CP414" s="52"/>
      <c r="CQ414" s="52">
        <v>9306313</v>
      </c>
      <c r="CR414" s="52"/>
      <c r="CS414" s="52">
        <f t="shared" si="63"/>
        <v>145866906</v>
      </c>
      <c r="CT414" s="53">
        <v>74450504</v>
      </c>
      <c r="CU414" s="53">
        <f t="shared" si="64"/>
        <v>71416402</v>
      </c>
      <c r="CV414" s="54">
        <f t="shared" si="67"/>
        <v>145866906</v>
      </c>
      <c r="CW414" s="55">
        <f t="shared" si="68"/>
        <v>0</v>
      </c>
      <c r="CX414" s="16"/>
      <c r="CY414" s="16"/>
      <c r="CZ414" s="16"/>
    </row>
    <row r="415" spans="1:108" ht="15" customHeight="1" x14ac:dyDescent="0.2">
      <c r="A415" s="1">
        <v>8905014041</v>
      </c>
      <c r="B415" s="1">
        <v>890501404</v>
      </c>
      <c r="C415" s="9">
        <v>211354313</v>
      </c>
      <c r="D415" s="10" t="s">
        <v>765</v>
      </c>
      <c r="E415" s="42" t="s">
        <v>1783</v>
      </c>
      <c r="F415" s="21"/>
      <c r="G415" s="50"/>
      <c r="H415" s="21"/>
      <c r="I415" s="50"/>
      <c r="J415" s="21"/>
      <c r="K415" s="21"/>
      <c r="L415" s="50"/>
      <c r="M415" s="51"/>
      <c r="N415" s="21"/>
      <c r="O415" s="50"/>
      <c r="P415" s="21"/>
      <c r="Q415" s="50"/>
      <c r="R415" s="21"/>
      <c r="S415" s="21"/>
      <c r="T415" s="50"/>
      <c r="U415" s="51">
        <f t="shared" si="62"/>
        <v>0</v>
      </c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>
        <v>22371166</v>
      </c>
      <c r="AN415" s="51">
        <f>SUBTOTAL(9,AC415:AM415)</f>
        <v>22371166</v>
      </c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>
        <v>49433285</v>
      </c>
      <c r="AZ415" s="51"/>
      <c r="BA415" s="51">
        <f>VLOOKUP(B415,[1]Hoja3!J$3:K$674,2,0)</f>
        <v>68676914</v>
      </c>
      <c r="BB415" s="51"/>
      <c r="BC415" s="52">
        <f t="shared" si="65"/>
        <v>140481365</v>
      </c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>
        <v>9886657</v>
      </c>
      <c r="BO415" s="51"/>
      <c r="BP415" s="52">
        <v>150368022</v>
      </c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>
        <v>9886657</v>
      </c>
      <c r="CD415" s="52"/>
      <c r="CE415" s="52"/>
      <c r="CF415" s="52"/>
      <c r="CG415" s="52">
        <f t="shared" si="66"/>
        <v>160254679</v>
      </c>
      <c r="CH415" s="52"/>
      <c r="CI415" s="52"/>
      <c r="CJ415" s="52"/>
      <c r="CK415" s="52"/>
      <c r="CL415" s="52"/>
      <c r="CM415" s="52"/>
      <c r="CN415" s="52"/>
      <c r="CO415" s="52"/>
      <c r="CP415" s="52"/>
      <c r="CQ415" s="52">
        <v>9886657</v>
      </c>
      <c r="CR415" s="52"/>
      <c r="CS415" s="52">
        <f t="shared" si="63"/>
        <v>170141336</v>
      </c>
      <c r="CT415" s="53">
        <v>79093256</v>
      </c>
      <c r="CU415" s="53">
        <f t="shared" si="64"/>
        <v>91048080</v>
      </c>
      <c r="CV415" s="54">
        <f t="shared" si="67"/>
        <v>170141336</v>
      </c>
      <c r="CW415" s="55">
        <f t="shared" si="68"/>
        <v>0</v>
      </c>
      <c r="CX415" s="16"/>
      <c r="CY415" s="16"/>
      <c r="CZ415" s="16"/>
    </row>
    <row r="416" spans="1:108" ht="15" customHeight="1" x14ac:dyDescent="0.2">
      <c r="A416" s="1">
        <v>8909837281</v>
      </c>
      <c r="B416" s="1">
        <v>890983728</v>
      </c>
      <c r="C416" s="9">
        <v>211305313</v>
      </c>
      <c r="D416" s="10" t="s">
        <v>92</v>
      </c>
      <c r="E416" s="42" t="s">
        <v>1123</v>
      </c>
      <c r="F416" s="21"/>
      <c r="G416" s="50"/>
      <c r="H416" s="21"/>
      <c r="I416" s="50"/>
      <c r="J416" s="21"/>
      <c r="K416" s="21"/>
      <c r="L416" s="50"/>
      <c r="M416" s="51"/>
      <c r="N416" s="21"/>
      <c r="O416" s="50"/>
      <c r="P416" s="21"/>
      <c r="Q416" s="50"/>
      <c r="R416" s="21"/>
      <c r="S416" s="21"/>
      <c r="T416" s="50"/>
      <c r="U416" s="51">
        <f t="shared" si="62"/>
        <v>0</v>
      </c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>
        <v>138412057</v>
      </c>
      <c r="AN416" s="51">
        <f>SUBTOTAL(9,AC416:AM416)</f>
        <v>138412057</v>
      </c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>
        <v>61843335</v>
      </c>
      <c r="AZ416" s="51"/>
      <c r="BA416" s="51"/>
      <c r="BB416" s="51"/>
      <c r="BC416" s="52">
        <f t="shared" si="65"/>
        <v>200255392</v>
      </c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>
        <v>12368667</v>
      </c>
      <c r="BO416" s="51"/>
      <c r="BP416" s="52">
        <v>212624059</v>
      </c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>
        <v>12368667</v>
      </c>
      <c r="CD416" s="52"/>
      <c r="CE416" s="52"/>
      <c r="CF416" s="52"/>
      <c r="CG416" s="52">
        <f t="shared" si="66"/>
        <v>224992726</v>
      </c>
      <c r="CH416" s="52"/>
      <c r="CI416" s="52"/>
      <c r="CJ416" s="52"/>
      <c r="CK416" s="52"/>
      <c r="CL416" s="52"/>
      <c r="CM416" s="52"/>
      <c r="CN416" s="52"/>
      <c r="CO416" s="52"/>
      <c r="CP416" s="52"/>
      <c r="CQ416" s="52">
        <v>12368667</v>
      </c>
      <c r="CR416" s="52"/>
      <c r="CS416" s="52">
        <f t="shared" si="63"/>
        <v>237361393</v>
      </c>
      <c r="CT416" s="53">
        <v>98949336</v>
      </c>
      <c r="CU416" s="53">
        <f t="shared" si="64"/>
        <v>138412057</v>
      </c>
      <c r="CV416" s="54">
        <f t="shared" si="67"/>
        <v>237361393</v>
      </c>
      <c r="CW416" s="55">
        <f t="shared" si="68"/>
        <v>0</v>
      </c>
      <c r="CX416" s="16"/>
      <c r="CY416" s="16"/>
      <c r="CZ416" s="16"/>
    </row>
    <row r="417" spans="1:108" ht="15" customHeight="1" x14ac:dyDescent="0.2">
      <c r="A417" s="1">
        <v>8320009921</v>
      </c>
      <c r="B417" s="1">
        <v>832000992</v>
      </c>
      <c r="C417" s="9">
        <v>211225312</v>
      </c>
      <c r="D417" s="10" t="s">
        <v>493</v>
      </c>
      <c r="E417" s="42" t="s">
        <v>1520</v>
      </c>
      <c r="F417" s="21"/>
      <c r="G417" s="50"/>
      <c r="H417" s="21"/>
      <c r="I417" s="50"/>
      <c r="J417" s="21"/>
      <c r="K417" s="21"/>
      <c r="L417" s="50"/>
      <c r="M417" s="51"/>
      <c r="N417" s="21"/>
      <c r="O417" s="50"/>
      <c r="P417" s="21"/>
      <c r="Q417" s="50"/>
      <c r="R417" s="21"/>
      <c r="S417" s="21"/>
      <c r="T417" s="50"/>
      <c r="U417" s="51">
        <f t="shared" si="62"/>
        <v>0</v>
      </c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>
        <v>110012315</v>
      </c>
      <c r="AN417" s="51">
        <f>SUBTOTAL(9,AC417:AM417)</f>
        <v>110012315</v>
      </c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>
        <v>43525775</v>
      </c>
      <c r="AZ417" s="51"/>
      <c r="BA417" s="51"/>
      <c r="BB417" s="51"/>
      <c r="BC417" s="52">
        <f t="shared" si="65"/>
        <v>153538090</v>
      </c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>
        <v>8705155</v>
      </c>
      <c r="BO417" s="51"/>
      <c r="BP417" s="52">
        <v>162243245</v>
      </c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>
        <v>8705155</v>
      </c>
      <c r="CD417" s="52"/>
      <c r="CE417" s="52"/>
      <c r="CF417" s="52"/>
      <c r="CG417" s="52">
        <f t="shared" si="66"/>
        <v>170948400</v>
      </c>
      <c r="CH417" s="52"/>
      <c r="CI417" s="52"/>
      <c r="CJ417" s="52"/>
      <c r="CK417" s="52"/>
      <c r="CL417" s="52"/>
      <c r="CM417" s="52"/>
      <c r="CN417" s="52"/>
      <c r="CO417" s="52"/>
      <c r="CP417" s="52"/>
      <c r="CQ417" s="52">
        <v>8705155</v>
      </c>
      <c r="CR417" s="52"/>
      <c r="CS417" s="52">
        <f t="shared" si="63"/>
        <v>179653555</v>
      </c>
      <c r="CT417" s="53">
        <v>69641240</v>
      </c>
      <c r="CU417" s="53">
        <f t="shared" si="64"/>
        <v>110012315</v>
      </c>
      <c r="CV417" s="54">
        <f t="shared" si="67"/>
        <v>179653555</v>
      </c>
      <c r="CW417" s="55">
        <f t="shared" si="68"/>
        <v>0</v>
      </c>
      <c r="CX417" s="16"/>
      <c r="CY417" s="8"/>
      <c r="CZ417" s="8"/>
      <c r="DA417" s="8"/>
      <c r="DB417" s="8"/>
      <c r="DC417" s="8"/>
      <c r="DD417" s="8"/>
    </row>
    <row r="418" spans="1:108" ht="15" customHeight="1" x14ac:dyDescent="0.2">
      <c r="A418" s="1">
        <v>8920992435</v>
      </c>
      <c r="B418" s="1">
        <v>892099243</v>
      </c>
      <c r="C418" s="9">
        <v>211350313</v>
      </c>
      <c r="D418" s="10" t="s">
        <v>675</v>
      </c>
      <c r="E418" s="42" t="s">
        <v>1696</v>
      </c>
      <c r="F418" s="21"/>
      <c r="G418" s="50"/>
      <c r="H418" s="21"/>
      <c r="I418" s="50"/>
      <c r="J418" s="21"/>
      <c r="K418" s="21"/>
      <c r="L418" s="50"/>
      <c r="M418" s="51"/>
      <c r="N418" s="21"/>
      <c r="O418" s="50"/>
      <c r="P418" s="21"/>
      <c r="Q418" s="50"/>
      <c r="R418" s="21"/>
      <c r="S418" s="21"/>
      <c r="T418" s="50"/>
      <c r="U418" s="51">
        <f t="shared" si="62"/>
        <v>0</v>
      </c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>
        <v>829161595</v>
      </c>
      <c r="AN418" s="51">
        <f>SUBTOTAL(9,AC418:AM418)</f>
        <v>829161595</v>
      </c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>
        <v>426867025</v>
      </c>
      <c r="AZ418" s="51"/>
      <c r="BA418" s="51"/>
      <c r="BB418" s="51"/>
      <c r="BC418" s="52">
        <f t="shared" si="65"/>
        <v>1256028620</v>
      </c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>
        <v>85373405</v>
      </c>
      <c r="BO418" s="51"/>
      <c r="BP418" s="52">
        <v>1341402025</v>
      </c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>
        <v>85373405</v>
      </c>
      <c r="CD418" s="52"/>
      <c r="CE418" s="52">
        <v>57310177</v>
      </c>
      <c r="CF418" s="52"/>
      <c r="CG418" s="52">
        <f t="shared" si="66"/>
        <v>1484085607</v>
      </c>
      <c r="CH418" s="52"/>
      <c r="CI418" s="52"/>
      <c r="CJ418" s="52"/>
      <c r="CK418" s="52"/>
      <c r="CL418" s="52"/>
      <c r="CM418" s="52"/>
      <c r="CN418" s="52"/>
      <c r="CO418" s="52"/>
      <c r="CP418" s="52"/>
      <c r="CQ418" s="52">
        <v>85373405</v>
      </c>
      <c r="CR418" s="52"/>
      <c r="CS418" s="52">
        <f t="shared" si="63"/>
        <v>1569459012</v>
      </c>
      <c r="CT418" s="53">
        <v>682987240</v>
      </c>
      <c r="CU418" s="53">
        <f t="shared" si="64"/>
        <v>886471772</v>
      </c>
      <c r="CV418" s="54">
        <f t="shared" si="67"/>
        <v>1569459012</v>
      </c>
      <c r="CW418" s="55">
        <f t="shared" si="68"/>
        <v>0</v>
      </c>
      <c r="CX418" s="16"/>
      <c r="CY418" s="8"/>
      <c r="CZ418" s="8"/>
      <c r="DA418" s="8"/>
      <c r="DB418" s="8"/>
      <c r="DC418" s="8"/>
      <c r="DD418" s="8"/>
    </row>
    <row r="419" spans="1:108" ht="15" customHeight="1" x14ac:dyDescent="0.2">
      <c r="A419" s="1">
        <v>8000126311</v>
      </c>
      <c r="B419" s="1">
        <v>800012631</v>
      </c>
      <c r="C419" s="9">
        <v>211715317</v>
      </c>
      <c r="D419" s="10" t="s">
        <v>254</v>
      </c>
      <c r="E419" s="42" t="s">
        <v>1289</v>
      </c>
      <c r="F419" s="21"/>
      <c r="G419" s="50"/>
      <c r="H419" s="21"/>
      <c r="I419" s="50"/>
      <c r="J419" s="21"/>
      <c r="K419" s="21"/>
      <c r="L419" s="50"/>
      <c r="M419" s="51"/>
      <c r="N419" s="21"/>
      <c r="O419" s="50"/>
      <c r="P419" s="21"/>
      <c r="Q419" s="50"/>
      <c r="R419" s="21"/>
      <c r="S419" s="21"/>
      <c r="T419" s="50"/>
      <c r="U419" s="51">
        <f t="shared" si="62"/>
        <v>0</v>
      </c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>
        <v>13376225</v>
      </c>
      <c r="AZ419" s="51"/>
      <c r="BA419" s="51">
        <f>VLOOKUP(B419,[1]Hoja3!J$3:K$674,2,0)</f>
        <v>21512401</v>
      </c>
      <c r="BB419" s="51"/>
      <c r="BC419" s="52">
        <f t="shared" si="65"/>
        <v>34888626</v>
      </c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>
        <v>2675245</v>
      </c>
      <c r="BO419" s="51"/>
      <c r="BP419" s="52">
        <v>37563871</v>
      </c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>
        <v>2675245</v>
      </c>
      <c r="CD419" s="52"/>
      <c r="CE419" s="52"/>
      <c r="CF419" s="52"/>
      <c r="CG419" s="52">
        <f t="shared" si="66"/>
        <v>40239116</v>
      </c>
      <c r="CH419" s="52"/>
      <c r="CI419" s="52"/>
      <c r="CJ419" s="52"/>
      <c r="CK419" s="52"/>
      <c r="CL419" s="52"/>
      <c r="CM419" s="52"/>
      <c r="CN419" s="52"/>
      <c r="CO419" s="52"/>
      <c r="CP419" s="52"/>
      <c r="CQ419" s="52">
        <v>2675245</v>
      </c>
      <c r="CR419" s="52"/>
      <c r="CS419" s="52">
        <f t="shared" si="63"/>
        <v>42914361</v>
      </c>
      <c r="CT419" s="53">
        <v>21401960</v>
      </c>
      <c r="CU419" s="53">
        <f t="shared" si="64"/>
        <v>21512401</v>
      </c>
      <c r="CV419" s="54">
        <f t="shared" si="67"/>
        <v>42914361</v>
      </c>
      <c r="CW419" s="55">
        <f t="shared" si="68"/>
        <v>0</v>
      </c>
      <c r="CX419" s="16"/>
      <c r="CY419" s="8"/>
      <c r="CZ419" s="8"/>
      <c r="DA419" s="8"/>
      <c r="DB419" s="8"/>
      <c r="DC419" s="8"/>
      <c r="DD419" s="8"/>
    </row>
    <row r="420" spans="1:108" ht="15" customHeight="1" x14ac:dyDescent="0.2">
      <c r="A420" s="1">
        <v>8902054391</v>
      </c>
      <c r="B420" s="1">
        <v>890205439</v>
      </c>
      <c r="C420" s="9">
        <v>214568245</v>
      </c>
      <c r="D420" s="10" t="s">
        <v>835</v>
      </c>
      <c r="E420" s="42" t="s">
        <v>1849</v>
      </c>
      <c r="F420" s="21"/>
      <c r="G420" s="50"/>
      <c r="H420" s="21"/>
      <c r="I420" s="50"/>
      <c r="J420" s="21"/>
      <c r="K420" s="21"/>
      <c r="L420" s="50"/>
      <c r="M420" s="51"/>
      <c r="N420" s="21"/>
      <c r="O420" s="50"/>
      <c r="P420" s="21"/>
      <c r="Q420" s="50"/>
      <c r="R420" s="21"/>
      <c r="S420" s="21"/>
      <c r="T420" s="50"/>
      <c r="U420" s="51">
        <f t="shared" si="62"/>
        <v>0</v>
      </c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>
        <v>14654080</v>
      </c>
      <c r="AZ420" s="51"/>
      <c r="BA420" s="51">
        <f>VLOOKUP(B420,[1]Hoja3!J$3:K$674,2,0)</f>
        <v>29339859</v>
      </c>
      <c r="BB420" s="51"/>
      <c r="BC420" s="52">
        <f t="shared" si="65"/>
        <v>43993939</v>
      </c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>
        <v>2930816</v>
      </c>
      <c r="BO420" s="51"/>
      <c r="BP420" s="52">
        <v>46924755</v>
      </c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>
        <v>2930816</v>
      </c>
      <c r="CD420" s="52"/>
      <c r="CE420" s="52"/>
      <c r="CF420" s="52"/>
      <c r="CG420" s="52">
        <f t="shared" si="66"/>
        <v>49855571</v>
      </c>
      <c r="CH420" s="52"/>
      <c r="CI420" s="52"/>
      <c r="CJ420" s="52"/>
      <c r="CK420" s="52"/>
      <c r="CL420" s="52"/>
      <c r="CM420" s="52"/>
      <c r="CN420" s="52"/>
      <c r="CO420" s="52"/>
      <c r="CP420" s="52"/>
      <c r="CQ420" s="52">
        <v>2930816</v>
      </c>
      <c r="CR420" s="52"/>
      <c r="CS420" s="52">
        <f t="shared" si="63"/>
        <v>52786387</v>
      </c>
      <c r="CT420" s="53">
        <v>23446528</v>
      </c>
      <c r="CU420" s="53">
        <f t="shared" si="64"/>
        <v>29339859</v>
      </c>
      <c r="CV420" s="54">
        <f t="shared" si="67"/>
        <v>52786387</v>
      </c>
      <c r="CW420" s="55">
        <f t="shared" si="68"/>
        <v>0</v>
      </c>
      <c r="CX420" s="16"/>
      <c r="CY420" s="16"/>
      <c r="CZ420" s="16"/>
    </row>
    <row r="421" spans="1:108" ht="15" customHeight="1" x14ac:dyDescent="0.2">
      <c r="A421" s="1">
        <v>8913800897</v>
      </c>
      <c r="B421" s="1">
        <v>891380089</v>
      </c>
      <c r="C421" s="9">
        <v>211876318</v>
      </c>
      <c r="D421" s="10" t="s">
        <v>928</v>
      </c>
      <c r="E421" s="42" t="s">
        <v>1988</v>
      </c>
      <c r="F421" s="21"/>
      <c r="G421" s="50"/>
      <c r="H421" s="21"/>
      <c r="I421" s="50"/>
      <c r="J421" s="21"/>
      <c r="K421" s="21"/>
      <c r="L421" s="50"/>
      <c r="M421" s="51"/>
      <c r="N421" s="21"/>
      <c r="O421" s="50"/>
      <c r="P421" s="21"/>
      <c r="Q421" s="50"/>
      <c r="R421" s="21"/>
      <c r="S421" s="21"/>
      <c r="T421" s="50"/>
      <c r="U421" s="51">
        <f t="shared" si="62"/>
        <v>0</v>
      </c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>
        <v>184944125</v>
      </c>
      <c r="AZ421" s="51"/>
      <c r="BA421" s="51">
        <f>VLOOKUP(B421,[1]Hoja3!J$3:K$674,2,0)</f>
        <v>383267128</v>
      </c>
      <c r="BB421" s="51"/>
      <c r="BC421" s="52">
        <f t="shared" si="65"/>
        <v>568211253</v>
      </c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>
        <v>36988825</v>
      </c>
      <c r="BO421" s="51"/>
      <c r="BP421" s="52">
        <v>605200078</v>
      </c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>
        <v>36988825</v>
      </c>
      <c r="CD421" s="52"/>
      <c r="CE421" s="52"/>
      <c r="CF421" s="52"/>
      <c r="CG421" s="52">
        <f t="shared" si="66"/>
        <v>642188903</v>
      </c>
      <c r="CH421" s="52"/>
      <c r="CI421" s="52"/>
      <c r="CJ421" s="52"/>
      <c r="CK421" s="52"/>
      <c r="CL421" s="52"/>
      <c r="CM421" s="52"/>
      <c r="CN421" s="52"/>
      <c r="CO421" s="52"/>
      <c r="CP421" s="52"/>
      <c r="CQ421" s="52">
        <v>36988825</v>
      </c>
      <c r="CR421" s="52"/>
      <c r="CS421" s="52">
        <f t="shared" si="63"/>
        <v>679177728</v>
      </c>
      <c r="CT421" s="53">
        <v>295910600</v>
      </c>
      <c r="CU421" s="53">
        <f t="shared" si="64"/>
        <v>383267128</v>
      </c>
      <c r="CV421" s="54">
        <f t="shared" si="67"/>
        <v>679177728</v>
      </c>
      <c r="CW421" s="55">
        <f t="shared" si="68"/>
        <v>0</v>
      </c>
      <c r="CX421" s="16"/>
      <c r="CY421" s="16"/>
      <c r="CZ421" s="16"/>
    </row>
    <row r="422" spans="1:108" ht="15" customHeight="1" x14ac:dyDescent="0.2">
      <c r="A422" s="1">
        <v>8902083600</v>
      </c>
      <c r="B422" s="1">
        <v>890208360</v>
      </c>
      <c r="C422" s="9">
        <v>211868318</v>
      </c>
      <c r="D422" s="10" t="s">
        <v>842</v>
      </c>
      <c r="E422" s="42" t="s">
        <v>1857</v>
      </c>
      <c r="F422" s="21"/>
      <c r="G422" s="50"/>
      <c r="H422" s="21"/>
      <c r="I422" s="50"/>
      <c r="J422" s="21"/>
      <c r="K422" s="21"/>
      <c r="L422" s="50"/>
      <c r="M422" s="51"/>
      <c r="N422" s="21"/>
      <c r="O422" s="50"/>
      <c r="P422" s="21"/>
      <c r="Q422" s="50"/>
      <c r="R422" s="21"/>
      <c r="S422" s="21"/>
      <c r="T422" s="50"/>
      <c r="U422" s="51">
        <f t="shared" si="62"/>
        <v>0</v>
      </c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>
        <v>39435060</v>
      </c>
      <c r="AZ422" s="51"/>
      <c r="BA422" s="51">
        <f>VLOOKUP(B422,[1]Hoja3!J$3:K$674,2,0)</f>
        <v>83651490</v>
      </c>
      <c r="BB422" s="51"/>
      <c r="BC422" s="52">
        <f t="shared" si="65"/>
        <v>123086550</v>
      </c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>
        <v>7887012</v>
      </c>
      <c r="BO422" s="51"/>
      <c r="BP422" s="52">
        <v>130973562</v>
      </c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>
        <v>7887012</v>
      </c>
      <c r="CD422" s="52"/>
      <c r="CE422" s="52"/>
      <c r="CF422" s="52"/>
      <c r="CG422" s="52">
        <f t="shared" si="66"/>
        <v>138860574</v>
      </c>
      <c r="CH422" s="52"/>
      <c r="CI422" s="52"/>
      <c r="CJ422" s="52"/>
      <c r="CK422" s="52"/>
      <c r="CL422" s="52"/>
      <c r="CM422" s="52"/>
      <c r="CN422" s="52"/>
      <c r="CO422" s="52"/>
      <c r="CP422" s="52"/>
      <c r="CQ422" s="52">
        <v>7887012</v>
      </c>
      <c r="CR422" s="52"/>
      <c r="CS422" s="52">
        <f t="shared" si="63"/>
        <v>146747586</v>
      </c>
      <c r="CT422" s="53">
        <v>63096096</v>
      </c>
      <c r="CU422" s="53">
        <f t="shared" si="64"/>
        <v>83651490</v>
      </c>
      <c r="CV422" s="54">
        <f t="shared" si="67"/>
        <v>146747586</v>
      </c>
      <c r="CW422" s="55">
        <f t="shared" si="68"/>
        <v>0</v>
      </c>
      <c r="CX422" s="16"/>
      <c r="CY422" s="16"/>
      <c r="CZ422" s="16"/>
    </row>
    <row r="423" spans="1:108" ht="15" customHeight="1" x14ac:dyDescent="0.2">
      <c r="A423" s="1">
        <v>9001271830</v>
      </c>
      <c r="B423" s="1">
        <v>900127183</v>
      </c>
      <c r="C423" s="9">
        <v>923270346</v>
      </c>
      <c r="D423" s="10" t="s">
        <v>384</v>
      </c>
      <c r="E423" s="42" t="s">
        <v>2070</v>
      </c>
      <c r="F423" s="21"/>
      <c r="G423" s="50"/>
      <c r="H423" s="21"/>
      <c r="I423" s="50"/>
      <c r="J423" s="21"/>
      <c r="K423" s="21"/>
      <c r="L423" s="50"/>
      <c r="M423" s="51"/>
      <c r="N423" s="21"/>
      <c r="O423" s="50"/>
      <c r="P423" s="21"/>
      <c r="Q423" s="50"/>
      <c r="R423" s="21"/>
      <c r="S423" s="21"/>
      <c r="T423" s="50"/>
      <c r="U423" s="51">
        <f t="shared" si="62"/>
        <v>0</v>
      </c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>
        <v>126331320</v>
      </c>
      <c r="AN423" s="51">
        <f>SUBTOTAL(9,AC423:AM423)</f>
        <v>126331320</v>
      </c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>
        <v>130938200</v>
      </c>
      <c r="AZ423" s="51"/>
      <c r="BA423" s="51">
        <f>VLOOKUP(B423,[1]Hoja3!J$3:K$674,2,0)</f>
        <v>156997775</v>
      </c>
      <c r="BB423" s="51"/>
      <c r="BC423" s="52">
        <f t="shared" si="65"/>
        <v>414267295</v>
      </c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>
        <v>26187640</v>
      </c>
      <c r="BO423" s="51"/>
      <c r="BP423" s="52">
        <v>440454935</v>
      </c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>
        <v>26187640</v>
      </c>
      <c r="CD423" s="52"/>
      <c r="CE423" s="52"/>
      <c r="CF423" s="52"/>
      <c r="CG423" s="52">
        <f t="shared" si="66"/>
        <v>466642575</v>
      </c>
      <c r="CH423" s="52"/>
      <c r="CI423" s="52"/>
      <c r="CJ423" s="52"/>
      <c r="CK423" s="52"/>
      <c r="CL423" s="52"/>
      <c r="CM423" s="52"/>
      <c r="CN423" s="52"/>
      <c r="CO423" s="52"/>
      <c r="CP423" s="52"/>
      <c r="CQ423" s="52">
        <v>26187640</v>
      </c>
      <c r="CR423" s="52"/>
      <c r="CS423" s="52">
        <f t="shared" si="63"/>
        <v>492830215</v>
      </c>
      <c r="CT423" s="53">
        <v>209501120</v>
      </c>
      <c r="CU423" s="53">
        <f t="shared" si="64"/>
        <v>283329095</v>
      </c>
      <c r="CV423" s="54">
        <f t="shared" si="67"/>
        <v>492830215</v>
      </c>
      <c r="CW423" s="55">
        <f t="shared" si="68"/>
        <v>0</v>
      </c>
      <c r="CX423" s="16"/>
      <c r="CY423" s="16"/>
      <c r="CZ423" s="16"/>
    </row>
    <row r="424" spans="1:108" ht="15" customHeight="1" x14ac:dyDescent="0.2">
      <c r="A424" s="1">
        <v>8999993620</v>
      </c>
      <c r="B424" s="1">
        <v>899999362</v>
      </c>
      <c r="C424" s="9">
        <v>211725317</v>
      </c>
      <c r="D424" s="10" t="s">
        <v>494</v>
      </c>
      <c r="E424" s="42" t="s">
        <v>1521</v>
      </c>
      <c r="F424" s="21"/>
      <c r="G424" s="50"/>
      <c r="H424" s="21"/>
      <c r="I424" s="50"/>
      <c r="J424" s="21"/>
      <c r="K424" s="21"/>
      <c r="L424" s="50"/>
      <c r="M424" s="51"/>
      <c r="N424" s="21"/>
      <c r="O424" s="50"/>
      <c r="P424" s="21"/>
      <c r="Q424" s="50"/>
      <c r="R424" s="21"/>
      <c r="S424" s="21"/>
      <c r="T424" s="50"/>
      <c r="U424" s="51">
        <f t="shared" si="62"/>
        <v>0</v>
      </c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>
        <v>219286974</v>
      </c>
      <c r="AN424" s="51">
        <f>SUBTOTAL(9,AC424:AM424)</f>
        <v>219286974</v>
      </c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>
        <v>88742515</v>
      </c>
      <c r="AZ424" s="51"/>
      <c r="BA424" s="51"/>
      <c r="BB424" s="51"/>
      <c r="BC424" s="52">
        <f t="shared" si="65"/>
        <v>308029489</v>
      </c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>
        <v>17748503</v>
      </c>
      <c r="BO424" s="51"/>
      <c r="BP424" s="52">
        <v>325777992</v>
      </c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>
        <v>17748503</v>
      </c>
      <c r="CD424" s="52"/>
      <c r="CE424" s="52"/>
      <c r="CF424" s="52"/>
      <c r="CG424" s="52">
        <f t="shared" si="66"/>
        <v>343526495</v>
      </c>
      <c r="CH424" s="52"/>
      <c r="CI424" s="52"/>
      <c r="CJ424" s="52"/>
      <c r="CK424" s="52"/>
      <c r="CL424" s="52"/>
      <c r="CM424" s="52"/>
      <c r="CN424" s="52"/>
      <c r="CO424" s="52"/>
      <c r="CP424" s="52"/>
      <c r="CQ424" s="52">
        <v>17748503</v>
      </c>
      <c r="CR424" s="52"/>
      <c r="CS424" s="52">
        <f t="shared" si="63"/>
        <v>361274998</v>
      </c>
      <c r="CT424" s="53">
        <v>141988024</v>
      </c>
      <c r="CU424" s="53">
        <f t="shared" si="64"/>
        <v>219286974</v>
      </c>
      <c r="CV424" s="54">
        <f t="shared" si="67"/>
        <v>361274998</v>
      </c>
      <c r="CW424" s="55">
        <f t="shared" si="68"/>
        <v>0</v>
      </c>
      <c r="CX424" s="16"/>
      <c r="CY424" s="16"/>
      <c r="CZ424" s="16"/>
    </row>
    <row r="425" spans="1:108" ht="15" customHeight="1" x14ac:dyDescent="0.2">
      <c r="A425" s="1">
        <v>8000156891</v>
      </c>
      <c r="B425" s="1">
        <v>800015689</v>
      </c>
      <c r="C425" s="9">
        <v>211752317</v>
      </c>
      <c r="D425" s="10" t="s">
        <v>711</v>
      </c>
      <c r="E425" s="42" t="s">
        <v>1734</v>
      </c>
      <c r="F425" s="21"/>
      <c r="G425" s="50"/>
      <c r="H425" s="21"/>
      <c r="I425" s="50"/>
      <c r="J425" s="21"/>
      <c r="K425" s="21"/>
      <c r="L425" s="50"/>
      <c r="M425" s="51"/>
      <c r="N425" s="21"/>
      <c r="O425" s="50"/>
      <c r="P425" s="21"/>
      <c r="Q425" s="50"/>
      <c r="R425" s="21"/>
      <c r="S425" s="21"/>
      <c r="T425" s="50"/>
      <c r="U425" s="51">
        <f t="shared" si="62"/>
        <v>0</v>
      </c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>
        <v>25039825</v>
      </c>
      <c r="AN425" s="51">
        <f>SUBTOTAL(9,AC425:AM425)</f>
        <v>25039825</v>
      </c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>
        <v>135224150</v>
      </c>
      <c r="AZ425" s="51"/>
      <c r="BA425" s="51">
        <f>VLOOKUP(B425,[1]Hoja3!J$3:K$674,2,0)</f>
        <v>209661015</v>
      </c>
      <c r="BB425" s="51"/>
      <c r="BC425" s="52">
        <f t="shared" si="65"/>
        <v>369924990</v>
      </c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>
        <v>27044830</v>
      </c>
      <c r="BO425" s="51"/>
      <c r="BP425" s="52">
        <v>396969820</v>
      </c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>
        <v>27044830</v>
      </c>
      <c r="CD425" s="52"/>
      <c r="CE425" s="52"/>
      <c r="CF425" s="52"/>
      <c r="CG425" s="52">
        <f t="shared" si="66"/>
        <v>424014650</v>
      </c>
      <c r="CH425" s="52"/>
      <c r="CI425" s="52"/>
      <c r="CJ425" s="52"/>
      <c r="CK425" s="52"/>
      <c r="CL425" s="52"/>
      <c r="CM425" s="52"/>
      <c r="CN425" s="52"/>
      <c r="CO425" s="52"/>
      <c r="CP425" s="52"/>
      <c r="CQ425" s="52">
        <v>27044830</v>
      </c>
      <c r="CR425" s="52"/>
      <c r="CS425" s="52">
        <f t="shared" si="63"/>
        <v>451059480</v>
      </c>
      <c r="CT425" s="53">
        <v>216358640</v>
      </c>
      <c r="CU425" s="53">
        <f t="shared" si="64"/>
        <v>234700840</v>
      </c>
      <c r="CV425" s="54">
        <f t="shared" si="67"/>
        <v>451059480</v>
      </c>
      <c r="CW425" s="55">
        <f t="shared" si="68"/>
        <v>0</v>
      </c>
      <c r="CX425" s="16"/>
      <c r="CY425" s="16"/>
      <c r="CZ425" s="16"/>
    </row>
    <row r="426" spans="1:108" ht="15" customHeight="1" x14ac:dyDescent="0.2">
      <c r="A426" s="1">
        <v>8909811622</v>
      </c>
      <c r="B426" s="1">
        <v>890981162</v>
      </c>
      <c r="C426" s="9">
        <v>211505315</v>
      </c>
      <c r="D426" s="10" t="s">
        <v>93</v>
      </c>
      <c r="E426" s="42" t="s">
        <v>1124</v>
      </c>
      <c r="F426" s="21"/>
      <c r="G426" s="50"/>
      <c r="H426" s="21"/>
      <c r="I426" s="50"/>
      <c r="J426" s="21"/>
      <c r="K426" s="21"/>
      <c r="L426" s="50"/>
      <c r="M426" s="51"/>
      <c r="N426" s="21"/>
      <c r="O426" s="50"/>
      <c r="P426" s="21"/>
      <c r="Q426" s="50"/>
      <c r="R426" s="21"/>
      <c r="S426" s="21"/>
      <c r="T426" s="50"/>
      <c r="U426" s="51">
        <f t="shared" si="62"/>
        <v>0</v>
      </c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>
        <f>VLOOKUP(B426,[1]Hoja3!J$3:K$674,2,0)</f>
        <v>87669867</v>
      </c>
      <c r="BB426" s="51"/>
      <c r="BC426" s="52">
        <f t="shared" si="65"/>
        <v>87669867</v>
      </c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>
        <v>8431593</v>
      </c>
      <c r="BO426" s="51"/>
      <c r="BP426" s="52">
        <v>96101460</v>
      </c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>
        <v>8431593</v>
      </c>
      <c r="CD426" s="52">
        <v>42157965</v>
      </c>
      <c r="CE426" s="52"/>
      <c r="CF426" s="52"/>
      <c r="CG426" s="52">
        <f t="shared" si="66"/>
        <v>146691018</v>
      </c>
      <c r="CH426" s="52"/>
      <c r="CI426" s="52"/>
      <c r="CJ426" s="52"/>
      <c r="CK426" s="52"/>
      <c r="CL426" s="52"/>
      <c r="CM426" s="52"/>
      <c r="CN426" s="52"/>
      <c r="CO426" s="52"/>
      <c r="CP426" s="52"/>
      <c r="CQ426" s="52">
        <v>8431593</v>
      </c>
      <c r="CR426" s="52"/>
      <c r="CS426" s="52">
        <f t="shared" si="63"/>
        <v>155122611</v>
      </c>
      <c r="CT426" s="53">
        <v>67452744</v>
      </c>
      <c r="CU426" s="53">
        <f t="shared" si="64"/>
        <v>87669867</v>
      </c>
      <c r="CV426" s="54">
        <f t="shared" si="67"/>
        <v>155122611</v>
      </c>
      <c r="CW426" s="55">
        <f t="shared" si="68"/>
        <v>0</v>
      </c>
      <c r="CX426" s="16"/>
      <c r="CY426" s="16"/>
      <c r="CZ426" s="16"/>
    </row>
    <row r="427" spans="1:108" ht="15" customHeight="1" x14ac:dyDescent="0.2">
      <c r="A427" s="1">
        <v>8911801779</v>
      </c>
      <c r="B427" s="1">
        <v>891180177</v>
      </c>
      <c r="C427" s="9">
        <v>211941319</v>
      </c>
      <c r="D427" s="10" t="s">
        <v>604</v>
      </c>
      <c r="E427" s="42" t="s">
        <v>1623</v>
      </c>
      <c r="F427" s="21"/>
      <c r="G427" s="50"/>
      <c r="H427" s="21"/>
      <c r="I427" s="50"/>
      <c r="J427" s="21"/>
      <c r="K427" s="21"/>
      <c r="L427" s="50"/>
      <c r="M427" s="51"/>
      <c r="N427" s="21"/>
      <c r="O427" s="50"/>
      <c r="P427" s="21"/>
      <c r="Q427" s="50"/>
      <c r="R427" s="21"/>
      <c r="S427" s="21"/>
      <c r="T427" s="50"/>
      <c r="U427" s="51">
        <f t="shared" si="62"/>
        <v>0</v>
      </c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>
        <v>124936395</v>
      </c>
      <c r="AZ427" s="51"/>
      <c r="BA427" s="51">
        <f>VLOOKUP(B427,[1]Hoja3!J$3:K$674,2,0)</f>
        <v>314706960</v>
      </c>
      <c r="BB427" s="51"/>
      <c r="BC427" s="52">
        <f t="shared" si="65"/>
        <v>439643355</v>
      </c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>
        <v>24987279</v>
      </c>
      <c r="BO427" s="51"/>
      <c r="BP427" s="52">
        <v>464630634</v>
      </c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>
        <v>24987279</v>
      </c>
      <c r="CD427" s="52"/>
      <c r="CE427" s="52"/>
      <c r="CF427" s="52"/>
      <c r="CG427" s="52">
        <f t="shared" si="66"/>
        <v>489617913</v>
      </c>
      <c r="CH427" s="52"/>
      <c r="CI427" s="52"/>
      <c r="CJ427" s="52"/>
      <c r="CK427" s="52"/>
      <c r="CL427" s="52"/>
      <c r="CM427" s="52"/>
      <c r="CN427" s="52"/>
      <c r="CO427" s="52"/>
      <c r="CP427" s="52"/>
      <c r="CQ427" s="52">
        <v>24987279</v>
      </c>
      <c r="CR427" s="52"/>
      <c r="CS427" s="52">
        <f t="shared" si="63"/>
        <v>514605192</v>
      </c>
      <c r="CT427" s="53">
        <v>199898232</v>
      </c>
      <c r="CU427" s="53">
        <f t="shared" si="64"/>
        <v>314706960</v>
      </c>
      <c r="CV427" s="54">
        <f t="shared" si="67"/>
        <v>514605192</v>
      </c>
      <c r="CW427" s="55">
        <f t="shared" si="68"/>
        <v>0</v>
      </c>
      <c r="CX427" s="16"/>
      <c r="CY427" s="8"/>
      <c r="CZ427" s="8"/>
      <c r="DA427" s="8"/>
      <c r="DB427" s="8"/>
      <c r="DC427" s="8"/>
      <c r="DD427" s="8"/>
    </row>
    <row r="428" spans="1:108" ht="15" customHeight="1" x14ac:dyDescent="0.2">
      <c r="A428" s="1">
        <v>8000996949</v>
      </c>
      <c r="B428" s="1">
        <v>800099694</v>
      </c>
      <c r="C428" s="9">
        <v>212068320</v>
      </c>
      <c r="D428" s="10" t="s">
        <v>843</v>
      </c>
      <c r="E428" s="42" t="s">
        <v>1858</v>
      </c>
      <c r="F428" s="21"/>
      <c r="G428" s="50"/>
      <c r="H428" s="21"/>
      <c r="I428" s="50"/>
      <c r="J428" s="21"/>
      <c r="K428" s="21"/>
      <c r="L428" s="50"/>
      <c r="M428" s="51"/>
      <c r="N428" s="21"/>
      <c r="O428" s="50"/>
      <c r="P428" s="21"/>
      <c r="Q428" s="50"/>
      <c r="R428" s="21"/>
      <c r="S428" s="21"/>
      <c r="T428" s="50"/>
      <c r="U428" s="51">
        <f t="shared" si="62"/>
        <v>0</v>
      </c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>
        <v>38989535</v>
      </c>
      <c r="AZ428" s="51"/>
      <c r="BA428" s="51">
        <f>VLOOKUP(B428,[1]Hoja3!J$3:K$674,2,0)</f>
        <v>29600446</v>
      </c>
      <c r="BB428" s="51"/>
      <c r="BC428" s="52">
        <f t="shared" si="65"/>
        <v>68589981</v>
      </c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>
        <v>7797907</v>
      </c>
      <c r="BO428" s="51"/>
      <c r="BP428" s="52">
        <v>76387888</v>
      </c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>
        <v>7797907</v>
      </c>
      <c r="CD428" s="52"/>
      <c r="CE428" s="52"/>
      <c r="CF428" s="52"/>
      <c r="CG428" s="52">
        <f t="shared" si="66"/>
        <v>84185795</v>
      </c>
      <c r="CH428" s="52"/>
      <c r="CI428" s="52"/>
      <c r="CJ428" s="52"/>
      <c r="CK428" s="52"/>
      <c r="CL428" s="52"/>
      <c r="CM428" s="52"/>
      <c r="CN428" s="52"/>
      <c r="CO428" s="52"/>
      <c r="CP428" s="52"/>
      <c r="CQ428" s="52">
        <v>7797907</v>
      </c>
      <c r="CR428" s="52"/>
      <c r="CS428" s="52">
        <f t="shared" si="63"/>
        <v>91983702</v>
      </c>
      <c r="CT428" s="53">
        <v>62383256</v>
      </c>
      <c r="CU428" s="53">
        <f t="shared" si="64"/>
        <v>29600446</v>
      </c>
      <c r="CV428" s="54">
        <f t="shared" si="67"/>
        <v>91983702</v>
      </c>
      <c r="CW428" s="55">
        <f t="shared" si="68"/>
        <v>0</v>
      </c>
      <c r="CX428" s="16"/>
      <c r="CY428" s="8"/>
      <c r="CZ428" s="8"/>
      <c r="DA428" s="8"/>
      <c r="DB428" s="8"/>
      <c r="DC428" s="8"/>
      <c r="DD428" s="8"/>
    </row>
    <row r="429" spans="1:108" ht="15" customHeight="1" x14ac:dyDescent="0.2">
      <c r="A429" s="1">
        <v>8999997014</v>
      </c>
      <c r="B429" s="1">
        <v>899999701</v>
      </c>
      <c r="C429" s="9">
        <v>212025320</v>
      </c>
      <c r="D429" s="10" t="s">
        <v>495</v>
      </c>
      <c r="E429" s="42" t="s">
        <v>1522</v>
      </c>
      <c r="F429" s="21"/>
      <c r="G429" s="50"/>
      <c r="H429" s="21"/>
      <c r="I429" s="50"/>
      <c r="J429" s="21"/>
      <c r="K429" s="21"/>
      <c r="L429" s="50"/>
      <c r="M429" s="51"/>
      <c r="N429" s="21"/>
      <c r="O429" s="50"/>
      <c r="P429" s="21"/>
      <c r="Q429" s="50"/>
      <c r="R429" s="21"/>
      <c r="S429" s="21"/>
      <c r="T429" s="50"/>
      <c r="U429" s="51">
        <f t="shared" si="62"/>
        <v>0</v>
      </c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>
        <v>343168779</v>
      </c>
      <c r="AN429" s="51">
        <f t="shared" ref="AN429:AN436" si="72">SUBTOTAL(9,AC429:AM429)</f>
        <v>343168779</v>
      </c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>
        <v>158476945</v>
      </c>
      <c r="AZ429" s="51"/>
      <c r="BA429" s="51"/>
      <c r="BB429" s="51"/>
      <c r="BC429" s="52">
        <f t="shared" si="65"/>
        <v>501645724</v>
      </c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>
        <v>31695389</v>
      </c>
      <c r="BO429" s="51"/>
      <c r="BP429" s="52">
        <v>533341113</v>
      </c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>
        <v>31695389</v>
      </c>
      <c r="CD429" s="52"/>
      <c r="CE429" s="52"/>
      <c r="CF429" s="52"/>
      <c r="CG429" s="52">
        <f t="shared" si="66"/>
        <v>565036502</v>
      </c>
      <c r="CH429" s="52"/>
      <c r="CI429" s="52"/>
      <c r="CJ429" s="52"/>
      <c r="CK429" s="52"/>
      <c r="CL429" s="52"/>
      <c r="CM429" s="52"/>
      <c r="CN429" s="52"/>
      <c r="CO429" s="52"/>
      <c r="CP429" s="52"/>
      <c r="CQ429" s="52">
        <v>31695389</v>
      </c>
      <c r="CR429" s="52"/>
      <c r="CS429" s="52">
        <f t="shared" si="63"/>
        <v>596731891</v>
      </c>
      <c r="CT429" s="53">
        <v>253563112</v>
      </c>
      <c r="CU429" s="53">
        <f t="shared" si="64"/>
        <v>343168779</v>
      </c>
      <c r="CV429" s="54">
        <f t="shared" si="67"/>
        <v>596731891</v>
      </c>
      <c r="CW429" s="55">
        <f t="shared" si="68"/>
        <v>0</v>
      </c>
      <c r="CX429" s="16"/>
      <c r="CY429" s="16"/>
      <c r="CZ429" s="16"/>
    </row>
    <row r="430" spans="1:108" ht="15" customHeight="1" x14ac:dyDescent="0.2">
      <c r="A430" s="1">
        <v>8000990900</v>
      </c>
      <c r="B430" s="1">
        <v>800099090</v>
      </c>
      <c r="C430" s="9">
        <v>212052320</v>
      </c>
      <c r="D430" s="10" t="s">
        <v>712</v>
      </c>
      <c r="E430" s="42" t="s">
        <v>1735</v>
      </c>
      <c r="F430" s="21"/>
      <c r="G430" s="50"/>
      <c r="H430" s="21"/>
      <c r="I430" s="50"/>
      <c r="J430" s="21"/>
      <c r="K430" s="21"/>
      <c r="L430" s="50"/>
      <c r="M430" s="51"/>
      <c r="N430" s="21"/>
      <c r="O430" s="50"/>
      <c r="P430" s="21"/>
      <c r="Q430" s="50"/>
      <c r="R430" s="21"/>
      <c r="S430" s="21"/>
      <c r="T430" s="50"/>
      <c r="U430" s="51">
        <f t="shared" si="62"/>
        <v>0</v>
      </c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>
        <v>69183077</v>
      </c>
      <c r="AN430" s="51">
        <f t="shared" si="72"/>
        <v>69183077</v>
      </c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>
        <f>VLOOKUP(B430,[1]Hoja3!J$3:K$674,2,0)</f>
        <v>80402667</v>
      </c>
      <c r="BB430" s="51"/>
      <c r="BC430" s="52">
        <f t="shared" si="65"/>
        <v>149585744</v>
      </c>
      <c r="BD430" s="51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>
        <v>20591253</v>
      </c>
      <c r="BO430" s="51"/>
      <c r="BP430" s="52">
        <v>170176997</v>
      </c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>
        <v>20591253</v>
      </c>
      <c r="CD430" s="52">
        <v>102956265</v>
      </c>
      <c r="CE430" s="52"/>
      <c r="CF430" s="52"/>
      <c r="CG430" s="52">
        <f t="shared" si="66"/>
        <v>293724515</v>
      </c>
      <c r="CH430" s="52"/>
      <c r="CI430" s="52"/>
      <c r="CJ430" s="52"/>
      <c r="CK430" s="52"/>
      <c r="CL430" s="52"/>
      <c r="CM430" s="52"/>
      <c r="CN430" s="52"/>
      <c r="CO430" s="52"/>
      <c r="CP430" s="52"/>
      <c r="CQ430" s="52">
        <v>20591253</v>
      </c>
      <c r="CR430" s="52"/>
      <c r="CS430" s="52">
        <f t="shared" si="63"/>
        <v>314315768</v>
      </c>
      <c r="CT430" s="53">
        <v>164730024</v>
      </c>
      <c r="CU430" s="53">
        <f t="shared" si="64"/>
        <v>149585744</v>
      </c>
      <c r="CV430" s="54">
        <f t="shared" si="67"/>
        <v>314315768</v>
      </c>
      <c r="CW430" s="55">
        <f t="shared" si="68"/>
        <v>0</v>
      </c>
      <c r="CX430" s="16"/>
      <c r="CY430" s="16"/>
      <c r="CZ430" s="16"/>
    </row>
    <row r="431" spans="1:108" ht="15" customHeight="1" x14ac:dyDescent="0.2">
      <c r="A431" s="1">
        <v>8000836727</v>
      </c>
      <c r="B431" s="1">
        <v>800083672</v>
      </c>
      <c r="C431" s="9">
        <v>212352323</v>
      </c>
      <c r="D431" s="10" t="s">
        <v>713</v>
      </c>
      <c r="E431" s="42" t="s">
        <v>1736</v>
      </c>
      <c r="F431" s="21"/>
      <c r="G431" s="50"/>
      <c r="H431" s="21"/>
      <c r="I431" s="50"/>
      <c r="J431" s="21"/>
      <c r="K431" s="21"/>
      <c r="L431" s="50"/>
      <c r="M431" s="51"/>
      <c r="N431" s="21"/>
      <c r="O431" s="50"/>
      <c r="P431" s="21"/>
      <c r="Q431" s="50"/>
      <c r="R431" s="21"/>
      <c r="S431" s="21"/>
      <c r="T431" s="50"/>
      <c r="U431" s="51">
        <f t="shared" si="62"/>
        <v>0</v>
      </c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>
        <v>92109964</v>
      </c>
      <c r="AN431" s="51">
        <f t="shared" si="72"/>
        <v>92109964</v>
      </c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>
        <v>45387830</v>
      </c>
      <c r="AZ431" s="51"/>
      <c r="BA431" s="51"/>
      <c r="BB431" s="51"/>
      <c r="BC431" s="52">
        <f t="shared" si="65"/>
        <v>137497794</v>
      </c>
      <c r="BD431" s="51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>
        <v>9077566</v>
      </c>
      <c r="BO431" s="51"/>
      <c r="BP431" s="52">
        <v>146575360</v>
      </c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>
        <v>9077566</v>
      </c>
      <c r="CD431" s="52"/>
      <c r="CE431" s="52"/>
      <c r="CF431" s="52"/>
      <c r="CG431" s="52">
        <f t="shared" si="66"/>
        <v>155652926</v>
      </c>
      <c r="CH431" s="52"/>
      <c r="CI431" s="52"/>
      <c r="CJ431" s="52"/>
      <c r="CK431" s="52"/>
      <c r="CL431" s="52"/>
      <c r="CM431" s="52"/>
      <c r="CN431" s="52"/>
      <c r="CO431" s="52"/>
      <c r="CP431" s="52"/>
      <c r="CQ431" s="52">
        <v>9077566</v>
      </c>
      <c r="CR431" s="52"/>
      <c r="CS431" s="52">
        <f t="shared" si="63"/>
        <v>164730492</v>
      </c>
      <c r="CT431" s="53">
        <v>72620528</v>
      </c>
      <c r="CU431" s="53">
        <f t="shared" si="64"/>
        <v>92109964</v>
      </c>
      <c r="CV431" s="54">
        <f t="shared" si="67"/>
        <v>164730492</v>
      </c>
      <c r="CW431" s="55">
        <f t="shared" si="68"/>
        <v>0</v>
      </c>
      <c r="CX431" s="16"/>
      <c r="CY431" s="16"/>
      <c r="CZ431" s="16"/>
    </row>
    <row r="432" spans="1:108" ht="15" customHeight="1" x14ac:dyDescent="0.2">
      <c r="A432" s="1">
        <v>8917800474</v>
      </c>
      <c r="B432" s="1">
        <v>891780047</v>
      </c>
      <c r="C432" s="9">
        <v>211847318</v>
      </c>
      <c r="D432" s="10" t="s">
        <v>649</v>
      </c>
      <c r="E432" s="42" t="s">
        <v>1668</v>
      </c>
      <c r="F432" s="21"/>
      <c r="G432" s="50"/>
      <c r="H432" s="21"/>
      <c r="I432" s="50"/>
      <c r="J432" s="21"/>
      <c r="K432" s="21"/>
      <c r="L432" s="50"/>
      <c r="M432" s="51"/>
      <c r="N432" s="21"/>
      <c r="O432" s="50"/>
      <c r="P432" s="21"/>
      <c r="Q432" s="50"/>
      <c r="R432" s="21"/>
      <c r="S432" s="21"/>
      <c r="T432" s="50"/>
      <c r="U432" s="51">
        <f t="shared" si="62"/>
        <v>0</v>
      </c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>
        <v>135719857</v>
      </c>
      <c r="AN432" s="51">
        <f t="shared" si="72"/>
        <v>135719857</v>
      </c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>
        <v>355223260</v>
      </c>
      <c r="AZ432" s="51"/>
      <c r="BA432" s="51">
        <f>VLOOKUP(B432,[1]Hoja3!J$3:K$674,2,0)</f>
        <v>461823986</v>
      </c>
      <c r="BB432" s="51"/>
      <c r="BC432" s="52">
        <f t="shared" si="65"/>
        <v>952767103</v>
      </c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>
        <v>71044652</v>
      </c>
      <c r="BO432" s="51"/>
      <c r="BP432" s="52">
        <v>1023811755</v>
      </c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>
        <v>71044652</v>
      </c>
      <c r="CD432" s="52"/>
      <c r="CE432" s="52"/>
      <c r="CF432" s="52"/>
      <c r="CG432" s="52">
        <f t="shared" si="66"/>
        <v>1094856407</v>
      </c>
      <c r="CH432" s="52"/>
      <c r="CI432" s="52"/>
      <c r="CJ432" s="52"/>
      <c r="CK432" s="52"/>
      <c r="CL432" s="52"/>
      <c r="CM432" s="52"/>
      <c r="CN432" s="52"/>
      <c r="CO432" s="52"/>
      <c r="CP432" s="52"/>
      <c r="CQ432" s="52">
        <v>71044652</v>
      </c>
      <c r="CR432" s="52"/>
      <c r="CS432" s="52">
        <f t="shared" si="63"/>
        <v>1165901059</v>
      </c>
      <c r="CT432" s="53">
        <v>568357216</v>
      </c>
      <c r="CU432" s="53">
        <f t="shared" si="64"/>
        <v>597543843</v>
      </c>
      <c r="CV432" s="54">
        <f t="shared" si="67"/>
        <v>1165901059</v>
      </c>
      <c r="CW432" s="55">
        <f t="shared" si="68"/>
        <v>0</v>
      </c>
      <c r="CX432" s="16"/>
      <c r="CY432" s="16"/>
      <c r="CZ432" s="16"/>
    </row>
    <row r="433" spans="1:108" ht="15" customHeight="1" x14ac:dyDescent="0.2">
      <c r="A433" s="1">
        <v>8000981936</v>
      </c>
      <c r="B433" s="1">
        <v>800098193</v>
      </c>
      <c r="C433" s="9">
        <v>211850318</v>
      </c>
      <c r="D433" s="10" t="s">
        <v>676</v>
      </c>
      <c r="E433" s="42" t="s">
        <v>1697</v>
      </c>
      <c r="F433" s="21"/>
      <c r="G433" s="50"/>
      <c r="H433" s="21"/>
      <c r="I433" s="50"/>
      <c r="J433" s="21"/>
      <c r="K433" s="21"/>
      <c r="L433" s="50"/>
      <c r="M433" s="51"/>
      <c r="N433" s="21"/>
      <c r="O433" s="50"/>
      <c r="P433" s="21"/>
      <c r="Q433" s="50"/>
      <c r="R433" s="21"/>
      <c r="S433" s="21"/>
      <c r="T433" s="50"/>
      <c r="U433" s="51">
        <f t="shared" si="62"/>
        <v>0</v>
      </c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>
        <v>148353210</v>
      </c>
      <c r="AN433" s="51">
        <f t="shared" si="72"/>
        <v>148353210</v>
      </c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>
        <v>69404640</v>
      </c>
      <c r="AZ433" s="51"/>
      <c r="BA433" s="51"/>
      <c r="BB433" s="51"/>
      <c r="BC433" s="52">
        <f t="shared" si="65"/>
        <v>217757850</v>
      </c>
      <c r="BD433" s="51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>
        <v>13880928</v>
      </c>
      <c r="BO433" s="51"/>
      <c r="BP433" s="52">
        <v>231638778</v>
      </c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>
        <v>13880928</v>
      </c>
      <c r="CD433" s="52"/>
      <c r="CE433" s="52"/>
      <c r="CF433" s="52"/>
      <c r="CG433" s="52">
        <f t="shared" si="66"/>
        <v>245519706</v>
      </c>
      <c r="CH433" s="52"/>
      <c r="CI433" s="52"/>
      <c r="CJ433" s="52"/>
      <c r="CK433" s="52"/>
      <c r="CL433" s="52"/>
      <c r="CM433" s="52"/>
      <c r="CN433" s="52"/>
      <c r="CO433" s="52"/>
      <c r="CP433" s="52"/>
      <c r="CQ433" s="52">
        <v>13880928</v>
      </c>
      <c r="CR433" s="52"/>
      <c r="CS433" s="52">
        <f t="shared" si="63"/>
        <v>259400634</v>
      </c>
      <c r="CT433" s="53">
        <v>111047424</v>
      </c>
      <c r="CU433" s="53">
        <f t="shared" si="64"/>
        <v>148353210</v>
      </c>
      <c r="CV433" s="54">
        <f t="shared" si="67"/>
        <v>259400634</v>
      </c>
      <c r="CW433" s="55">
        <f t="shared" si="68"/>
        <v>0</v>
      </c>
      <c r="CX433" s="16"/>
      <c r="CY433" s="8"/>
      <c r="CZ433" s="8"/>
      <c r="DA433" s="8"/>
      <c r="DB433" s="8"/>
      <c r="DC433" s="8"/>
      <c r="DD433" s="8"/>
    </row>
    <row r="434" spans="1:108" ht="15" customHeight="1" x14ac:dyDescent="0.2">
      <c r="A434" s="1">
        <v>8907020152</v>
      </c>
      <c r="B434" s="1">
        <v>890702015</v>
      </c>
      <c r="C434" s="9">
        <v>211973319</v>
      </c>
      <c r="D434" s="10" t="s">
        <v>2219</v>
      </c>
      <c r="E434" s="42" t="s">
        <v>1945</v>
      </c>
      <c r="F434" s="21"/>
      <c r="G434" s="50"/>
      <c r="H434" s="21"/>
      <c r="I434" s="50"/>
      <c r="J434" s="21"/>
      <c r="K434" s="21"/>
      <c r="L434" s="50"/>
      <c r="M434" s="51"/>
      <c r="N434" s="21"/>
      <c r="O434" s="50"/>
      <c r="P434" s="21"/>
      <c r="Q434" s="50"/>
      <c r="R434" s="21"/>
      <c r="S434" s="21"/>
      <c r="T434" s="50"/>
      <c r="U434" s="51">
        <f t="shared" si="62"/>
        <v>0</v>
      </c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>
        <v>435011638</v>
      </c>
      <c r="AN434" s="51">
        <f t="shared" si="72"/>
        <v>435011638</v>
      </c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2">
        <f t="shared" si="65"/>
        <v>435011638</v>
      </c>
      <c r="BD434" s="51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>
        <v>272935926</v>
      </c>
      <c r="BO434" s="51"/>
      <c r="BP434" s="52">
        <v>707947564</v>
      </c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>
        <v>45489321</v>
      </c>
      <c r="CD434" s="52"/>
      <c r="CE434" s="52"/>
      <c r="CF434" s="52"/>
      <c r="CG434" s="52">
        <f t="shared" si="66"/>
        <v>753436885</v>
      </c>
      <c r="CH434" s="52"/>
      <c r="CI434" s="52"/>
      <c r="CJ434" s="52"/>
      <c r="CK434" s="52"/>
      <c r="CL434" s="52"/>
      <c r="CM434" s="52"/>
      <c r="CN434" s="52"/>
      <c r="CO434" s="52"/>
      <c r="CP434" s="52"/>
      <c r="CQ434" s="52">
        <v>45489321</v>
      </c>
      <c r="CR434" s="52"/>
      <c r="CS434" s="52">
        <f t="shared" si="63"/>
        <v>798926206</v>
      </c>
      <c r="CT434" s="53">
        <v>363914568</v>
      </c>
      <c r="CU434" s="53">
        <f t="shared" si="64"/>
        <v>435011638</v>
      </c>
      <c r="CV434" s="54">
        <f t="shared" si="67"/>
        <v>798926206</v>
      </c>
      <c r="CW434" s="55">
        <f t="shared" si="68"/>
        <v>0</v>
      </c>
      <c r="CX434" s="16"/>
      <c r="CY434" s="16"/>
      <c r="CZ434" s="16"/>
    </row>
    <row r="435" spans="1:108" ht="15" customHeight="1" x14ac:dyDescent="0.2">
      <c r="A435" s="1">
        <v>8000843780</v>
      </c>
      <c r="B435" s="1">
        <v>800084378</v>
      </c>
      <c r="C435" s="9">
        <v>211819318</v>
      </c>
      <c r="D435" s="10" t="s">
        <v>385</v>
      </c>
      <c r="E435" s="42" t="s">
        <v>1415</v>
      </c>
      <c r="F435" s="21"/>
      <c r="G435" s="50"/>
      <c r="H435" s="21"/>
      <c r="I435" s="50"/>
      <c r="J435" s="21"/>
      <c r="K435" s="21"/>
      <c r="L435" s="50"/>
      <c r="M435" s="51"/>
      <c r="N435" s="21"/>
      <c r="O435" s="50"/>
      <c r="P435" s="21"/>
      <c r="Q435" s="50"/>
      <c r="R435" s="21"/>
      <c r="S435" s="21"/>
      <c r="T435" s="50"/>
      <c r="U435" s="51">
        <f t="shared" si="62"/>
        <v>0</v>
      </c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>
        <v>66705471</v>
      </c>
      <c r="AN435" s="51">
        <f t="shared" si="72"/>
        <v>66705471</v>
      </c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>
        <v>544457705</v>
      </c>
      <c r="AZ435" s="51"/>
      <c r="BA435" s="51">
        <f>VLOOKUP(B435,[1]Hoja3!J$3:K$674,2,0)</f>
        <v>579514872</v>
      </c>
      <c r="BB435" s="51"/>
      <c r="BC435" s="52">
        <f t="shared" si="65"/>
        <v>1190678048</v>
      </c>
      <c r="BD435" s="51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>
        <v>108891541</v>
      </c>
      <c r="BO435" s="51"/>
      <c r="BP435" s="52">
        <v>1299569589</v>
      </c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>
        <v>108891541</v>
      </c>
      <c r="CD435" s="52"/>
      <c r="CE435" s="52"/>
      <c r="CF435" s="52"/>
      <c r="CG435" s="52">
        <f t="shared" si="66"/>
        <v>1408461130</v>
      </c>
      <c r="CH435" s="52"/>
      <c r="CI435" s="52"/>
      <c r="CJ435" s="52"/>
      <c r="CK435" s="52"/>
      <c r="CL435" s="52"/>
      <c r="CM435" s="52"/>
      <c r="CN435" s="52"/>
      <c r="CO435" s="52"/>
      <c r="CP435" s="52"/>
      <c r="CQ435" s="52">
        <v>108891541</v>
      </c>
      <c r="CR435" s="52"/>
      <c r="CS435" s="52">
        <f t="shared" si="63"/>
        <v>1517352671</v>
      </c>
      <c r="CT435" s="53">
        <v>871132328</v>
      </c>
      <c r="CU435" s="53">
        <f t="shared" si="64"/>
        <v>646220343</v>
      </c>
      <c r="CV435" s="54">
        <f t="shared" si="67"/>
        <v>1517352671</v>
      </c>
      <c r="CW435" s="55">
        <f t="shared" si="68"/>
        <v>0</v>
      </c>
      <c r="CX435" s="16"/>
      <c r="CY435" s="16"/>
      <c r="CZ435" s="16"/>
    </row>
    <row r="436" spans="1:108" ht="15" customHeight="1" x14ac:dyDescent="0.2">
      <c r="A436" s="1">
        <v>8902049790</v>
      </c>
      <c r="B436" s="1">
        <v>890204979</v>
      </c>
      <c r="C436" s="9">
        <v>212268322</v>
      </c>
      <c r="D436" s="10" t="s">
        <v>844</v>
      </c>
      <c r="E436" s="42" t="s">
        <v>1859</v>
      </c>
      <c r="F436" s="21"/>
      <c r="G436" s="50"/>
      <c r="H436" s="21"/>
      <c r="I436" s="50"/>
      <c r="J436" s="21"/>
      <c r="K436" s="21"/>
      <c r="L436" s="50"/>
      <c r="M436" s="51"/>
      <c r="N436" s="21"/>
      <c r="O436" s="50"/>
      <c r="P436" s="21"/>
      <c r="Q436" s="50"/>
      <c r="R436" s="21"/>
      <c r="S436" s="21"/>
      <c r="T436" s="50"/>
      <c r="U436" s="51">
        <f t="shared" si="62"/>
        <v>0</v>
      </c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>
        <v>31175691</v>
      </c>
      <c r="AN436" s="51">
        <f t="shared" si="72"/>
        <v>31175691</v>
      </c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>
        <v>16010425</v>
      </c>
      <c r="AZ436" s="51"/>
      <c r="BA436" s="51"/>
      <c r="BB436" s="51"/>
      <c r="BC436" s="52">
        <f t="shared" si="65"/>
        <v>47186116</v>
      </c>
      <c r="BD436" s="51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>
        <v>3202085</v>
      </c>
      <c r="BO436" s="51"/>
      <c r="BP436" s="52">
        <v>50388201</v>
      </c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  <c r="CC436" s="52">
        <v>3202085</v>
      </c>
      <c r="CD436" s="52"/>
      <c r="CE436" s="52"/>
      <c r="CF436" s="52"/>
      <c r="CG436" s="52">
        <f t="shared" si="66"/>
        <v>53590286</v>
      </c>
      <c r="CH436" s="52"/>
      <c r="CI436" s="52"/>
      <c r="CJ436" s="52"/>
      <c r="CK436" s="52"/>
      <c r="CL436" s="52"/>
      <c r="CM436" s="52"/>
      <c r="CN436" s="52"/>
      <c r="CO436" s="52"/>
      <c r="CP436" s="52"/>
      <c r="CQ436" s="52">
        <v>3202085</v>
      </c>
      <c r="CR436" s="52"/>
      <c r="CS436" s="52">
        <f t="shared" si="63"/>
        <v>56792371</v>
      </c>
      <c r="CT436" s="53">
        <v>25616680</v>
      </c>
      <c r="CU436" s="53">
        <f t="shared" si="64"/>
        <v>31175691</v>
      </c>
      <c r="CV436" s="54">
        <f t="shared" si="67"/>
        <v>56792371</v>
      </c>
      <c r="CW436" s="55">
        <f t="shared" si="68"/>
        <v>0</v>
      </c>
      <c r="CX436" s="16"/>
      <c r="CY436" s="16"/>
      <c r="CZ436" s="16"/>
    </row>
    <row r="437" spans="1:108" ht="15" customHeight="1" x14ac:dyDescent="0.2">
      <c r="A437" s="1">
        <v>8000613133</v>
      </c>
      <c r="B437" s="1">
        <v>800061313</v>
      </c>
      <c r="C437" s="9">
        <v>216570265</v>
      </c>
      <c r="D437" s="10" t="s">
        <v>898</v>
      </c>
      <c r="E437" s="42" t="s">
        <v>1911</v>
      </c>
      <c r="F437" s="21"/>
      <c r="G437" s="50"/>
      <c r="H437" s="21"/>
      <c r="I437" s="50"/>
      <c r="J437" s="21"/>
      <c r="K437" s="21"/>
      <c r="L437" s="50"/>
      <c r="M437" s="51"/>
      <c r="N437" s="21"/>
      <c r="O437" s="50"/>
      <c r="P437" s="21"/>
      <c r="Q437" s="50"/>
      <c r="R437" s="21"/>
      <c r="S437" s="21"/>
      <c r="T437" s="50"/>
      <c r="U437" s="51">
        <f t="shared" si="62"/>
        <v>0</v>
      </c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>
        <f>VLOOKUP(B437,[1]Hoja3!J$3:K$674,2,0)</f>
        <v>319394570</v>
      </c>
      <c r="BB437" s="51"/>
      <c r="BC437" s="52">
        <f t="shared" si="65"/>
        <v>319394570</v>
      </c>
      <c r="BD437" s="51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>
        <v>0</v>
      </c>
      <c r="BO437" s="51"/>
      <c r="BP437" s="52">
        <v>319394570</v>
      </c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>
        <v>0</v>
      </c>
      <c r="CD437" s="52"/>
      <c r="CE437" s="52"/>
      <c r="CF437" s="52"/>
      <c r="CG437" s="52">
        <f t="shared" si="66"/>
        <v>319394570</v>
      </c>
      <c r="CH437" s="52"/>
      <c r="CI437" s="52"/>
      <c r="CJ437" s="52"/>
      <c r="CK437" s="52"/>
      <c r="CL437" s="52"/>
      <c r="CM437" s="52"/>
      <c r="CN437" s="52"/>
      <c r="CO437" s="52"/>
      <c r="CP437" s="52"/>
      <c r="CQ437" s="52">
        <v>340833912</v>
      </c>
      <c r="CR437" s="52"/>
      <c r="CS437" s="52">
        <f t="shared" si="63"/>
        <v>660228482</v>
      </c>
      <c r="CT437" s="53">
        <v>340833912</v>
      </c>
      <c r="CU437" s="53">
        <f t="shared" si="64"/>
        <v>319394570</v>
      </c>
      <c r="CV437" s="54">
        <f t="shared" si="67"/>
        <v>660228482</v>
      </c>
      <c r="CW437" s="55">
        <f t="shared" si="68"/>
        <v>0</v>
      </c>
      <c r="CX437" s="16"/>
      <c r="CY437" s="16"/>
      <c r="CZ437" s="16"/>
    </row>
    <row r="438" spans="1:108" ht="15" customHeight="1" x14ac:dyDescent="0.2">
      <c r="A438" s="1">
        <v>8909820557</v>
      </c>
      <c r="B438" s="1">
        <v>890982055</v>
      </c>
      <c r="C438" s="9">
        <v>211805318</v>
      </c>
      <c r="D438" s="10" t="s">
        <v>94</v>
      </c>
      <c r="E438" s="42" t="s">
        <v>1125</v>
      </c>
      <c r="F438" s="21"/>
      <c r="G438" s="50"/>
      <c r="H438" s="21"/>
      <c r="I438" s="50"/>
      <c r="J438" s="21"/>
      <c r="K438" s="21"/>
      <c r="L438" s="50"/>
      <c r="M438" s="51"/>
      <c r="N438" s="21"/>
      <c r="O438" s="50"/>
      <c r="P438" s="21"/>
      <c r="Q438" s="50"/>
      <c r="R438" s="21"/>
      <c r="S438" s="21"/>
      <c r="T438" s="50"/>
      <c r="U438" s="51">
        <f t="shared" si="62"/>
        <v>0</v>
      </c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>
        <v>135062502</v>
      </c>
      <c r="AN438" s="51">
        <f>SUBTOTAL(9,AC438:AM438)</f>
        <v>135062502</v>
      </c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>
        <v>182851500</v>
      </c>
      <c r="AZ438" s="51"/>
      <c r="BA438" s="51">
        <f>VLOOKUP(B438,[1]Hoja3!J$3:K$674,2,0)</f>
        <v>365054837</v>
      </c>
      <c r="BB438" s="51"/>
      <c r="BC438" s="52">
        <f t="shared" si="65"/>
        <v>682968839</v>
      </c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>
        <v>36570300</v>
      </c>
      <c r="BO438" s="51"/>
      <c r="BP438" s="52">
        <v>719539139</v>
      </c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  <c r="CC438" s="52">
        <v>36570300</v>
      </c>
      <c r="CD438" s="52"/>
      <c r="CE438" s="52"/>
      <c r="CF438" s="52"/>
      <c r="CG438" s="52">
        <f t="shared" si="66"/>
        <v>756109439</v>
      </c>
      <c r="CH438" s="52"/>
      <c r="CI438" s="52"/>
      <c r="CJ438" s="52"/>
      <c r="CK438" s="52"/>
      <c r="CL438" s="52"/>
      <c r="CM438" s="52"/>
      <c r="CN438" s="52"/>
      <c r="CO438" s="52"/>
      <c r="CP438" s="52"/>
      <c r="CQ438" s="52">
        <v>36570300</v>
      </c>
      <c r="CR438" s="52"/>
      <c r="CS438" s="52">
        <f t="shared" si="63"/>
        <v>792679739</v>
      </c>
      <c r="CT438" s="53">
        <v>292562400</v>
      </c>
      <c r="CU438" s="53">
        <f t="shared" si="64"/>
        <v>500117339</v>
      </c>
      <c r="CV438" s="54">
        <f t="shared" si="67"/>
        <v>792679739</v>
      </c>
      <c r="CW438" s="55">
        <f t="shared" si="68"/>
        <v>0</v>
      </c>
      <c r="CX438" s="16"/>
      <c r="CY438" s="16"/>
      <c r="CZ438" s="16"/>
    </row>
    <row r="439" spans="1:108" ht="15" customHeight="1" x14ac:dyDescent="0.2">
      <c r="A439" s="1">
        <v>8999994421</v>
      </c>
      <c r="B439" s="1">
        <v>899999442</v>
      </c>
      <c r="C439" s="9">
        <v>212225322</v>
      </c>
      <c r="D439" s="10" t="s">
        <v>496</v>
      </c>
      <c r="E439" s="42" t="s">
        <v>1523</v>
      </c>
      <c r="F439" s="21"/>
      <c r="G439" s="50"/>
      <c r="H439" s="21"/>
      <c r="I439" s="50"/>
      <c r="J439" s="21"/>
      <c r="K439" s="21"/>
      <c r="L439" s="50"/>
      <c r="M439" s="51"/>
      <c r="N439" s="21"/>
      <c r="O439" s="50"/>
      <c r="P439" s="21"/>
      <c r="Q439" s="50"/>
      <c r="R439" s="21"/>
      <c r="S439" s="21"/>
      <c r="T439" s="50"/>
      <c r="U439" s="51">
        <f t="shared" si="62"/>
        <v>0</v>
      </c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>
        <v>260330607</v>
      </c>
      <c r="AN439" s="51">
        <f>SUBTOTAL(9,AC439:AM439)</f>
        <v>260330607</v>
      </c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2">
        <f t="shared" si="65"/>
        <v>260330607</v>
      </c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>
        <v>0</v>
      </c>
      <c r="BO439" s="51"/>
      <c r="BP439" s="52">
        <v>260330607</v>
      </c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>
        <v>0</v>
      </c>
      <c r="CD439" s="52"/>
      <c r="CE439" s="52"/>
      <c r="CF439" s="52"/>
      <c r="CG439" s="52">
        <f t="shared" si="66"/>
        <v>260330607</v>
      </c>
      <c r="CH439" s="52"/>
      <c r="CI439" s="52"/>
      <c r="CJ439" s="52"/>
      <c r="CK439" s="52"/>
      <c r="CL439" s="52"/>
      <c r="CM439" s="52"/>
      <c r="CN439" s="52"/>
      <c r="CO439" s="52"/>
      <c r="CP439" s="52"/>
      <c r="CQ439" s="52">
        <v>170543920</v>
      </c>
      <c r="CR439" s="52"/>
      <c r="CS439" s="52">
        <f t="shared" si="63"/>
        <v>430874527</v>
      </c>
      <c r="CT439" s="53">
        <v>170543920</v>
      </c>
      <c r="CU439" s="53">
        <f t="shared" si="64"/>
        <v>260330607</v>
      </c>
      <c r="CV439" s="54">
        <f t="shared" si="67"/>
        <v>430874527</v>
      </c>
      <c r="CW439" s="55">
        <f t="shared" si="68"/>
        <v>0</v>
      </c>
      <c r="CX439" s="16"/>
      <c r="CY439" s="16"/>
      <c r="CZ439" s="16"/>
    </row>
    <row r="440" spans="1:108" ht="15" customHeight="1" x14ac:dyDescent="0.2">
      <c r="A440" s="1">
        <v>8909838303</v>
      </c>
      <c r="B440" s="1">
        <v>890983830</v>
      </c>
      <c r="C440" s="9">
        <v>212105321</v>
      </c>
      <c r="D440" s="10" t="s">
        <v>95</v>
      </c>
      <c r="E440" s="42" t="s">
        <v>1126</v>
      </c>
      <c r="F440" s="21"/>
      <c r="G440" s="50"/>
      <c r="H440" s="21"/>
      <c r="I440" s="50"/>
      <c r="J440" s="21"/>
      <c r="K440" s="21"/>
      <c r="L440" s="50"/>
      <c r="M440" s="51"/>
      <c r="N440" s="21"/>
      <c r="O440" s="50"/>
      <c r="P440" s="21"/>
      <c r="Q440" s="50"/>
      <c r="R440" s="21"/>
      <c r="S440" s="21"/>
      <c r="T440" s="50"/>
      <c r="U440" s="51">
        <f t="shared" si="62"/>
        <v>0</v>
      </c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>
        <v>37880060</v>
      </c>
      <c r="AZ440" s="51"/>
      <c r="BA440" s="51">
        <f>VLOOKUP(B440,[1]Hoja3!J$3:K$674,2,0)</f>
        <v>94236391</v>
      </c>
      <c r="BB440" s="51"/>
      <c r="BC440" s="52">
        <f t="shared" si="65"/>
        <v>132116451</v>
      </c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>
        <v>7576012</v>
      </c>
      <c r="BO440" s="51"/>
      <c r="BP440" s="52">
        <v>139692463</v>
      </c>
      <c r="BQ440" s="52"/>
      <c r="BR440" s="52"/>
      <c r="BS440" s="52"/>
      <c r="BT440" s="52"/>
      <c r="BU440" s="52"/>
      <c r="BV440" s="52"/>
      <c r="BW440" s="52"/>
      <c r="BX440" s="52"/>
      <c r="BY440" s="52"/>
      <c r="BZ440" s="52"/>
      <c r="CA440" s="52"/>
      <c r="CB440" s="52"/>
      <c r="CC440" s="52">
        <v>7576012</v>
      </c>
      <c r="CD440" s="52"/>
      <c r="CE440" s="52"/>
      <c r="CF440" s="52"/>
      <c r="CG440" s="52">
        <f t="shared" si="66"/>
        <v>147268475</v>
      </c>
      <c r="CH440" s="52"/>
      <c r="CI440" s="52"/>
      <c r="CJ440" s="52"/>
      <c r="CK440" s="52"/>
      <c r="CL440" s="52"/>
      <c r="CM440" s="52"/>
      <c r="CN440" s="52"/>
      <c r="CO440" s="52"/>
      <c r="CP440" s="52"/>
      <c r="CQ440" s="52">
        <v>7576012</v>
      </c>
      <c r="CR440" s="52"/>
      <c r="CS440" s="52">
        <f t="shared" si="63"/>
        <v>154844487</v>
      </c>
      <c r="CT440" s="53">
        <v>60608096</v>
      </c>
      <c r="CU440" s="53">
        <f t="shared" si="64"/>
        <v>94236391</v>
      </c>
      <c r="CV440" s="54">
        <f t="shared" si="67"/>
        <v>154844487</v>
      </c>
      <c r="CW440" s="55">
        <f t="shared" si="68"/>
        <v>0</v>
      </c>
      <c r="CX440" s="16"/>
      <c r="CY440" s="16"/>
      <c r="CZ440" s="16"/>
    </row>
    <row r="441" spans="1:108" ht="15" customHeight="1" x14ac:dyDescent="0.2">
      <c r="A441" s="1">
        <v>8000112719</v>
      </c>
      <c r="B441" s="1">
        <v>800011271</v>
      </c>
      <c r="C441" s="9">
        <v>212425324</v>
      </c>
      <c r="D441" s="10" t="s">
        <v>497</v>
      </c>
      <c r="E441" s="42" t="s">
        <v>1524</v>
      </c>
      <c r="F441" s="21"/>
      <c r="G441" s="50"/>
      <c r="H441" s="21"/>
      <c r="I441" s="50"/>
      <c r="J441" s="21"/>
      <c r="K441" s="21"/>
      <c r="L441" s="50"/>
      <c r="M441" s="51"/>
      <c r="N441" s="21"/>
      <c r="O441" s="50"/>
      <c r="P441" s="21"/>
      <c r="Q441" s="50"/>
      <c r="R441" s="21"/>
      <c r="S441" s="21"/>
      <c r="T441" s="50"/>
      <c r="U441" s="51">
        <f t="shared" si="62"/>
        <v>0</v>
      </c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>
        <v>35723562</v>
      </c>
      <c r="AN441" s="51">
        <f>SUBTOTAL(9,AC441:AM441)</f>
        <v>35723562</v>
      </c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>
        <v>22988030</v>
      </c>
      <c r="AZ441" s="51"/>
      <c r="BA441" s="51"/>
      <c r="BB441" s="51"/>
      <c r="BC441" s="52">
        <f t="shared" si="65"/>
        <v>58711592</v>
      </c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>
        <v>4597606</v>
      </c>
      <c r="BO441" s="51"/>
      <c r="BP441" s="52">
        <v>63309198</v>
      </c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>
        <v>4597606</v>
      </c>
      <c r="CD441" s="52"/>
      <c r="CE441" s="52"/>
      <c r="CF441" s="52"/>
      <c r="CG441" s="52">
        <f t="shared" si="66"/>
        <v>67906804</v>
      </c>
      <c r="CH441" s="52"/>
      <c r="CI441" s="52"/>
      <c r="CJ441" s="52"/>
      <c r="CK441" s="52"/>
      <c r="CL441" s="52"/>
      <c r="CM441" s="52"/>
      <c r="CN441" s="52"/>
      <c r="CO441" s="52"/>
      <c r="CP441" s="52"/>
      <c r="CQ441" s="52">
        <v>4597606</v>
      </c>
      <c r="CR441" s="52"/>
      <c r="CS441" s="52">
        <f t="shared" si="63"/>
        <v>72504410</v>
      </c>
      <c r="CT441" s="53">
        <v>36780848</v>
      </c>
      <c r="CU441" s="53">
        <f t="shared" si="64"/>
        <v>35723562</v>
      </c>
      <c r="CV441" s="54">
        <f t="shared" si="67"/>
        <v>72504410</v>
      </c>
      <c r="CW441" s="55">
        <f t="shared" si="68"/>
        <v>0</v>
      </c>
      <c r="CX441" s="16"/>
      <c r="CY441" s="16"/>
      <c r="CZ441" s="16"/>
    </row>
    <row r="442" spans="1:108" ht="15" customHeight="1" x14ac:dyDescent="0.2">
      <c r="A442" s="1">
        <v>8999993953</v>
      </c>
      <c r="B442" s="1">
        <v>899999395</v>
      </c>
      <c r="C442" s="9">
        <v>212625326</v>
      </c>
      <c r="D442" s="10" t="s">
        <v>498</v>
      </c>
      <c r="E442" s="42" t="s">
        <v>1525</v>
      </c>
      <c r="F442" s="21"/>
      <c r="G442" s="50"/>
      <c r="H442" s="21"/>
      <c r="I442" s="50"/>
      <c r="J442" s="21"/>
      <c r="K442" s="21"/>
      <c r="L442" s="50"/>
      <c r="M442" s="51"/>
      <c r="N442" s="21"/>
      <c r="O442" s="50"/>
      <c r="P442" s="21"/>
      <c r="Q442" s="50"/>
      <c r="R442" s="21"/>
      <c r="S442" s="21"/>
      <c r="T442" s="50"/>
      <c r="U442" s="51">
        <f t="shared" si="62"/>
        <v>0</v>
      </c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>
        <v>92814492</v>
      </c>
      <c r="AN442" s="51">
        <f>SUBTOTAL(9,AC442:AM442)</f>
        <v>92814492</v>
      </c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2">
        <f t="shared" si="65"/>
        <v>92814492</v>
      </c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>
        <v>0</v>
      </c>
      <c r="BO442" s="51"/>
      <c r="BP442" s="52">
        <v>92814492</v>
      </c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  <c r="CA442" s="52"/>
      <c r="CB442" s="52"/>
      <c r="CC442" s="52">
        <v>0</v>
      </c>
      <c r="CD442" s="52"/>
      <c r="CE442" s="52"/>
      <c r="CF442" s="52"/>
      <c r="CG442" s="52">
        <f t="shared" si="66"/>
        <v>92814492</v>
      </c>
      <c r="CH442" s="52"/>
      <c r="CI442" s="52"/>
      <c r="CJ442" s="52"/>
      <c r="CK442" s="52"/>
      <c r="CL442" s="52"/>
      <c r="CM442" s="52"/>
      <c r="CN442" s="52"/>
      <c r="CO442" s="52"/>
      <c r="CP442" s="52"/>
      <c r="CQ442" s="52">
        <v>0</v>
      </c>
      <c r="CR442" s="52"/>
      <c r="CS442" s="52">
        <f t="shared" si="63"/>
        <v>92814492</v>
      </c>
      <c r="CT442" s="53"/>
      <c r="CU442" s="53">
        <f t="shared" si="64"/>
        <v>92814492</v>
      </c>
      <c r="CV442" s="54">
        <f t="shared" si="67"/>
        <v>92814492</v>
      </c>
      <c r="CW442" s="55">
        <f t="shared" si="68"/>
        <v>0</v>
      </c>
      <c r="CX442" s="16"/>
      <c r="CY442" s="16"/>
      <c r="CZ442" s="16"/>
    </row>
    <row r="443" spans="1:108" ht="15" customHeight="1" x14ac:dyDescent="0.2">
      <c r="A443" s="1">
        <v>8000136839</v>
      </c>
      <c r="B443" s="1">
        <v>800013683</v>
      </c>
      <c r="C443" s="9">
        <v>212215322</v>
      </c>
      <c r="D443" s="10" t="s">
        <v>255</v>
      </c>
      <c r="E443" s="42" t="s">
        <v>1290</v>
      </c>
      <c r="F443" s="21"/>
      <c r="G443" s="50"/>
      <c r="H443" s="21"/>
      <c r="I443" s="50"/>
      <c r="J443" s="21"/>
      <c r="K443" s="21"/>
      <c r="L443" s="50"/>
      <c r="M443" s="51"/>
      <c r="N443" s="21"/>
      <c r="O443" s="50"/>
      <c r="P443" s="21"/>
      <c r="Q443" s="50"/>
      <c r="R443" s="21"/>
      <c r="S443" s="21"/>
      <c r="T443" s="50"/>
      <c r="U443" s="51">
        <f t="shared" si="62"/>
        <v>0</v>
      </c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>
        <v>70370145</v>
      </c>
      <c r="AZ443" s="51"/>
      <c r="BA443" s="51">
        <f>VLOOKUP(B443,[1]Hoja3!J$3:K$674,2,0)</f>
        <v>151290788</v>
      </c>
      <c r="BB443" s="51"/>
      <c r="BC443" s="52">
        <f t="shared" si="65"/>
        <v>221660933</v>
      </c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>
        <v>14074029</v>
      </c>
      <c r="BO443" s="51"/>
      <c r="BP443" s="52">
        <v>235734962</v>
      </c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>
        <v>14074029</v>
      </c>
      <c r="CD443" s="52"/>
      <c r="CE443" s="52"/>
      <c r="CF443" s="52"/>
      <c r="CG443" s="52">
        <f t="shared" si="66"/>
        <v>249808991</v>
      </c>
      <c r="CH443" s="52"/>
      <c r="CI443" s="52"/>
      <c r="CJ443" s="52"/>
      <c r="CK443" s="52"/>
      <c r="CL443" s="52"/>
      <c r="CM443" s="52"/>
      <c r="CN443" s="52"/>
      <c r="CO443" s="52"/>
      <c r="CP443" s="52"/>
      <c r="CQ443" s="52">
        <v>14074029</v>
      </c>
      <c r="CR443" s="52"/>
      <c r="CS443" s="52">
        <f t="shared" si="63"/>
        <v>263883020</v>
      </c>
      <c r="CT443" s="53">
        <v>112592232</v>
      </c>
      <c r="CU443" s="53">
        <f t="shared" si="64"/>
        <v>151290788</v>
      </c>
      <c r="CV443" s="54">
        <f t="shared" si="67"/>
        <v>263883020</v>
      </c>
      <c r="CW443" s="55">
        <f t="shared" si="68"/>
        <v>0</v>
      </c>
      <c r="CX443" s="16"/>
      <c r="CY443" s="8"/>
      <c r="CZ443" s="8"/>
      <c r="DA443" s="8"/>
      <c r="DB443" s="8"/>
      <c r="DC443" s="8"/>
      <c r="DD443" s="8"/>
    </row>
    <row r="444" spans="1:108" ht="15" customHeight="1" x14ac:dyDescent="0.2">
      <c r="A444" s="1">
        <v>8914800255</v>
      </c>
      <c r="B444" s="1">
        <v>891480025</v>
      </c>
      <c r="C444" s="9">
        <v>211866318</v>
      </c>
      <c r="D444" s="10" t="s">
        <v>803</v>
      </c>
      <c r="E444" s="42" t="s">
        <v>1820</v>
      </c>
      <c r="F444" s="21"/>
      <c r="G444" s="50"/>
      <c r="H444" s="21"/>
      <c r="I444" s="50"/>
      <c r="J444" s="21"/>
      <c r="K444" s="21"/>
      <c r="L444" s="50"/>
      <c r="M444" s="51"/>
      <c r="N444" s="21"/>
      <c r="O444" s="50"/>
      <c r="P444" s="21"/>
      <c r="Q444" s="50"/>
      <c r="R444" s="21"/>
      <c r="S444" s="21"/>
      <c r="T444" s="50"/>
      <c r="U444" s="51">
        <f t="shared" si="62"/>
        <v>0</v>
      </c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>
        <v>140745832</v>
      </c>
      <c r="AN444" s="51">
        <f>SUBTOTAL(9,AC444:AM444)</f>
        <v>140745832</v>
      </c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>
        <v>87168945</v>
      </c>
      <c r="AZ444" s="51"/>
      <c r="BA444" s="51">
        <f>VLOOKUP(B444,[1]Hoja3!J$3:K$674,2,0)</f>
        <v>52665492</v>
      </c>
      <c r="BB444" s="51"/>
      <c r="BC444" s="52">
        <f t="shared" si="65"/>
        <v>280580269</v>
      </c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>
        <v>17433789</v>
      </c>
      <c r="BO444" s="51"/>
      <c r="BP444" s="52">
        <v>298014058</v>
      </c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  <c r="CA444" s="52"/>
      <c r="CB444" s="52"/>
      <c r="CC444" s="52">
        <v>17433789</v>
      </c>
      <c r="CD444" s="52"/>
      <c r="CE444" s="52"/>
      <c r="CF444" s="52"/>
      <c r="CG444" s="52">
        <f t="shared" si="66"/>
        <v>315447847</v>
      </c>
      <c r="CH444" s="52"/>
      <c r="CI444" s="52"/>
      <c r="CJ444" s="52"/>
      <c r="CK444" s="52"/>
      <c r="CL444" s="52"/>
      <c r="CM444" s="52"/>
      <c r="CN444" s="52"/>
      <c r="CO444" s="52"/>
      <c r="CP444" s="52"/>
      <c r="CQ444" s="52">
        <v>17433789</v>
      </c>
      <c r="CR444" s="52"/>
      <c r="CS444" s="52">
        <f t="shared" si="63"/>
        <v>332881636</v>
      </c>
      <c r="CT444" s="53">
        <v>139470312</v>
      </c>
      <c r="CU444" s="53">
        <f t="shared" si="64"/>
        <v>193411324</v>
      </c>
      <c r="CV444" s="54">
        <f t="shared" si="67"/>
        <v>332881636</v>
      </c>
      <c r="CW444" s="55">
        <f t="shared" si="68"/>
        <v>0</v>
      </c>
      <c r="CX444" s="16"/>
      <c r="CY444" s="16"/>
      <c r="CZ444" s="16"/>
    </row>
    <row r="445" spans="1:108" ht="15" customHeight="1" x14ac:dyDescent="0.2">
      <c r="A445" s="1">
        <v>8902109455</v>
      </c>
      <c r="B445" s="1">
        <v>890210945</v>
      </c>
      <c r="C445" s="9">
        <v>212468324</v>
      </c>
      <c r="D445" s="10" t="s">
        <v>845</v>
      </c>
      <c r="E445" s="42" t="s">
        <v>1860</v>
      </c>
      <c r="F445" s="21"/>
      <c r="G445" s="50"/>
      <c r="H445" s="21"/>
      <c r="I445" s="50"/>
      <c r="J445" s="21"/>
      <c r="K445" s="21"/>
      <c r="L445" s="50"/>
      <c r="M445" s="51"/>
      <c r="N445" s="21"/>
      <c r="O445" s="50"/>
      <c r="P445" s="21"/>
      <c r="Q445" s="50"/>
      <c r="R445" s="21"/>
      <c r="S445" s="21"/>
      <c r="T445" s="50"/>
      <c r="U445" s="51">
        <f t="shared" si="62"/>
        <v>0</v>
      </c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>
        <v>24265970</v>
      </c>
      <c r="AZ445" s="51"/>
      <c r="BA445" s="51">
        <f>VLOOKUP(B445,[1]Hoja3!J$3:K$674,2,0)</f>
        <v>42845446</v>
      </c>
      <c r="BB445" s="51"/>
      <c r="BC445" s="52">
        <f t="shared" si="65"/>
        <v>67111416</v>
      </c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>
        <v>4853194</v>
      </c>
      <c r="BO445" s="51"/>
      <c r="BP445" s="52">
        <v>71964610</v>
      </c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>
        <v>4853194</v>
      </c>
      <c r="CD445" s="52"/>
      <c r="CE445" s="52"/>
      <c r="CF445" s="52"/>
      <c r="CG445" s="52">
        <f t="shared" si="66"/>
        <v>76817804</v>
      </c>
      <c r="CH445" s="52"/>
      <c r="CI445" s="52"/>
      <c r="CJ445" s="52"/>
      <c r="CK445" s="52"/>
      <c r="CL445" s="52"/>
      <c r="CM445" s="52"/>
      <c r="CN445" s="52"/>
      <c r="CO445" s="52"/>
      <c r="CP445" s="52"/>
      <c r="CQ445" s="52">
        <v>4853194</v>
      </c>
      <c r="CR445" s="52"/>
      <c r="CS445" s="52">
        <f t="shared" si="63"/>
        <v>81670998</v>
      </c>
      <c r="CT445" s="53">
        <v>38825552</v>
      </c>
      <c r="CU445" s="53">
        <f t="shared" si="64"/>
        <v>42845446</v>
      </c>
      <c r="CV445" s="54">
        <f t="shared" si="67"/>
        <v>81670998</v>
      </c>
      <c r="CW445" s="55">
        <f t="shared" si="68"/>
        <v>0</v>
      </c>
      <c r="CX445" s="16"/>
      <c r="CY445" s="16"/>
      <c r="CZ445" s="16"/>
    </row>
    <row r="446" spans="1:108" ht="15" customHeight="1" x14ac:dyDescent="0.2">
      <c r="A446" s="1">
        <v>8000946851</v>
      </c>
      <c r="B446" s="1">
        <v>800094685</v>
      </c>
      <c r="C446" s="9">
        <v>212825328</v>
      </c>
      <c r="D446" s="10" t="s">
        <v>499</v>
      </c>
      <c r="E446" s="42" t="s">
        <v>1526</v>
      </c>
      <c r="F446" s="21"/>
      <c r="G446" s="50"/>
      <c r="H446" s="21"/>
      <c r="I446" s="50"/>
      <c r="J446" s="21"/>
      <c r="K446" s="21"/>
      <c r="L446" s="50"/>
      <c r="M446" s="51"/>
      <c r="N446" s="21"/>
      <c r="O446" s="50"/>
      <c r="P446" s="21"/>
      <c r="Q446" s="50"/>
      <c r="R446" s="21"/>
      <c r="S446" s="21"/>
      <c r="T446" s="50"/>
      <c r="U446" s="51">
        <f t="shared" si="62"/>
        <v>0</v>
      </c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>
        <v>56055657</v>
      </c>
      <c r="AN446" s="51">
        <f>SUBTOTAL(9,AC446:AM446)</f>
        <v>56055657</v>
      </c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2">
        <f t="shared" si="65"/>
        <v>56055657</v>
      </c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>
        <v>0</v>
      </c>
      <c r="BO446" s="51"/>
      <c r="BP446" s="52">
        <v>56055657</v>
      </c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  <c r="CA446" s="52"/>
      <c r="CB446" s="52"/>
      <c r="CC446" s="52">
        <v>0</v>
      </c>
      <c r="CD446" s="52"/>
      <c r="CE446" s="52"/>
      <c r="CF446" s="52"/>
      <c r="CG446" s="52">
        <f t="shared" si="66"/>
        <v>56055657</v>
      </c>
      <c r="CH446" s="52"/>
      <c r="CI446" s="52"/>
      <c r="CJ446" s="52"/>
      <c r="CK446" s="52"/>
      <c r="CL446" s="52"/>
      <c r="CM446" s="52"/>
      <c r="CN446" s="52"/>
      <c r="CO446" s="52"/>
      <c r="CP446" s="52"/>
      <c r="CQ446" s="52">
        <v>0</v>
      </c>
      <c r="CR446" s="52"/>
      <c r="CS446" s="52">
        <f t="shared" si="63"/>
        <v>56055657</v>
      </c>
      <c r="CT446" s="53"/>
      <c r="CU446" s="53">
        <f t="shared" si="64"/>
        <v>56055657</v>
      </c>
      <c r="CV446" s="54">
        <f t="shared" si="67"/>
        <v>56055657</v>
      </c>
      <c r="CW446" s="55">
        <f t="shared" si="68"/>
        <v>0</v>
      </c>
      <c r="CX446" s="16"/>
      <c r="CY446" s="16"/>
      <c r="CZ446" s="16"/>
    </row>
    <row r="447" spans="1:108" ht="15" customHeight="1" x14ac:dyDescent="0.2">
      <c r="A447" s="1">
        <v>8907009820</v>
      </c>
      <c r="B447" s="1">
        <v>890700982</v>
      </c>
      <c r="C447" s="9">
        <v>215573055</v>
      </c>
      <c r="D447" s="10" t="s">
        <v>2220</v>
      </c>
      <c r="E447" s="42" t="s">
        <v>1932</v>
      </c>
      <c r="F447" s="21"/>
      <c r="G447" s="50"/>
      <c r="H447" s="21"/>
      <c r="I447" s="50"/>
      <c r="J447" s="21"/>
      <c r="K447" s="21"/>
      <c r="L447" s="50"/>
      <c r="M447" s="51"/>
      <c r="N447" s="21"/>
      <c r="O447" s="50"/>
      <c r="P447" s="21"/>
      <c r="Q447" s="50"/>
      <c r="R447" s="21"/>
      <c r="S447" s="21"/>
      <c r="T447" s="50"/>
      <c r="U447" s="51">
        <f t="shared" si="62"/>
        <v>0</v>
      </c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>
        <v>95809970</v>
      </c>
      <c r="AZ447" s="51"/>
      <c r="BA447" s="51">
        <f>VLOOKUP(B447,[1]Hoja3!J$3:K$674,2,0)</f>
        <v>177721282</v>
      </c>
      <c r="BB447" s="51"/>
      <c r="BC447" s="52">
        <f t="shared" si="65"/>
        <v>273531252</v>
      </c>
      <c r="BD447" s="51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>
        <v>19161994</v>
      </c>
      <c r="BO447" s="51"/>
      <c r="BP447" s="52">
        <v>292693246</v>
      </c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>
        <v>19161994</v>
      </c>
      <c r="CD447" s="52"/>
      <c r="CE447" s="52"/>
      <c r="CF447" s="52"/>
      <c r="CG447" s="52">
        <f t="shared" si="66"/>
        <v>311855240</v>
      </c>
      <c r="CH447" s="52"/>
      <c r="CI447" s="52"/>
      <c r="CJ447" s="52"/>
      <c r="CK447" s="52"/>
      <c r="CL447" s="52"/>
      <c r="CM447" s="52"/>
      <c r="CN447" s="52"/>
      <c r="CO447" s="52"/>
      <c r="CP447" s="52"/>
      <c r="CQ447" s="52">
        <v>19161994</v>
      </c>
      <c r="CR447" s="52"/>
      <c r="CS447" s="52">
        <f t="shared" si="63"/>
        <v>331017234</v>
      </c>
      <c r="CT447" s="53">
        <v>153295952</v>
      </c>
      <c r="CU447" s="53">
        <f t="shared" si="64"/>
        <v>177721282</v>
      </c>
      <c r="CV447" s="54">
        <f t="shared" si="67"/>
        <v>331017234</v>
      </c>
      <c r="CW447" s="55">
        <f t="shared" si="68"/>
        <v>0</v>
      </c>
      <c r="CX447" s="16"/>
      <c r="CY447" s="16"/>
      <c r="CZ447" s="16"/>
    </row>
    <row r="448" spans="1:108" ht="15" customHeight="1" x14ac:dyDescent="0.2">
      <c r="A448" s="1">
        <v>8000947011</v>
      </c>
      <c r="B448" s="1">
        <v>800094701</v>
      </c>
      <c r="C448" s="9">
        <v>213525335</v>
      </c>
      <c r="D448" s="10" t="s">
        <v>500</v>
      </c>
      <c r="E448" s="42" t="s">
        <v>1527</v>
      </c>
      <c r="F448" s="21"/>
      <c r="G448" s="50"/>
      <c r="H448" s="21"/>
      <c r="I448" s="50"/>
      <c r="J448" s="21"/>
      <c r="K448" s="21"/>
      <c r="L448" s="50"/>
      <c r="M448" s="51"/>
      <c r="N448" s="21"/>
      <c r="O448" s="50"/>
      <c r="P448" s="21"/>
      <c r="Q448" s="50"/>
      <c r="R448" s="21"/>
      <c r="S448" s="21"/>
      <c r="T448" s="50"/>
      <c r="U448" s="51">
        <f t="shared" si="62"/>
        <v>0</v>
      </c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>
        <v>108205664</v>
      </c>
      <c r="AN448" s="51">
        <f>SUBTOTAL(9,AC448:AM448)</f>
        <v>108205664</v>
      </c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>
        <v>37190650</v>
      </c>
      <c r="AZ448" s="51"/>
      <c r="BA448" s="51"/>
      <c r="BB448" s="51"/>
      <c r="BC448" s="52">
        <f t="shared" si="65"/>
        <v>145396314</v>
      </c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>
        <v>7438130</v>
      </c>
      <c r="BO448" s="51"/>
      <c r="BP448" s="52">
        <v>152834444</v>
      </c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  <c r="CC448" s="52">
        <v>7438130</v>
      </c>
      <c r="CD448" s="52"/>
      <c r="CE448" s="52"/>
      <c r="CF448" s="52"/>
      <c r="CG448" s="52">
        <f t="shared" si="66"/>
        <v>160272574</v>
      </c>
      <c r="CH448" s="52"/>
      <c r="CI448" s="52"/>
      <c r="CJ448" s="52"/>
      <c r="CK448" s="52"/>
      <c r="CL448" s="52"/>
      <c r="CM448" s="52"/>
      <c r="CN448" s="52"/>
      <c r="CO448" s="52"/>
      <c r="CP448" s="52"/>
      <c r="CQ448" s="52">
        <v>7438130</v>
      </c>
      <c r="CR448" s="52"/>
      <c r="CS448" s="52">
        <f t="shared" si="63"/>
        <v>167710704</v>
      </c>
      <c r="CT448" s="53">
        <v>59505040</v>
      </c>
      <c r="CU448" s="53">
        <f t="shared" si="64"/>
        <v>108205664</v>
      </c>
      <c r="CV448" s="54">
        <f t="shared" si="67"/>
        <v>167710704</v>
      </c>
      <c r="CW448" s="55">
        <f t="shared" si="68"/>
        <v>0</v>
      </c>
      <c r="CX448" s="16"/>
      <c r="CY448" s="16"/>
      <c r="CZ448" s="16"/>
    </row>
    <row r="449" spans="1:108" ht="15" customHeight="1" x14ac:dyDescent="0.2">
      <c r="A449" s="1">
        <v>8918008968</v>
      </c>
      <c r="B449" s="1">
        <v>891800896</v>
      </c>
      <c r="C449" s="9">
        <v>212515325</v>
      </c>
      <c r="D449" s="10" t="s">
        <v>256</v>
      </c>
      <c r="E449" s="42" t="s">
        <v>1291</v>
      </c>
      <c r="F449" s="21"/>
      <c r="G449" s="50"/>
      <c r="H449" s="21"/>
      <c r="I449" s="50"/>
      <c r="J449" s="21"/>
      <c r="K449" s="21"/>
      <c r="L449" s="50"/>
      <c r="M449" s="51"/>
      <c r="N449" s="21"/>
      <c r="O449" s="50"/>
      <c r="P449" s="21"/>
      <c r="Q449" s="50"/>
      <c r="R449" s="21"/>
      <c r="S449" s="21"/>
      <c r="T449" s="50"/>
      <c r="U449" s="51">
        <f t="shared" si="62"/>
        <v>0</v>
      </c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>
        <v>24410300</v>
      </c>
      <c r="AZ449" s="51"/>
      <c r="BA449" s="51">
        <f>VLOOKUP(B449,[1]Hoja3!J$3:K$674,2,0)</f>
        <v>43304262</v>
      </c>
      <c r="BB449" s="51"/>
      <c r="BC449" s="52">
        <f t="shared" si="65"/>
        <v>67714562</v>
      </c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>
        <v>4882060</v>
      </c>
      <c r="BO449" s="51"/>
      <c r="BP449" s="52">
        <v>72596622</v>
      </c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>
        <v>4882060</v>
      </c>
      <c r="CD449" s="52"/>
      <c r="CE449" s="52"/>
      <c r="CF449" s="52"/>
      <c r="CG449" s="52">
        <f t="shared" si="66"/>
        <v>77478682</v>
      </c>
      <c r="CH449" s="52"/>
      <c r="CI449" s="52"/>
      <c r="CJ449" s="52"/>
      <c r="CK449" s="52"/>
      <c r="CL449" s="52"/>
      <c r="CM449" s="52"/>
      <c r="CN449" s="52"/>
      <c r="CO449" s="52"/>
      <c r="CP449" s="52"/>
      <c r="CQ449" s="52">
        <v>4882060</v>
      </c>
      <c r="CR449" s="52"/>
      <c r="CS449" s="52">
        <f t="shared" si="63"/>
        <v>82360742</v>
      </c>
      <c r="CT449" s="53">
        <v>39056480</v>
      </c>
      <c r="CU449" s="53">
        <f t="shared" si="64"/>
        <v>43304262</v>
      </c>
      <c r="CV449" s="54">
        <f t="shared" si="67"/>
        <v>82360742</v>
      </c>
      <c r="CW449" s="55">
        <f t="shared" si="68"/>
        <v>0</v>
      </c>
      <c r="CX449" s="16"/>
      <c r="CY449" s="8"/>
      <c r="CZ449" s="8"/>
      <c r="DA449" s="8"/>
      <c r="DB449" s="8"/>
      <c r="DC449" s="8"/>
      <c r="DD449" s="8"/>
    </row>
    <row r="450" spans="1:108" ht="15" customHeight="1" x14ac:dyDescent="0.2">
      <c r="A450" s="1">
        <v>8902077901</v>
      </c>
      <c r="B450" s="1">
        <v>890207790</v>
      </c>
      <c r="C450" s="9">
        <v>212768327</v>
      </c>
      <c r="D450" s="10" t="s">
        <v>846</v>
      </c>
      <c r="E450" s="42" t="s">
        <v>1861</v>
      </c>
      <c r="F450" s="21"/>
      <c r="G450" s="50"/>
      <c r="H450" s="21"/>
      <c r="I450" s="50"/>
      <c r="J450" s="21"/>
      <c r="K450" s="21"/>
      <c r="L450" s="50"/>
      <c r="M450" s="51"/>
      <c r="N450" s="21"/>
      <c r="O450" s="50"/>
      <c r="P450" s="21"/>
      <c r="Q450" s="50"/>
      <c r="R450" s="21"/>
      <c r="S450" s="21"/>
      <c r="T450" s="50"/>
      <c r="U450" s="51">
        <f t="shared" si="62"/>
        <v>0</v>
      </c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>
        <v>29152920</v>
      </c>
      <c r="AZ450" s="51"/>
      <c r="BA450" s="51">
        <f>VLOOKUP(B450,[1]Hoja3!J$3:K$674,2,0)</f>
        <v>60866335</v>
      </c>
      <c r="BB450" s="51"/>
      <c r="BC450" s="52">
        <f t="shared" si="65"/>
        <v>90019255</v>
      </c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>
        <v>5830584</v>
      </c>
      <c r="BO450" s="51"/>
      <c r="BP450" s="52">
        <v>95849839</v>
      </c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  <c r="CA450" s="52"/>
      <c r="CB450" s="52"/>
      <c r="CC450" s="52">
        <v>5830584</v>
      </c>
      <c r="CD450" s="52"/>
      <c r="CE450" s="52"/>
      <c r="CF450" s="52"/>
      <c r="CG450" s="52">
        <f t="shared" si="66"/>
        <v>101680423</v>
      </c>
      <c r="CH450" s="52"/>
      <c r="CI450" s="52"/>
      <c r="CJ450" s="52"/>
      <c r="CK450" s="52"/>
      <c r="CL450" s="52"/>
      <c r="CM450" s="52"/>
      <c r="CN450" s="52"/>
      <c r="CO450" s="52"/>
      <c r="CP450" s="52"/>
      <c r="CQ450" s="52">
        <v>5830584</v>
      </c>
      <c r="CR450" s="52"/>
      <c r="CS450" s="52">
        <f t="shared" si="63"/>
        <v>107511007</v>
      </c>
      <c r="CT450" s="53">
        <v>46644672</v>
      </c>
      <c r="CU450" s="53">
        <f t="shared" si="64"/>
        <v>60866335</v>
      </c>
      <c r="CV450" s="54">
        <f t="shared" si="67"/>
        <v>107511007</v>
      </c>
      <c r="CW450" s="55">
        <f t="shared" si="68"/>
        <v>0</v>
      </c>
      <c r="CX450" s="16"/>
      <c r="CY450" s="16"/>
      <c r="CZ450" s="16"/>
    </row>
    <row r="451" spans="1:108" ht="15" customHeight="1" x14ac:dyDescent="0.2">
      <c r="A451" s="1">
        <v>8000992029</v>
      </c>
      <c r="B451" s="1">
        <v>800099202</v>
      </c>
      <c r="C451" s="9">
        <v>213215332</v>
      </c>
      <c r="D451" s="10" t="s">
        <v>257</v>
      </c>
      <c r="E451" s="42" t="s">
        <v>1292</v>
      </c>
      <c r="F451" s="21"/>
      <c r="G451" s="50"/>
      <c r="H451" s="21"/>
      <c r="I451" s="50"/>
      <c r="J451" s="21"/>
      <c r="K451" s="21"/>
      <c r="L451" s="50"/>
      <c r="M451" s="51"/>
      <c r="N451" s="21"/>
      <c r="O451" s="50"/>
      <c r="P451" s="21"/>
      <c r="Q451" s="50"/>
      <c r="R451" s="21"/>
      <c r="S451" s="21"/>
      <c r="T451" s="50"/>
      <c r="U451" s="51">
        <f t="shared" ref="U451:U514" si="73">SUM(M451:T451)</f>
        <v>0</v>
      </c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>
        <v>36835440</v>
      </c>
      <c r="AZ451" s="51"/>
      <c r="BA451" s="51">
        <f>VLOOKUP(B451,[1]Hoja3!J$3:K$674,2,0)</f>
        <v>52912807</v>
      </c>
      <c r="BB451" s="51"/>
      <c r="BC451" s="52">
        <f t="shared" si="65"/>
        <v>89748247</v>
      </c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>
        <v>7367088</v>
      </c>
      <c r="BO451" s="51"/>
      <c r="BP451" s="52">
        <v>97115335</v>
      </c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>
        <v>7367088</v>
      </c>
      <c r="CD451" s="52"/>
      <c r="CE451" s="52"/>
      <c r="CF451" s="52"/>
      <c r="CG451" s="52">
        <f t="shared" si="66"/>
        <v>104482423</v>
      </c>
      <c r="CH451" s="52"/>
      <c r="CI451" s="52"/>
      <c r="CJ451" s="52"/>
      <c r="CK451" s="52"/>
      <c r="CL451" s="52"/>
      <c r="CM451" s="52"/>
      <c r="CN451" s="52"/>
      <c r="CO451" s="52"/>
      <c r="CP451" s="52"/>
      <c r="CQ451" s="52">
        <v>7367088</v>
      </c>
      <c r="CR451" s="52"/>
      <c r="CS451" s="52">
        <f t="shared" ref="CS451:CS514" si="74">SUM(CG451:CR451)</f>
        <v>111849511</v>
      </c>
      <c r="CT451" s="53">
        <v>58936704</v>
      </c>
      <c r="CU451" s="53">
        <f t="shared" ref="CU451:CU514" si="75">+AM451+BA451-BB451+BO451+CE451+CF451+CR451</f>
        <v>52912807</v>
      </c>
      <c r="CV451" s="54">
        <f t="shared" si="67"/>
        <v>111849511</v>
      </c>
      <c r="CW451" s="55">
        <f t="shared" si="68"/>
        <v>0</v>
      </c>
      <c r="CX451" s="16"/>
      <c r="CY451" s="8"/>
      <c r="CZ451" s="8"/>
      <c r="DA451" s="8"/>
      <c r="DB451" s="8"/>
      <c r="DC451" s="8"/>
      <c r="DD451" s="8"/>
    </row>
    <row r="452" spans="1:108" ht="15" customHeight="1" x14ac:dyDescent="0.2">
      <c r="A452" s="1">
        <v>8000947041</v>
      </c>
      <c r="B452" s="1">
        <v>800094704</v>
      </c>
      <c r="C452" s="9">
        <v>213925339</v>
      </c>
      <c r="D452" s="10" t="s">
        <v>501</v>
      </c>
      <c r="E452" s="42" t="s">
        <v>1528</v>
      </c>
      <c r="F452" s="21"/>
      <c r="G452" s="50"/>
      <c r="H452" s="21"/>
      <c r="I452" s="50"/>
      <c r="J452" s="21"/>
      <c r="K452" s="21"/>
      <c r="L452" s="50"/>
      <c r="M452" s="51"/>
      <c r="N452" s="21"/>
      <c r="O452" s="50"/>
      <c r="P452" s="21"/>
      <c r="Q452" s="50"/>
      <c r="R452" s="21"/>
      <c r="S452" s="21"/>
      <c r="T452" s="50"/>
      <c r="U452" s="51">
        <f t="shared" si="73"/>
        <v>0</v>
      </c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>
        <v>50323292</v>
      </c>
      <c r="AN452" s="51">
        <f>SUBTOTAL(9,AC452:AM452)</f>
        <v>50323292</v>
      </c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>
        <v>29918155</v>
      </c>
      <c r="AZ452" s="51"/>
      <c r="BA452" s="51"/>
      <c r="BB452" s="51"/>
      <c r="BC452" s="52">
        <f t="shared" ref="BC452:BC515" si="76">SUM(AN452:BA452)-BB452</f>
        <v>80241447</v>
      </c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>
        <v>5983631</v>
      </c>
      <c r="BO452" s="51"/>
      <c r="BP452" s="52">
        <v>86225078</v>
      </c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  <c r="CA452" s="52"/>
      <c r="CB452" s="52"/>
      <c r="CC452" s="52">
        <v>5983631</v>
      </c>
      <c r="CD452" s="52"/>
      <c r="CE452" s="52"/>
      <c r="CF452" s="52"/>
      <c r="CG452" s="52">
        <f t="shared" ref="CG452:CG515" si="77">SUM(BP452:CF452)</f>
        <v>92208709</v>
      </c>
      <c r="CH452" s="52"/>
      <c r="CI452" s="52"/>
      <c r="CJ452" s="52"/>
      <c r="CK452" s="52"/>
      <c r="CL452" s="52"/>
      <c r="CM452" s="52"/>
      <c r="CN452" s="52"/>
      <c r="CO452" s="52"/>
      <c r="CP452" s="52"/>
      <c r="CQ452" s="52">
        <v>5983631</v>
      </c>
      <c r="CR452" s="52"/>
      <c r="CS452" s="52">
        <f t="shared" si="74"/>
        <v>98192340</v>
      </c>
      <c r="CT452" s="53">
        <v>47869048</v>
      </c>
      <c r="CU452" s="53">
        <f t="shared" si="75"/>
        <v>50323292</v>
      </c>
      <c r="CV452" s="54">
        <f t="shared" ref="CV452:CV515" si="78">+CT452+CU452</f>
        <v>98192340</v>
      </c>
      <c r="CW452" s="55">
        <f t="shared" ref="CW452:CW515" si="79">+CS452-CV452</f>
        <v>0</v>
      </c>
      <c r="CX452" s="16"/>
      <c r="CY452" s="16"/>
      <c r="CZ452" s="16"/>
    </row>
    <row r="453" spans="1:108" ht="15" customHeight="1" x14ac:dyDescent="0.2">
      <c r="A453" s="1">
        <v>8000992416</v>
      </c>
      <c r="B453" s="1">
        <v>800099241</v>
      </c>
      <c r="C453" s="9">
        <v>214454344</v>
      </c>
      <c r="D453" s="10" t="s">
        <v>766</v>
      </c>
      <c r="E453" s="42" t="s">
        <v>1784</v>
      </c>
      <c r="F453" s="21"/>
      <c r="G453" s="50"/>
      <c r="H453" s="21"/>
      <c r="I453" s="50"/>
      <c r="J453" s="21"/>
      <c r="K453" s="21"/>
      <c r="L453" s="50"/>
      <c r="M453" s="51"/>
      <c r="N453" s="21"/>
      <c r="O453" s="50"/>
      <c r="P453" s="21"/>
      <c r="Q453" s="50"/>
      <c r="R453" s="21"/>
      <c r="S453" s="21"/>
      <c r="T453" s="50"/>
      <c r="U453" s="51">
        <f t="shared" si="73"/>
        <v>0</v>
      </c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>
        <v>50628186</v>
      </c>
      <c r="AN453" s="51">
        <f>SUBTOTAL(9,AC453:AM453)</f>
        <v>50628186</v>
      </c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>
        <v>136689600</v>
      </c>
      <c r="AZ453" s="51"/>
      <c r="BA453" s="51"/>
      <c r="BB453" s="51"/>
      <c r="BC453" s="52">
        <f t="shared" si="76"/>
        <v>187317786</v>
      </c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>
        <v>27337920</v>
      </c>
      <c r="BO453" s="51"/>
      <c r="BP453" s="52">
        <v>214655706</v>
      </c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>
        <v>27337920</v>
      </c>
      <c r="CD453" s="52"/>
      <c r="CE453" s="52"/>
      <c r="CF453" s="52"/>
      <c r="CG453" s="52">
        <f t="shared" si="77"/>
        <v>241993626</v>
      </c>
      <c r="CH453" s="52"/>
      <c r="CI453" s="52"/>
      <c r="CJ453" s="52"/>
      <c r="CK453" s="52"/>
      <c r="CL453" s="52"/>
      <c r="CM453" s="52"/>
      <c r="CN453" s="52"/>
      <c r="CO453" s="52"/>
      <c r="CP453" s="52"/>
      <c r="CQ453" s="52">
        <v>27337920</v>
      </c>
      <c r="CR453" s="52"/>
      <c r="CS453" s="52">
        <f t="shared" si="74"/>
        <v>269331546</v>
      </c>
      <c r="CT453" s="53">
        <v>218703360</v>
      </c>
      <c r="CU453" s="53">
        <f t="shared" si="75"/>
        <v>50628186</v>
      </c>
      <c r="CV453" s="54">
        <f t="shared" si="78"/>
        <v>269331546</v>
      </c>
      <c r="CW453" s="55">
        <f t="shared" si="79"/>
        <v>0</v>
      </c>
      <c r="CX453" s="16"/>
      <c r="CY453" s="16"/>
      <c r="CZ453" s="16"/>
    </row>
    <row r="454" spans="1:108" ht="15" customHeight="1" x14ac:dyDescent="0.2">
      <c r="A454" s="1">
        <v>8002552146</v>
      </c>
      <c r="B454" s="1">
        <v>800255214</v>
      </c>
      <c r="C454" s="9">
        <v>210013300</v>
      </c>
      <c r="D454" s="10" t="s">
        <v>193</v>
      </c>
      <c r="E454" s="42" t="s">
        <v>1224</v>
      </c>
      <c r="F454" s="21"/>
      <c r="G454" s="50"/>
      <c r="H454" s="21"/>
      <c r="I454" s="50"/>
      <c r="J454" s="21"/>
      <c r="K454" s="21"/>
      <c r="L454" s="50"/>
      <c r="M454" s="51"/>
      <c r="N454" s="21"/>
      <c r="O454" s="50"/>
      <c r="P454" s="21"/>
      <c r="Q454" s="50"/>
      <c r="R454" s="21"/>
      <c r="S454" s="21"/>
      <c r="T454" s="50"/>
      <c r="U454" s="51">
        <f t="shared" si="73"/>
        <v>0</v>
      </c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>
        <v>209299761</v>
      </c>
      <c r="AN454" s="51">
        <f>SUBTOTAL(9,AC454:AM454)</f>
        <v>209299761</v>
      </c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>
        <v>163528995</v>
      </c>
      <c r="AZ454" s="51"/>
      <c r="BA454" s="51">
        <f>VLOOKUP(B454,[1]Hoja3!J$3:K$674,2,0)</f>
        <v>60101071</v>
      </c>
      <c r="BB454" s="51"/>
      <c r="BC454" s="52">
        <f t="shared" si="76"/>
        <v>432929827</v>
      </c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>
        <v>32705799</v>
      </c>
      <c r="BO454" s="51"/>
      <c r="BP454" s="52">
        <v>465635626</v>
      </c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  <c r="CC454" s="52">
        <v>32705799</v>
      </c>
      <c r="CD454" s="52"/>
      <c r="CE454" s="52"/>
      <c r="CF454" s="52"/>
      <c r="CG454" s="52">
        <f t="shared" si="77"/>
        <v>498341425</v>
      </c>
      <c r="CH454" s="52"/>
      <c r="CI454" s="52"/>
      <c r="CJ454" s="52"/>
      <c r="CK454" s="52"/>
      <c r="CL454" s="52"/>
      <c r="CM454" s="52"/>
      <c r="CN454" s="52"/>
      <c r="CO454" s="52"/>
      <c r="CP454" s="52"/>
      <c r="CQ454" s="52">
        <v>32705799</v>
      </c>
      <c r="CR454" s="52"/>
      <c r="CS454" s="52">
        <f t="shared" si="74"/>
        <v>531047224</v>
      </c>
      <c r="CT454" s="53">
        <v>261646392</v>
      </c>
      <c r="CU454" s="53">
        <f t="shared" si="75"/>
        <v>269400832</v>
      </c>
      <c r="CV454" s="54">
        <f t="shared" si="78"/>
        <v>531047224</v>
      </c>
      <c r="CW454" s="55">
        <f t="shared" si="79"/>
        <v>0</v>
      </c>
      <c r="CX454" s="16"/>
      <c r="CY454" s="8"/>
      <c r="CZ454" s="8"/>
      <c r="DA454" s="8"/>
      <c r="DB454" s="8"/>
      <c r="DC454" s="8"/>
      <c r="DD454" s="8"/>
    </row>
    <row r="455" spans="1:108" ht="15" customHeight="1" x14ac:dyDescent="0.2">
      <c r="A455" s="1">
        <v>8000126382</v>
      </c>
      <c r="B455" s="1">
        <v>800012638</v>
      </c>
      <c r="C455" s="9">
        <v>212585125</v>
      </c>
      <c r="D455" s="10" t="s">
        <v>958</v>
      </c>
      <c r="E455" s="42" t="s">
        <v>2018</v>
      </c>
      <c r="F455" s="21"/>
      <c r="G455" s="50"/>
      <c r="H455" s="21"/>
      <c r="I455" s="50"/>
      <c r="J455" s="21"/>
      <c r="K455" s="21"/>
      <c r="L455" s="50"/>
      <c r="M455" s="51"/>
      <c r="N455" s="21"/>
      <c r="O455" s="50"/>
      <c r="P455" s="21"/>
      <c r="Q455" s="50"/>
      <c r="R455" s="21"/>
      <c r="S455" s="21"/>
      <c r="T455" s="50"/>
      <c r="U455" s="51">
        <f t="shared" si="73"/>
        <v>0</v>
      </c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>
        <v>245867149</v>
      </c>
      <c r="AN455" s="51">
        <f>SUBTOTAL(9,AC455:AM455)</f>
        <v>245867149</v>
      </c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>
        <v>130814150</v>
      </c>
      <c r="AZ455" s="51"/>
      <c r="BA455" s="51">
        <f>VLOOKUP(B455,[1]Hoja3!J$3:K$674,2,0)</f>
        <v>29807923</v>
      </c>
      <c r="BB455" s="51"/>
      <c r="BC455" s="52">
        <f t="shared" si="76"/>
        <v>406489222</v>
      </c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>
        <v>26162830</v>
      </c>
      <c r="BO455" s="51"/>
      <c r="BP455" s="52">
        <v>432652052</v>
      </c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>
        <v>26162830</v>
      </c>
      <c r="CD455" s="52"/>
      <c r="CE455" s="52"/>
      <c r="CF455" s="52"/>
      <c r="CG455" s="52">
        <f t="shared" si="77"/>
        <v>458814882</v>
      </c>
      <c r="CH455" s="52"/>
      <c r="CI455" s="52"/>
      <c r="CJ455" s="52"/>
      <c r="CK455" s="52"/>
      <c r="CL455" s="52"/>
      <c r="CM455" s="52"/>
      <c r="CN455" s="52"/>
      <c r="CO455" s="52"/>
      <c r="CP455" s="52"/>
      <c r="CQ455" s="52">
        <v>26162830</v>
      </c>
      <c r="CR455" s="52"/>
      <c r="CS455" s="52">
        <f t="shared" si="74"/>
        <v>484977712</v>
      </c>
      <c r="CT455" s="53">
        <v>209302640</v>
      </c>
      <c r="CU455" s="53">
        <f t="shared" si="75"/>
        <v>275675072</v>
      </c>
      <c r="CV455" s="54">
        <f t="shared" si="78"/>
        <v>484977712</v>
      </c>
      <c r="CW455" s="55">
        <f t="shared" si="79"/>
        <v>0</v>
      </c>
      <c r="CX455" s="16"/>
      <c r="CY455" s="16"/>
      <c r="CZ455" s="16"/>
    </row>
    <row r="456" spans="1:108" ht="15" customHeight="1" x14ac:dyDescent="0.2">
      <c r="A456" s="1">
        <v>8002551012</v>
      </c>
      <c r="B456" s="1">
        <v>800255101</v>
      </c>
      <c r="C456" s="9">
        <v>217844378</v>
      </c>
      <c r="D456" s="10" t="s">
        <v>636</v>
      </c>
      <c r="E456" s="42" t="s">
        <v>2089</v>
      </c>
      <c r="F456" s="21"/>
      <c r="G456" s="50"/>
      <c r="H456" s="21"/>
      <c r="I456" s="50"/>
      <c r="J456" s="21"/>
      <c r="K456" s="21"/>
      <c r="L456" s="50"/>
      <c r="M456" s="51"/>
      <c r="N456" s="21"/>
      <c r="O456" s="50"/>
      <c r="P456" s="21"/>
      <c r="Q456" s="50"/>
      <c r="R456" s="21"/>
      <c r="S456" s="21"/>
      <c r="T456" s="50"/>
      <c r="U456" s="51">
        <f t="shared" si="73"/>
        <v>0</v>
      </c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>
        <v>168582101</v>
      </c>
      <c r="AN456" s="51">
        <f>SUBTOTAL(9,AC456:AM456)</f>
        <v>168582101</v>
      </c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>
        <v>156759870</v>
      </c>
      <c r="AZ456" s="51"/>
      <c r="BA456" s="51"/>
      <c r="BB456" s="51"/>
      <c r="BC456" s="52">
        <f t="shared" si="76"/>
        <v>325341971</v>
      </c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>
        <v>31351974</v>
      </c>
      <c r="BO456" s="51"/>
      <c r="BP456" s="52">
        <v>356693945</v>
      </c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  <c r="CA456" s="52"/>
      <c r="CB456" s="52"/>
      <c r="CC456" s="52">
        <v>31351974</v>
      </c>
      <c r="CD456" s="52"/>
      <c r="CE456" s="52">
        <v>83241003</v>
      </c>
      <c r="CF456" s="52"/>
      <c r="CG456" s="52">
        <f t="shared" si="77"/>
        <v>471286922</v>
      </c>
      <c r="CH456" s="52"/>
      <c r="CI456" s="52"/>
      <c r="CJ456" s="52"/>
      <c r="CK456" s="52"/>
      <c r="CL456" s="52"/>
      <c r="CM456" s="52"/>
      <c r="CN456" s="52"/>
      <c r="CO456" s="52"/>
      <c r="CP456" s="52"/>
      <c r="CQ456" s="52">
        <v>31351974</v>
      </c>
      <c r="CR456" s="52">
        <v>25546528</v>
      </c>
      <c r="CS456" s="52">
        <f t="shared" si="74"/>
        <v>528185424</v>
      </c>
      <c r="CT456" s="53">
        <v>250815792</v>
      </c>
      <c r="CU456" s="53">
        <f t="shared" si="75"/>
        <v>277369632</v>
      </c>
      <c r="CV456" s="54">
        <f t="shared" si="78"/>
        <v>528185424</v>
      </c>
      <c r="CW456" s="55">
        <f t="shared" si="79"/>
        <v>0</v>
      </c>
      <c r="CX456" s="16"/>
      <c r="CY456" s="16"/>
      <c r="CZ456" s="16"/>
    </row>
    <row r="457" spans="1:108" ht="15" customHeight="1" x14ac:dyDescent="0.2">
      <c r="A457" s="1">
        <v>8902104382</v>
      </c>
      <c r="B457" s="1">
        <v>890210438</v>
      </c>
      <c r="C457" s="9">
        <v>214468344</v>
      </c>
      <c r="D457" s="10" t="s">
        <v>847</v>
      </c>
      <c r="E457" s="42" t="s">
        <v>1862</v>
      </c>
      <c r="F457" s="21"/>
      <c r="G457" s="50"/>
      <c r="H457" s="21"/>
      <c r="I457" s="50"/>
      <c r="J457" s="21"/>
      <c r="K457" s="21"/>
      <c r="L457" s="50"/>
      <c r="M457" s="51"/>
      <c r="N457" s="21"/>
      <c r="O457" s="50"/>
      <c r="P457" s="21"/>
      <c r="Q457" s="50"/>
      <c r="R457" s="21"/>
      <c r="S457" s="21"/>
      <c r="T457" s="50"/>
      <c r="U457" s="51">
        <f t="shared" si="73"/>
        <v>0</v>
      </c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>
        <v>14915625</v>
      </c>
      <c r="AZ457" s="51"/>
      <c r="BA457" s="51">
        <f>VLOOKUP(B457,[1]Hoja3!J$3:K$674,2,0)</f>
        <v>35685099</v>
      </c>
      <c r="BB457" s="51"/>
      <c r="BC457" s="52">
        <f t="shared" si="76"/>
        <v>50600724</v>
      </c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>
        <v>2983125</v>
      </c>
      <c r="BO457" s="51"/>
      <c r="BP457" s="52">
        <v>53583849</v>
      </c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>
        <v>2983125</v>
      </c>
      <c r="CD457" s="52"/>
      <c r="CE457" s="52"/>
      <c r="CF457" s="52"/>
      <c r="CG457" s="52">
        <f t="shared" si="77"/>
        <v>56566974</v>
      </c>
      <c r="CH457" s="52"/>
      <c r="CI457" s="52"/>
      <c r="CJ457" s="52"/>
      <c r="CK457" s="52"/>
      <c r="CL457" s="52"/>
      <c r="CM457" s="52"/>
      <c r="CN457" s="52"/>
      <c r="CO457" s="52"/>
      <c r="CP457" s="52"/>
      <c r="CQ457" s="52">
        <v>2983125</v>
      </c>
      <c r="CR457" s="52"/>
      <c r="CS457" s="52">
        <f t="shared" si="74"/>
        <v>59550099</v>
      </c>
      <c r="CT457" s="53">
        <v>23865000</v>
      </c>
      <c r="CU457" s="53">
        <f t="shared" si="75"/>
        <v>35685099</v>
      </c>
      <c r="CV457" s="54">
        <f t="shared" si="78"/>
        <v>59550099</v>
      </c>
      <c r="CW457" s="55">
        <f t="shared" si="79"/>
        <v>0</v>
      </c>
      <c r="CX457" s="16"/>
      <c r="CY457" s="16"/>
      <c r="CZ457" s="16"/>
    </row>
    <row r="458" spans="1:108" ht="15" customHeight="1" x14ac:dyDescent="0.2">
      <c r="A458" s="1">
        <v>8909824947</v>
      </c>
      <c r="B458" s="1">
        <v>890982494</v>
      </c>
      <c r="C458" s="9">
        <v>214705347</v>
      </c>
      <c r="D458" s="10" t="s">
        <v>96</v>
      </c>
      <c r="E458" s="42" t="s">
        <v>1127</v>
      </c>
      <c r="F458" s="21"/>
      <c r="G458" s="50"/>
      <c r="H458" s="21"/>
      <c r="I458" s="50"/>
      <c r="J458" s="21"/>
      <c r="K458" s="21"/>
      <c r="L458" s="50"/>
      <c r="M458" s="51"/>
      <c r="N458" s="21"/>
      <c r="O458" s="50"/>
      <c r="P458" s="21"/>
      <c r="Q458" s="50"/>
      <c r="R458" s="21"/>
      <c r="S458" s="21"/>
      <c r="T458" s="50"/>
      <c r="U458" s="51">
        <f t="shared" si="73"/>
        <v>0</v>
      </c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>
        <v>32069715</v>
      </c>
      <c r="AZ458" s="51"/>
      <c r="BA458" s="51">
        <f>VLOOKUP(B458,[1]Hoja3!J$3:K$674,2,0)</f>
        <v>74707749</v>
      </c>
      <c r="BB458" s="51"/>
      <c r="BC458" s="52">
        <f t="shared" si="76"/>
        <v>106777464</v>
      </c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>
        <v>6413943</v>
      </c>
      <c r="BO458" s="51"/>
      <c r="BP458" s="52">
        <v>113191407</v>
      </c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>
        <v>6413943</v>
      </c>
      <c r="CD458" s="52"/>
      <c r="CE458" s="52"/>
      <c r="CF458" s="52"/>
      <c r="CG458" s="52">
        <f t="shared" si="77"/>
        <v>119605350</v>
      </c>
      <c r="CH458" s="52"/>
      <c r="CI458" s="52"/>
      <c r="CJ458" s="52"/>
      <c r="CK458" s="52"/>
      <c r="CL458" s="52"/>
      <c r="CM458" s="52"/>
      <c r="CN458" s="52"/>
      <c r="CO458" s="52"/>
      <c r="CP458" s="52"/>
      <c r="CQ458" s="52">
        <v>6413943</v>
      </c>
      <c r="CR458" s="52"/>
      <c r="CS458" s="52">
        <f t="shared" si="74"/>
        <v>126019293</v>
      </c>
      <c r="CT458" s="53">
        <v>51311544</v>
      </c>
      <c r="CU458" s="53">
        <f t="shared" si="75"/>
        <v>74707749</v>
      </c>
      <c r="CV458" s="54">
        <f t="shared" si="78"/>
        <v>126019293</v>
      </c>
      <c r="CW458" s="55">
        <f t="shared" si="79"/>
        <v>0</v>
      </c>
      <c r="CX458" s="16"/>
      <c r="CY458" s="16"/>
      <c r="CZ458" s="16"/>
    </row>
    <row r="459" spans="1:108" ht="15" customHeight="1" x14ac:dyDescent="0.2">
      <c r="A459" s="1">
        <v>8000052929</v>
      </c>
      <c r="B459" s="1">
        <v>800005292</v>
      </c>
      <c r="C459" s="9">
        <v>214754347</v>
      </c>
      <c r="D459" s="10" t="s">
        <v>767</v>
      </c>
      <c r="E459" s="42" t="s">
        <v>1785</v>
      </c>
      <c r="F459" s="21"/>
      <c r="G459" s="50"/>
      <c r="H459" s="21"/>
      <c r="I459" s="50"/>
      <c r="J459" s="21"/>
      <c r="K459" s="21"/>
      <c r="L459" s="50"/>
      <c r="M459" s="51"/>
      <c r="N459" s="21"/>
      <c r="O459" s="50"/>
      <c r="P459" s="21"/>
      <c r="Q459" s="50"/>
      <c r="R459" s="21"/>
      <c r="S459" s="21"/>
      <c r="T459" s="50"/>
      <c r="U459" s="51">
        <f t="shared" si="73"/>
        <v>0</v>
      </c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>
        <v>16146550</v>
      </c>
      <c r="AZ459" s="51"/>
      <c r="BA459" s="51">
        <f>VLOOKUP(B459,[1]Hoja3!J$3:K$674,2,0)</f>
        <v>32881269</v>
      </c>
      <c r="BB459" s="51"/>
      <c r="BC459" s="52">
        <f t="shared" si="76"/>
        <v>49027819</v>
      </c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>
        <v>3229310</v>
      </c>
      <c r="BO459" s="51"/>
      <c r="BP459" s="52">
        <v>52257129</v>
      </c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>
        <v>3229310</v>
      </c>
      <c r="CD459" s="52"/>
      <c r="CE459" s="52"/>
      <c r="CF459" s="52"/>
      <c r="CG459" s="52">
        <f t="shared" si="77"/>
        <v>55486439</v>
      </c>
      <c r="CH459" s="52"/>
      <c r="CI459" s="52"/>
      <c r="CJ459" s="52"/>
      <c r="CK459" s="52"/>
      <c r="CL459" s="52"/>
      <c r="CM459" s="52"/>
      <c r="CN459" s="52"/>
      <c r="CO459" s="52"/>
      <c r="CP459" s="52"/>
      <c r="CQ459" s="52">
        <v>3229310</v>
      </c>
      <c r="CR459" s="52"/>
      <c r="CS459" s="52">
        <f t="shared" si="74"/>
        <v>58715749</v>
      </c>
      <c r="CT459" s="53">
        <v>25834480</v>
      </c>
      <c r="CU459" s="53">
        <f t="shared" si="75"/>
        <v>32881269</v>
      </c>
      <c r="CV459" s="54">
        <f t="shared" si="78"/>
        <v>58715749</v>
      </c>
      <c r="CW459" s="55">
        <f t="shared" si="79"/>
        <v>0</v>
      </c>
      <c r="CX459" s="16"/>
      <c r="CY459" s="16"/>
      <c r="CZ459" s="16"/>
    </row>
    <row r="460" spans="1:108" ht="15" customHeight="1" x14ac:dyDescent="0.2">
      <c r="A460" s="1">
        <v>8001000570</v>
      </c>
      <c r="B460" s="1">
        <v>800100057</v>
      </c>
      <c r="C460" s="9">
        <v>214773347</v>
      </c>
      <c r="D460" s="10" t="s">
        <v>2221</v>
      </c>
      <c r="E460" s="42" t="s">
        <v>1946</v>
      </c>
      <c r="F460" s="21"/>
      <c r="G460" s="50"/>
      <c r="H460" s="21"/>
      <c r="I460" s="50"/>
      <c r="J460" s="21"/>
      <c r="K460" s="21"/>
      <c r="L460" s="50"/>
      <c r="M460" s="51"/>
      <c r="N460" s="21"/>
      <c r="O460" s="50"/>
      <c r="P460" s="21"/>
      <c r="Q460" s="50"/>
      <c r="R460" s="21"/>
      <c r="S460" s="21"/>
      <c r="T460" s="50"/>
      <c r="U460" s="51">
        <f t="shared" si="73"/>
        <v>0</v>
      </c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>
        <v>54546279</v>
      </c>
      <c r="AN460" s="51">
        <f>SUBTOTAL(9,AC460:AM460)</f>
        <v>54546279</v>
      </c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>
        <v>52325605</v>
      </c>
      <c r="AZ460" s="51"/>
      <c r="BA460" s="51">
        <f>VLOOKUP(B460,[1]Hoja3!J$3:K$674,2,0)</f>
        <v>67847156</v>
      </c>
      <c r="BB460" s="51"/>
      <c r="BC460" s="52">
        <f t="shared" si="76"/>
        <v>174719040</v>
      </c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>
        <v>10465121</v>
      </c>
      <c r="BO460" s="51"/>
      <c r="BP460" s="52">
        <v>185184161</v>
      </c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  <c r="CA460" s="52"/>
      <c r="CB460" s="52"/>
      <c r="CC460" s="52">
        <v>10465121</v>
      </c>
      <c r="CD460" s="52"/>
      <c r="CE460" s="52"/>
      <c r="CF460" s="52"/>
      <c r="CG460" s="52">
        <f t="shared" si="77"/>
        <v>195649282</v>
      </c>
      <c r="CH460" s="52"/>
      <c r="CI460" s="52"/>
      <c r="CJ460" s="52"/>
      <c r="CK460" s="52"/>
      <c r="CL460" s="52"/>
      <c r="CM460" s="52"/>
      <c r="CN460" s="52"/>
      <c r="CO460" s="52"/>
      <c r="CP460" s="52"/>
      <c r="CQ460" s="52">
        <v>10465121</v>
      </c>
      <c r="CR460" s="52"/>
      <c r="CS460" s="52">
        <f t="shared" si="74"/>
        <v>206114403</v>
      </c>
      <c r="CT460" s="53">
        <v>83720968</v>
      </c>
      <c r="CU460" s="53">
        <f t="shared" si="75"/>
        <v>122393435</v>
      </c>
      <c r="CV460" s="54">
        <f t="shared" si="78"/>
        <v>206114403</v>
      </c>
      <c r="CW460" s="55">
        <f t="shared" si="79"/>
        <v>0</v>
      </c>
      <c r="CX460" s="16"/>
      <c r="CY460" s="16"/>
      <c r="CZ460" s="16"/>
    </row>
    <row r="461" spans="1:108" ht="15" customHeight="1" x14ac:dyDescent="0.2">
      <c r="A461" s="1">
        <v>8909849868</v>
      </c>
      <c r="B461" s="1">
        <v>890984986</v>
      </c>
      <c r="C461" s="9">
        <v>215305353</v>
      </c>
      <c r="D461" s="10" t="s">
        <v>97</v>
      </c>
      <c r="E461" s="42" t="s">
        <v>1128</v>
      </c>
      <c r="F461" s="21"/>
      <c r="G461" s="50"/>
      <c r="H461" s="21"/>
      <c r="I461" s="50"/>
      <c r="J461" s="21"/>
      <c r="K461" s="21"/>
      <c r="L461" s="50"/>
      <c r="M461" s="51"/>
      <c r="N461" s="21"/>
      <c r="O461" s="50"/>
      <c r="P461" s="21"/>
      <c r="Q461" s="50"/>
      <c r="R461" s="21"/>
      <c r="S461" s="21"/>
      <c r="T461" s="50"/>
      <c r="U461" s="51">
        <f t="shared" si="73"/>
        <v>0</v>
      </c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>
        <v>64744198</v>
      </c>
      <c r="AN461" s="51">
        <f>SUBTOTAL(9,AC461:AM461)</f>
        <v>64744198</v>
      </c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>
        <v>33809755</v>
      </c>
      <c r="AZ461" s="51"/>
      <c r="BA461" s="51"/>
      <c r="BB461" s="51"/>
      <c r="BC461" s="52">
        <f t="shared" si="76"/>
        <v>98553953</v>
      </c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>
        <v>6761951</v>
      </c>
      <c r="BO461" s="51"/>
      <c r="BP461" s="52">
        <v>105315904</v>
      </c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  <c r="CC461" s="52">
        <v>6761951</v>
      </c>
      <c r="CD461" s="52"/>
      <c r="CE461" s="52"/>
      <c r="CF461" s="52"/>
      <c r="CG461" s="52">
        <f t="shared" si="77"/>
        <v>112077855</v>
      </c>
      <c r="CH461" s="52"/>
      <c r="CI461" s="52"/>
      <c r="CJ461" s="52"/>
      <c r="CK461" s="52"/>
      <c r="CL461" s="52"/>
      <c r="CM461" s="52"/>
      <c r="CN461" s="52"/>
      <c r="CO461" s="52"/>
      <c r="CP461" s="52"/>
      <c r="CQ461" s="52">
        <v>6761951</v>
      </c>
      <c r="CR461" s="52"/>
      <c r="CS461" s="52">
        <f t="shared" si="74"/>
        <v>118839806</v>
      </c>
      <c r="CT461" s="53">
        <v>54095608</v>
      </c>
      <c r="CU461" s="53">
        <f t="shared" si="75"/>
        <v>64744198</v>
      </c>
      <c r="CV461" s="54">
        <f t="shared" si="78"/>
        <v>118839806</v>
      </c>
      <c r="CW461" s="55">
        <f t="shared" si="79"/>
        <v>0</v>
      </c>
      <c r="CX461" s="16"/>
      <c r="CY461" s="16"/>
      <c r="CZ461" s="16"/>
    </row>
    <row r="462" spans="1:108" ht="15" customHeight="1" x14ac:dyDescent="0.2">
      <c r="A462" s="1">
        <v>8911800193</v>
      </c>
      <c r="B462" s="1">
        <v>891180019</v>
      </c>
      <c r="C462" s="9">
        <v>214941349</v>
      </c>
      <c r="D462" s="10" t="s">
        <v>605</v>
      </c>
      <c r="E462" s="42" t="s">
        <v>1624</v>
      </c>
      <c r="F462" s="21"/>
      <c r="G462" s="50"/>
      <c r="H462" s="21"/>
      <c r="I462" s="50"/>
      <c r="J462" s="21"/>
      <c r="K462" s="21"/>
      <c r="L462" s="50"/>
      <c r="M462" s="51"/>
      <c r="N462" s="21"/>
      <c r="O462" s="50"/>
      <c r="P462" s="21"/>
      <c r="Q462" s="50"/>
      <c r="R462" s="21"/>
      <c r="S462" s="21"/>
      <c r="T462" s="50"/>
      <c r="U462" s="51">
        <f t="shared" si="73"/>
        <v>0</v>
      </c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>
        <v>45506180</v>
      </c>
      <c r="AZ462" s="51"/>
      <c r="BA462" s="51">
        <f>VLOOKUP(B462,[1]Hoja3!J$3:K$674,2,0)</f>
        <v>98886291</v>
      </c>
      <c r="BB462" s="51"/>
      <c r="BC462" s="52">
        <f t="shared" si="76"/>
        <v>144392471</v>
      </c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>
        <v>9101236</v>
      </c>
      <c r="BO462" s="51"/>
      <c r="BP462" s="52">
        <v>153493707</v>
      </c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  <c r="CA462" s="52"/>
      <c r="CB462" s="52"/>
      <c r="CC462" s="52">
        <v>9101236</v>
      </c>
      <c r="CD462" s="52"/>
      <c r="CE462" s="52"/>
      <c r="CF462" s="52"/>
      <c r="CG462" s="52">
        <f t="shared" si="77"/>
        <v>162594943</v>
      </c>
      <c r="CH462" s="52"/>
      <c r="CI462" s="52"/>
      <c r="CJ462" s="52"/>
      <c r="CK462" s="52"/>
      <c r="CL462" s="52"/>
      <c r="CM462" s="52"/>
      <c r="CN462" s="52"/>
      <c r="CO462" s="52"/>
      <c r="CP462" s="52"/>
      <c r="CQ462" s="52">
        <v>9101236</v>
      </c>
      <c r="CR462" s="52"/>
      <c r="CS462" s="52">
        <f t="shared" si="74"/>
        <v>171696179</v>
      </c>
      <c r="CT462" s="53">
        <v>72809888</v>
      </c>
      <c r="CU462" s="53">
        <f t="shared" si="75"/>
        <v>98886291</v>
      </c>
      <c r="CV462" s="54">
        <f t="shared" si="78"/>
        <v>171696179</v>
      </c>
      <c r="CW462" s="55">
        <f t="shared" si="79"/>
        <v>0</v>
      </c>
      <c r="CX462" s="16"/>
      <c r="CY462" s="16"/>
      <c r="CZ462" s="16"/>
    </row>
    <row r="463" spans="1:108" ht="15" customHeight="1" x14ac:dyDescent="0.2">
      <c r="A463" s="1">
        <v>8001000588</v>
      </c>
      <c r="B463" s="1">
        <v>800100058</v>
      </c>
      <c r="C463" s="9">
        <v>214973349</v>
      </c>
      <c r="D463" s="10" t="s">
        <v>2222</v>
      </c>
      <c r="E463" s="42" t="s">
        <v>1947</v>
      </c>
      <c r="F463" s="21"/>
      <c r="G463" s="50"/>
      <c r="H463" s="21"/>
      <c r="I463" s="50"/>
      <c r="J463" s="21"/>
      <c r="K463" s="21"/>
      <c r="L463" s="50"/>
      <c r="M463" s="51"/>
      <c r="N463" s="21"/>
      <c r="O463" s="50"/>
      <c r="P463" s="21"/>
      <c r="Q463" s="50"/>
      <c r="R463" s="21"/>
      <c r="S463" s="21"/>
      <c r="T463" s="50"/>
      <c r="U463" s="51">
        <f t="shared" si="73"/>
        <v>0</v>
      </c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>
        <v>268922122</v>
      </c>
      <c r="AN463" s="51">
        <f>SUBTOTAL(9,AC463:AM463)</f>
        <v>268922122</v>
      </c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>
        <v>171291520</v>
      </c>
      <c r="AZ463" s="51"/>
      <c r="BA463" s="51"/>
      <c r="BB463" s="51"/>
      <c r="BC463" s="52">
        <f t="shared" si="76"/>
        <v>440213642</v>
      </c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>
        <v>34258304</v>
      </c>
      <c r="BO463" s="51"/>
      <c r="BP463" s="52">
        <v>474471946</v>
      </c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2"/>
      <c r="CB463" s="52"/>
      <c r="CC463" s="52">
        <v>34258304</v>
      </c>
      <c r="CD463" s="52"/>
      <c r="CE463" s="52"/>
      <c r="CF463" s="52"/>
      <c r="CG463" s="52">
        <f t="shared" si="77"/>
        <v>508730250</v>
      </c>
      <c r="CH463" s="52"/>
      <c r="CI463" s="52"/>
      <c r="CJ463" s="52"/>
      <c r="CK463" s="52"/>
      <c r="CL463" s="52"/>
      <c r="CM463" s="52"/>
      <c r="CN463" s="52"/>
      <c r="CO463" s="52"/>
      <c r="CP463" s="52"/>
      <c r="CQ463" s="52">
        <v>34258304</v>
      </c>
      <c r="CR463" s="52"/>
      <c r="CS463" s="52">
        <f t="shared" si="74"/>
        <v>542988554</v>
      </c>
      <c r="CT463" s="53">
        <v>274066432</v>
      </c>
      <c r="CU463" s="53">
        <f t="shared" si="75"/>
        <v>268922122</v>
      </c>
      <c r="CV463" s="54">
        <f t="shared" si="78"/>
        <v>542988554</v>
      </c>
      <c r="CW463" s="55">
        <f t="shared" si="79"/>
        <v>0</v>
      </c>
      <c r="CX463" s="16"/>
      <c r="CY463" s="16"/>
      <c r="CZ463" s="16"/>
    </row>
    <row r="464" spans="1:108" ht="15" customHeight="1" x14ac:dyDescent="0.2">
      <c r="A464" s="1">
        <v>8001133897</v>
      </c>
      <c r="B464" s="1">
        <v>800113389</v>
      </c>
      <c r="C464" s="9">
        <v>210173001</v>
      </c>
      <c r="D464" s="10" t="s">
        <v>2168</v>
      </c>
      <c r="E464" s="43" t="s">
        <v>1029</v>
      </c>
      <c r="F464" s="21"/>
      <c r="G464" s="50"/>
      <c r="H464" s="21"/>
      <c r="I464" s="50">
        <f>12031316885+154036739</f>
        <v>12185353624</v>
      </c>
      <c r="J464" s="21">
        <v>844794001</v>
      </c>
      <c r="K464" s="21">
        <v>1679254919</v>
      </c>
      <c r="L464" s="50"/>
      <c r="M464" s="52">
        <f>SUM(F464:L464)</f>
        <v>14709402544</v>
      </c>
      <c r="N464" s="21"/>
      <c r="O464" s="50"/>
      <c r="P464" s="21"/>
      <c r="Q464" s="50">
        <f>11388696532+70016700</f>
        <v>11458713232</v>
      </c>
      <c r="R464" s="21">
        <v>844947360</v>
      </c>
      <c r="S464" s="21">
        <f>834460918+844947360</f>
        <v>1679408278</v>
      </c>
      <c r="T464" s="50"/>
      <c r="U464" s="51">
        <f t="shared" si="73"/>
        <v>28692471414</v>
      </c>
      <c r="V464" s="51"/>
      <c r="W464" s="51"/>
      <c r="X464" s="51"/>
      <c r="Y464" s="51">
        <v>16681995257</v>
      </c>
      <c r="Z464" s="51">
        <v>865300350</v>
      </c>
      <c r="AA464" s="51">
        <v>1986418488</v>
      </c>
      <c r="AB464" s="51"/>
      <c r="AC464" s="51">
        <f t="shared" ref="AC464:AC478" si="80">SUM(U464:AB464)</f>
        <v>48226185509</v>
      </c>
      <c r="AD464" s="51"/>
      <c r="AE464" s="51"/>
      <c r="AF464" s="51"/>
      <c r="AG464" s="51"/>
      <c r="AH464" s="51">
        <v>12215496782</v>
      </c>
      <c r="AI464" s="51">
        <v>949598609</v>
      </c>
      <c r="AJ464" s="51">
        <v>875847382</v>
      </c>
      <c r="AK464" s="51">
        <v>2207340146</v>
      </c>
      <c r="AL464" s="51"/>
      <c r="AM464" s="51">
        <v>5451515975</v>
      </c>
      <c r="AN464" s="51">
        <f>SUBTOTAL(9,AC464:AM464)</f>
        <v>69925984403</v>
      </c>
      <c r="AO464" s="51"/>
      <c r="AP464" s="51"/>
      <c r="AQ464" s="51">
        <v>1854894980</v>
      </c>
      <c r="AR464" s="51"/>
      <c r="AS464" s="51"/>
      <c r="AT464" s="51">
        <v>12215496782</v>
      </c>
      <c r="AU464" s="51"/>
      <c r="AV464" s="51">
        <v>875847382</v>
      </c>
      <c r="AW464" s="51">
        <v>1495056254</v>
      </c>
      <c r="AX464" s="51"/>
      <c r="AY464" s="51"/>
      <c r="AZ464" s="51"/>
      <c r="BA464" s="51"/>
      <c r="BB464" s="51">
        <f>VLOOKUP(B464,'[2]anuladas en mayo gratuidad}'!K$2:L$55,2,0)</f>
        <v>422374283</v>
      </c>
      <c r="BC464" s="52">
        <f t="shared" si="76"/>
        <v>85944905518</v>
      </c>
      <c r="BD464" s="51"/>
      <c r="BE464" s="51"/>
      <c r="BF464" s="51">
        <v>370978996</v>
      </c>
      <c r="BG464" s="51"/>
      <c r="BH464" s="51"/>
      <c r="BI464" s="51">
        <v>12222905270</v>
      </c>
      <c r="BJ464" s="51">
        <v>341750116</v>
      </c>
      <c r="BK464" s="51">
        <v>805303404</v>
      </c>
      <c r="BL464" s="51">
        <v>1790562468</v>
      </c>
      <c r="BM464" s="51"/>
      <c r="BN464" s="51"/>
      <c r="BO464" s="51"/>
      <c r="BP464" s="52">
        <v>101476405772</v>
      </c>
      <c r="BQ464" s="52"/>
      <c r="BR464" s="52"/>
      <c r="BS464" s="52">
        <v>370978996</v>
      </c>
      <c r="BT464" s="52"/>
      <c r="BU464" s="52"/>
      <c r="BV464" s="52"/>
      <c r="BW464" s="52">
        <v>12466578177</v>
      </c>
      <c r="BX464" s="52"/>
      <c r="BY464" s="52">
        <v>5683896175</v>
      </c>
      <c r="BZ464" s="52">
        <v>882924798</v>
      </c>
      <c r="CA464" s="52">
        <v>2291297643</v>
      </c>
      <c r="CB464" s="52"/>
      <c r="CC464" s="52"/>
      <c r="CD464" s="52"/>
      <c r="CE464" s="52">
        <v>122621354</v>
      </c>
      <c r="CF464" s="52"/>
      <c r="CG464" s="52">
        <f t="shared" si="77"/>
        <v>123294702915</v>
      </c>
      <c r="CH464" s="52"/>
      <c r="CI464" s="52"/>
      <c r="CJ464" s="52">
        <v>370978996</v>
      </c>
      <c r="CK464" s="52"/>
      <c r="CL464" s="52">
        <v>12704047822</v>
      </c>
      <c r="CM464" s="52">
        <v>1129630025</v>
      </c>
      <c r="CN464" s="52">
        <v>912456613</v>
      </c>
      <c r="CO464" s="52">
        <v>1637012203</v>
      </c>
      <c r="CP464" s="52"/>
      <c r="CQ464" s="52"/>
      <c r="CR464" s="52">
        <v>117186030</v>
      </c>
      <c r="CS464" s="52">
        <f t="shared" si="74"/>
        <v>140166014604</v>
      </c>
      <c r="CT464" s="53">
        <v>134897065528</v>
      </c>
      <c r="CU464" s="53">
        <f t="shared" si="75"/>
        <v>5268949076</v>
      </c>
      <c r="CV464" s="54">
        <f t="shared" si="78"/>
        <v>140166014604</v>
      </c>
      <c r="CW464" s="55">
        <f t="shared" si="79"/>
        <v>0</v>
      </c>
      <c r="CX464" s="16"/>
      <c r="CY464" s="16"/>
      <c r="CZ464" s="16"/>
    </row>
    <row r="465" spans="1:108" ht="15" customHeight="1" x14ac:dyDescent="0.2">
      <c r="A465" s="1">
        <v>8001000595</v>
      </c>
      <c r="B465" s="1">
        <v>800100059</v>
      </c>
      <c r="C465" s="9">
        <v>215273352</v>
      </c>
      <c r="D465" s="10" t="s">
        <v>2203</v>
      </c>
      <c r="E465" s="42" t="s">
        <v>1948</v>
      </c>
      <c r="F465" s="21"/>
      <c r="G465" s="50"/>
      <c r="H465" s="21"/>
      <c r="I465" s="50"/>
      <c r="J465" s="21"/>
      <c r="K465" s="21"/>
      <c r="L465" s="50"/>
      <c r="M465" s="51"/>
      <c r="N465" s="21"/>
      <c r="O465" s="50"/>
      <c r="P465" s="21"/>
      <c r="Q465" s="50"/>
      <c r="R465" s="21"/>
      <c r="S465" s="21"/>
      <c r="T465" s="50"/>
      <c r="U465" s="51">
        <f t="shared" si="73"/>
        <v>0</v>
      </c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>
        <v>90154530</v>
      </c>
      <c r="AZ465" s="51"/>
      <c r="BA465" s="51">
        <f>VLOOKUP(B465,[1]Hoja3!J$3:K$674,2,0)</f>
        <v>184289802</v>
      </c>
      <c r="BB465" s="51"/>
      <c r="BC465" s="52">
        <f t="shared" si="76"/>
        <v>274444332</v>
      </c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>
        <v>18030906</v>
      </c>
      <c r="BO465" s="51"/>
      <c r="BP465" s="52">
        <v>292475238</v>
      </c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  <c r="CA465" s="52"/>
      <c r="CB465" s="52"/>
      <c r="CC465" s="52">
        <v>18030906</v>
      </c>
      <c r="CD465" s="52"/>
      <c r="CE465" s="52"/>
      <c r="CF465" s="52"/>
      <c r="CG465" s="52">
        <f t="shared" si="77"/>
        <v>310506144</v>
      </c>
      <c r="CH465" s="52"/>
      <c r="CI465" s="52"/>
      <c r="CJ465" s="52"/>
      <c r="CK465" s="52"/>
      <c r="CL465" s="52"/>
      <c r="CM465" s="52"/>
      <c r="CN465" s="52"/>
      <c r="CO465" s="52"/>
      <c r="CP465" s="52"/>
      <c r="CQ465" s="52">
        <v>18030906</v>
      </c>
      <c r="CR465" s="52"/>
      <c r="CS465" s="52">
        <f t="shared" si="74"/>
        <v>328537050</v>
      </c>
      <c r="CT465" s="53">
        <v>144247248</v>
      </c>
      <c r="CU465" s="53">
        <f t="shared" si="75"/>
        <v>184289802</v>
      </c>
      <c r="CV465" s="54">
        <f t="shared" si="78"/>
        <v>328537050</v>
      </c>
      <c r="CW465" s="55">
        <f t="shared" si="79"/>
        <v>0</v>
      </c>
      <c r="CX465" s="16"/>
      <c r="CY465" s="16"/>
      <c r="CZ465" s="16"/>
    </row>
    <row r="466" spans="1:108" ht="15" customHeight="1" x14ac:dyDescent="0.2">
      <c r="A466" s="1">
        <v>8000990925</v>
      </c>
      <c r="B466" s="1">
        <v>800099092</v>
      </c>
      <c r="C466" s="9">
        <v>215252352</v>
      </c>
      <c r="D466" s="10" t="s">
        <v>714</v>
      </c>
      <c r="E466" s="42" t="s">
        <v>1737</v>
      </c>
      <c r="F466" s="21"/>
      <c r="G466" s="50"/>
      <c r="H466" s="21"/>
      <c r="I466" s="50"/>
      <c r="J466" s="21"/>
      <c r="K466" s="21"/>
      <c r="L466" s="50"/>
      <c r="M466" s="51"/>
      <c r="N466" s="21"/>
      <c r="O466" s="50"/>
      <c r="P466" s="21"/>
      <c r="Q466" s="50"/>
      <c r="R466" s="21"/>
      <c r="S466" s="21"/>
      <c r="T466" s="50"/>
      <c r="U466" s="51">
        <f t="shared" si="73"/>
        <v>0</v>
      </c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>
        <v>91655022</v>
      </c>
      <c r="AN466" s="51">
        <f>SUBTOTAL(9,AC466:AM466)</f>
        <v>91655022</v>
      </c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>
        <v>71889225</v>
      </c>
      <c r="AZ466" s="51"/>
      <c r="BA466" s="51">
        <f>VLOOKUP(B466,[1]Hoja3!J$3:K$674,2,0)</f>
        <v>22149513</v>
      </c>
      <c r="BB466" s="51"/>
      <c r="BC466" s="52">
        <f t="shared" si="76"/>
        <v>185693760</v>
      </c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>
        <v>14377845</v>
      </c>
      <c r="BO466" s="51"/>
      <c r="BP466" s="52">
        <v>200071605</v>
      </c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  <c r="CC466" s="52">
        <v>14377845</v>
      </c>
      <c r="CD466" s="52"/>
      <c r="CE466" s="52"/>
      <c r="CF466" s="52"/>
      <c r="CG466" s="52">
        <f t="shared" si="77"/>
        <v>214449450</v>
      </c>
      <c r="CH466" s="52"/>
      <c r="CI466" s="52"/>
      <c r="CJ466" s="52"/>
      <c r="CK466" s="52"/>
      <c r="CL466" s="52"/>
      <c r="CM466" s="52"/>
      <c r="CN466" s="52"/>
      <c r="CO466" s="52"/>
      <c r="CP466" s="52"/>
      <c r="CQ466" s="52">
        <v>14377845</v>
      </c>
      <c r="CR466" s="52"/>
      <c r="CS466" s="52">
        <f t="shared" si="74"/>
        <v>228827295</v>
      </c>
      <c r="CT466" s="53">
        <v>115022760</v>
      </c>
      <c r="CU466" s="53">
        <f t="shared" si="75"/>
        <v>113804535</v>
      </c>
      <c r="CV466" s="54">
        <f t="shared" si="78"/>
        <v>228827295</v>
      </c>
      <c r="CW466" s="55">
        <f t="shared" si="79"/>
        <v>0</v>
      </c>
      <c r="CX466" s="16"/>
      <c r="CY466" s="16"/>
      <c r="CZ466" s="16"/>
    </row>
    <row r="467" spans="1:108" ht="15" customHeight="1" x14ac:dyDescent="0.2">
      <c r="A467" s="1">
        <v>8000190052</v>
      </c>
      <c r="B467" s="1">
        <v>800019005</v>
      </c>
      <c r="C467" s="9">
        <v>215452354</v>
      </c>
      <c r="D467" s="10" t="s">
        <v>715</v>
      </c>
      <c r="E467" s="42" t="s">
        <v>1728</v>
      </c>
      <c r="F467" s="21"/>
      <c r="G467" s="50"/>
      <c r="H467" s="21"/>
      <c r="I467" s="50"/>
      <c r="J467" s="21"/>
      <c r="K467" s="21"/>
      <c r="L467" s="50"/>
      <c r="M467" s="51"/>
      <c r="N467" s="21"/>
      <c r="O467" s="50"/>
      <c r="P467" s="21"/>
      <c r="Q467" s="50"/>
      <c r="R467" s="21"/>
      <c r="S467" s="21"/>
      <c r="T467" s="50"/>
      <c r="U467" s="51">
        <f t="shared" si="73"/>
        <v>0</v>
      </c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>
        <v>106871313</v>
      </c>
      <c r="AN467" s="51">
        <f>SUBTOTAL(9,AC467:AM467)</f>
        <v>106871313</v>
      </c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2">
        <f t="shared" si="76"/>
        <v>106871313</v>
      </c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>
        <v>0</v>
      </c>
      <c r="BO467" s="51"/>
      <c r="BP467" s="52">
        <v>106871313</v>
      </c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  <c r="CA467" s="52"/>
      <c r="CB467" s="52"/>
      <c r="CC467" s="52">
        <v>0</v>
      </c>
      <c r="CD467" s="52"/>
      <c r="CE467" s="52"/>
      <c r="CF467" s="52"/>
      <c r="CG467" s="52">
        <f t="shared" si="77"/>
        <v>106871313</v>
      </c>
      <c r="CH467" s="52"/>
      <c r="CI467" s="52"/>
      <c r="CJ467" s="52"/>
      <c r="CK467" s="52"/>
      <c r="CL467" s="52"/>
      <c r="CM467" s="52"/>
      <c r="CN467" s="52"/>
      <c r="CO467" s="52"/>
      <c r="CP467" s="52"/>
      <c r="CQ467" s="52">
        <v>0</v>
      </c>
      <c r="CR467" s="52"/>
      <c r="CS467" s="52">
        <f t="shared" si="74"/>
        <v>106871313</v>
      </c>
      <c r="CT467" s="53"/>
      <c r="CU467" s="53">
        <f t="shared" si="75"/>
        <v>106871313</v>
      </c>
      <c r="CV467" s="54">
        <f t="shared" si="78"/>
        <v>106871313</v>
      </c>
      <c r="CW467" s="55">
        <f t="shared" si="79"/>
        <v>0</v>
      </c>
      <c r="CX467" s="16"/>
      <c r="CY467" s="16"/>
      <c r="CZ467" s="16"/>
    </row>
    <row r="468" spans="1:108" ht="15" customHeight="1" x14ac:dyDescent="0.2">
      <c r="A468" s="1">
        <v>8920991057</v>
      </c>
      <c r="B468" s="1">
        <v>892099105</v>
      </c>
      <c r="C468" s="9">
        <v>210194001</v>
      </c>
      <c r="D468" s="10" t="s">
        <v>990</v>
      </c>
      <c r="E468" s="42" t="s">
        <v>2046</v>
      </c>
      <c r="F468" s="21"/>
      <c r="G468" s="50"/>
      <c r="H468" s="21"/>
      <c r="I468" s="50"/>
      <c r="J468" s="21"/>
      <c r="K468" s="21"/>
      <c r="L468" s="50"/>
      <c r="M468" s="51"/>
      <c r="N468" s="21"/>
      <c r="O468" s="50"/>
      <c r="P468" s="21"/>
      <c r="Q468" s="50"/>
      <c r="R468" s="21"/>
      <c r="S468" s="21"/>
      <c r="T468" s="50"/>
      <c r="U468" s="51">
        <f t="shared" si="73"/>
        <v>0</v>
      </c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>
        <v>266294595</v>
      </c>
      <c r="AZ468" s="51"/>
      <c r="BA468" s="51">
        <f>VLOOKUP(B468,[1]Hoja3!J$3:K$674,2,0)</f>
        <v>585367509</v>
      </c>
      <c r="BB468" s="51"/>
      <c r="BC468" s="52">
        <f t="shared" si="76"/>
        <v>851662104</v>
      </c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>
        <v>53258919</v>
      </c>
      <c r="BO468" s="51"/>
      <c r="BP468" s="52">
        <v>904921023</v>
      </c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>
        <v>53258919</v>
      </c>
      <c r="CD468" s="52"/>
      <c r="CE468" s="52"/>
      <c r="CF468" s="52"/>
      <c r="CG468" s="52">
        <f t="shared" si="77"/>
        <v>958179942</v>
      </c>
      <c r="CH468" s="52"/>
      <c r="CI468" s="52"/>
      <c r="CJ468" s="52"/>
      <c r="CK468" s="52"/>
      <c r="CL468" s="52"/>
      <c r="CM468" s="52"/>
      <c r="CN468" s="52"/>
      <c r="CO468" s="52"/>
      <c r="CP468" s="52"/>
      <c r="CQ468" s="52">
        <v>53258919</v>
      </c>
      <c r="CR468" s="52"/>
      <c r="CS468" s="52">
        <f t="shared" si="74"/>
        <v>1011438861</v>
      </c>
      <c r="CT468" s="53">
        <v>426071352</v>
      </c>
      <c r="CU468" s="53">
        <f t="shared" si="75"/>
        <v>585367509</v>
      </c>
      <c r="CV468" s="54">
        <f t="shared" si="78"/>
        <v>1011438861</v>
      </c>
      <c r="CW468" s="55">
        <f t="shared" si="79"/>
        <v>0</v>
      </c>
      <c r="CX468" s="16"/>
      <c r="CY468" s="16"/>
      <c r="CZ468" s="16"/>
    </row>
    <row r="469" spans="1:108" ht="15" customHeight="1" x14ac:dyDescent="0.2">
      <c r="A469" s="1">
        <v>8000047411</v>
      </c>
      <c r="B469" s="1">
        <v>800004741</v>
      </c>
      <c r="C469" s="9">
        <v>215519355</v>
      </c>
      <c r="D469" s="10" t="s">
        <v>386</v>
      </c>
      <c r="E469" s="42" t="s">
        <v>1416</v>
      </c>
      <c r="F469" s="21"/>
      <c r="G469" s="50"/>
      <c r="H469" s="21"/>
      <c r="I469" s="50"/>
      <c r="J469" s="21"/>
      <c r="K469" s="21"/>
      <c r="L469" s="50"/>
      <c r="M469" s="51"/>
      <c r="N469" s="21"/>
      <c r="O469" s="50"/>
      <c r="P469" s="21"/>
      <c r="Q469" s="50"/>
      <c r="R469" s="21"/>
      <c r="S469" s="21"/>
      <c r="T469" s="50"/>
      <c r="U469" s="51">
        <f t="shared" si="73"/>
        <v>0</v>
      </c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>
        <v>309239795</v>
      </c>
      <c r="AZ469" s="51"/>
      <c r="BA469" s="51">
        <f>VLOOKUP(B469,[1]Hoja3!J$3:K$674,2,0)</f>
        <v>387154206</v>
      </c>
      <c r="BB469" s="51"/>
      <c r="BC469" s="52">
        <f t="shared" si="76"/>
        <v>696394001</v>
      </c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>
        <v>61847959</v>
      </c>
      <c r="BO469" s="51"/>
      <c r="BP469" s="52">
        <v>758241960</v>
      </c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  <c r="CC469" s="52">
        <v>61847959</v>
      </c>
      <c r="CD469" s="52"/>
      <c r="CE469" s="52"/>
      <c r="CF469" s="52"/>
      <c r="CG469" s="52">
        <f t="shared" si="77"/>
        <v>820089919</v>
      </c>
      <c r="CH469" s="52"/>
      <c r="CI469" s="52"/>
      <c r="CJ469" s="52"/>
      <c r="CK469" s="52"/>
      <c r="CL469" s="52"/>
      <c r="CM469" s="52"/>
      <c r="CN469" s="52"/>
      <c r="CO469" s="52"/>
      <c r="CP469" s="52"/>
      <c r="CQ469" s="52">
        <v>61847959</v>
      </c>
      <c r="CR469" s="52"/>
      <c r="CS469" s="52">
        <f t="shared" si="74"/>
        <v>881937878</v>
      </c>
      <c r="CT469" s="53">
        <v>494783672</v>
      </c>
      <c r="CU469" s="53">
        <f t="shared" si="75"/>
        <v>387154206</v>
      </c>
      <c r="CV469" s="54">
        <f t="shared" si="78"/>
        <v>881937878</v>
      </c>
      <c r="CW469" s="55">
        <f t="shared" si="79"/>
        <v>0</v>
      </c>
      <c r="CX469" s="16"/>
      <c r="CY469" s="16"/>
      <c r="CZ469" s="16"/>
    </row>
    <row r="470" spans="1:108" ht="15" customHeight="1" x14ac:dyDescent="0.2">
      <c r="A470" s="1">
        <v>8000990957</v>
      </c>
      <c r="B470" s="1">
        <v>800099095</v>
      </c>
      <c r="C470" s="9">
        <v>215652356</v>
      </c>
      <c r="D470" s="10" t="s">
        <v>716</v>
      </c>
      <c r="E470" s="43" t="s">
        <v>1738</v>
      </c>
      <c r="F470" s="21"/>
      <c r="G470" s="50"/>
      <c r="H470" s="21"/>
      <c r="I470" s="50">
        <f>3530999745+109589025</f>
        <v>3640588770</v>
      </c>
      <c r="J470" s="21">
        <v>236971548</v>
      </c>
      <c r="K470" s="21">
        <v>473830354</v>
      </c>
      <c r="L470" s="50"/>
      <c r="M470" s="52">
        <f>SUM(F470:L470)</f>
        <v>4351390672</v>
      </c>
      <c r="N470" s="21"/>
      <c r="O470" s="50"/>
      <c r="P470" s="21"/>
      <c r="Q470" s="50">
        <f>3381912558+49813193</f>
        <v>3431725751</v>
      </c>
      <c r="R470" s="21">
        <v>237124907</v>
      </c>
      <c r="S470" s="21">
        <f>236858806+237124907</f>
        <v>473983713</v>
      </c>
      <c r="T470" s="50"/>
      <c r="U470" s="51">
        <f t="shared" si="73"/>
        <v>8494225043</v>
      </c>
      <c r="V470" s="51"/>
      <c r="W470" s="51"/>
      <c r="X470" s="51"/>
      <c r="Y470" s="51">
        <v>5104446460</v>
      </c>
      <c r="Z470" s="51">
        <v>235036314</v>
      </c>
      <c r="AA470" s="51">
        <v>536907396</v>
      </c>
      <c r="AB470" s="51"/>
      <c r="AC470" s="51">
        <f t="shared" si="80"/>
        <v>14370615213</v>
      </c>
      <c r="AD470" s="51"/>
      <c r="AE470" s="51"/>
      <c r="AF470" s="51"/>
      <c r="AG470" s="51"/>
      <c r="AH470" s="51">
        <v>3435490265</v>
      </c>
      <c r="AI470" s="51">
        <v>519630399</v>
      </c>
      <c r="AJ470" s="51">
        <v>242627668</v>
      </c>
      <c r="AK470" s="51">
        <v>612183555</v>
      </c>
      <c r="AL470" s="51"/>
      <c r="AM470" s="51">
        <v>1471048283</v>
      </c>
      <c r="AN470" s="51">
        <f>SUBTOTAL(9,AC470:AM470)</f>
        <v>20651595383</v>
      </c>
      <c r="AO470" s="51"/>
      <c r="AP470" s="51"/>
      <c r="AQ470" s="51">
        <v>649209775</v>
      </c>
      <c r="AR470" s="51"/>
      <c r="AS470" s="51"/>
      <c r="AT470" s="51">
        <v>3588839696</v>
      </c>
      <c r="AU470" s="51"/>
      <c r="AV470" s="51">
        <v>242627668</v>
      </c>
      <c r="AW470" s="51">
        <v>414705617</v>
      </c>
      <c r="AX470" s="51"/>
      <c r="AY470" s="51"/>
      <c r="AZ470" s="51">
        <v>394970081</v>
      </c>
      <c r="BA470" s="51">
        <f>VLOOKUP(B470,[1]Hoja3!J$3:K$674,2,0)</f>
        <v>132403876</v>
      </c>
      <c r="BB470" s="51"/>
      <c r="BC470" s="52">
        <f t="shared" si="76"/>
        <v>26074352096</v>
      </c>
      <c r="BD470" s="51"/>
      <c r="BE470" s="51"/>
      <c r="BF470" s="51">
        <v>129841955</v>
      </c>
      <c r="BG470" s="51"/>
      <c r="BH470" s="51"/>
      <c r="BI470" s="51">
        <v>3572231447</v>
      </c>
      <c r="BJ470" s="51">
        <v>61649260</v>
      </c>
      <c r="BK470" s="51">
        <v>247365169</v>
      </c>
      <c r="BL470" s="51">
        <v>639552267</v>
      </c>
      <c r="BM470" s="51"/>
      <c r="BN470" s="51"/>
      <c r="BO470" s="51"/>
      <c r="BP470" s="52">
        <v>30724992194</v>
      </c>
      <c r="BQ470" s="52"/>
      <c r="BR470" s="52"/>
      <c r="BS470" s="52">
        <v>129841955</v>
      </c>
      <c r="BT470" s="52"/>
      <c r="BU470" s="52"/>
      <c r="BV470" s="52"/>
      <c r="BW470" s="52">
        <v>3584815163</v>
      </c>
      <c r="BX470" s="52"/>
      <c r="BY470" s="52">
        <v>1644790939</v>
      </c>
      <c r="BZ470" s="52">
        <v>243152852</v>
      </c>
      <c r="CA470" s="52">
        <v>645016565</v>
      </c>
      <c r="CB470" s="52"/>
      <c r="CC470" s="52"/>
      <c r="CD470" s="52"/>
      <c r="CE470" s="52">
        <v>7492353</v>
      </c>
      <c r="CF470" s="52"/>
      <c r="CG470" s="52">
        <f t="shared" si="77"/>
        <v>36980102021</v>
      </c>
      <c r="CH470" s="52"/>
      <c r="CI470" s="52"/>
      <c r="CJ470" s="52">
        <v>0</v>
      </c>
      <c r="CK470" s="52"/>
      <c r="CL470" s="52">
        <v>3525444270</v>
      </c>
      <c r="CM470" s="52">
        <v>38393798</v>
      </c>
      <c r="CN470" s="52">
        <v>243590383</v>
      </c>
      <c r="CO470" s="52">
        <v>444892361</v>
      </c>
      <c r="CP470" s="52"/>
      <c r="CQ470" s="52"/>
      <c r="CR470" s="52">
        <v>12948774</v>
      </c>
      <c r="CS470" s="52">
        <f t="shared" si="74"/>
        <v>41245371607</v>
      </c>
      <c r="CT470" s="53">
        <v>39621478321</v>
      </c>
      <c r="CU470" s="53">
        <f t="shared" si="75"/>
        <v>1623893286</v>
      </c>
      <c r="CV470" s="54">
        <f t="shared" si="78"/>
        <v>41245371607</v>
      </c>
      <c r="CW470" s="55">
        <f t="shared" si="79"/>
        <v>0</v>
      </c>
      <c r="CX470" s="16"/>
      <c r="CY470" s="16"/>
      <c r="CZ470" s="16"/>
    </row>
    <row r="471" spans="1:108" ht="15" customHeight="1" x14ac:dyDescent="0.2">
      <c r="A471" s="1">
        <v>8911801310</v>
      </c>
      <c r="B471" s="1">
        <v>891180131</v>
      </c>
      <c r="C471" s="9">
        <v>215741357</v>
      </c>
      <c r="D471" s="10" t="s">
        <v>606</v>
      </c>
      <c r="E471" s="42" t="s">
        <v>1625</v>
      </c>
      <c r="F471" s="21"/>
      <c r="G471" s="50"/>
      <c r="H471" s="21"/>
      <c r="I471" s="50"/>
      <c r="J471" s="21"/>
      <c r="K471" s="21"/>
      <c r="L471" s="50"/>
      <c r="M471" s="51"/>
      <c r="N471" s="21"/>
      <c r="O471" s="50"/>
      <c r="P471" s="21"/>
      <c r="Q471" s="50"/>
      <c r="R471" s="21"/>
      <c r="S471" s="21"/>
      <c r="T471" s="50"/>
      <c r="U471" s="51">
        <f t="shared" si="73"/>
        <v>0</v>
      </c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>
        <v>34779430</v>
      </c>
      <c r="AN471" s="51">
        <f>SUBTOTAL(9,AC471:AM471)</f>
        <v>34779430</v>
      </c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>
        <v>87170985</v>
      </c>
      <c r="AZ471" s="51"/>
      <c r="BA471" s="51">
        <f>VLOOKUP(B471,[1]Hoja3!J$3:K$674,2,0)</f>
        <v>108271044</v>
      </c>
      <c r="BB471" s="51"/>
      <c r="BC471" s="52">
        <f t="shared" si="76"/>
        <v>230221459</v>
      </c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>
        <v>17434197</v>
      </c>
      <c r="BO471" s="51"/>
      <c r="BP471" s="52">
        <v>247655656</v>
      </c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  <c r="CA471" s="52"/>
      <c r="CB471" s="52"/>
      <c r="CC471" s="52">
        <v>17434197</v>
      </c>
      <c r="CD471" s="52"/>
      <c r="CE471" s="52">
        <v>43519126</v>
      </c>
      <c r="CF471" s="52"/>
      <c r="CG471" s="52">
        <f t="shared" si="77"/>
        <v>308608979</v>
      </c>
      <c r="CH471" s="52"/>
      <c r="CI471" s="52"/>
      <c r="CJ471" s="52"/>
      <c r="CK471" s="52"/>
      <c r="CL471" s="52"/>
      <c r="CM471" s="52"/>
      <c r="CN471" s="52"/>
      <c r="CO471" s="52"/>
      <c r="CP471" s="52"/>
      <c r="CQ471" s="52">
        <v>17434197</v>
      </c>
      <c r="CR471" s="52"/>
      <c r="CS471" s="52">
        <f t="shared" si="74"/>
        <v>326043176</v>
      </c>
      <c r="CT471" s="53">
        <v>139473576</v>
      </c>
      <c r="CU471" s="53">
        <f t="shared" si="75"/>
        <v>186569600</v>
      </c>
      <c r="CV471" s="54">
        <f t="shared" si="78"/>
        <v>326043176</v>
      </c>
      <c r="CW471" s="55">
        <f t="shared" si="79"/>
        <v>0</v>
      </c>
      <c r="CX471" s="16"/>
      <c r="CY471" s="16"/>
      <c r="CZ471" s="16"/>
    </row>
    <row r="472" spans="1:108" ht="15" customHeight="1" x14ac:dyDescent="0.2">
      <c r="A472" s="1">
        <v>8000970981</v>
      </c>
      <c r="B472" s="1">
        <v>800097098</v>
      </c>
      <c r="C472" s="9">
        <v>215941359</v>
      </c>
      <c r="D472" s="10" t="s">
        <v>607</v>
      </c>
      <c r="E472" s="42" t="s">
        <v>1626</v>
      </c>
      <c r="F472" s="21"/>
      <c r="G472" s="50"/>
      <c r="H472" s="21"/>
      <c r="I472" s="50"/>
      <c r="J472" s="21"/>
      <c r="K472" s="21"/>
      <c r="L472" s="50"/>
      <c r="M472" s="51"/>
      <c r="N472" s="21"/>
      <c r="O472" s="50"/>
      <c r="P472" s="21"/>
      <c r="Q472" s="50"/>
      <c r="R472" s="21"/>
      <c r="S472" s="21"/>
      <c r="T472" s="50"/>
      <c r="U472" s="51">
        <f t="shared" si="73"/>
        <v>0</v>
      </c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>
        <v>46658958</v>
      </c>
      <c r="AN472" s="51">
        <f>SUBTOTAL(9,AC472:AM472)</f>
        <v>46658958</v>
      </c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>
        <v>177456280</v>
      </c>
      <c r="AZ472" s="51"/>
      <c r="BA472" s="51">
        <f>VLOOKUP(B472,[1]Hoja3!J$3:K$674,2,0)</f>
        <v>362951818</v>
      </c>
      <c r="BB472" s="51"/>
      <c r="BC472" s="52">
        <f t="shared" si="76"/>
        <v>587067056</v>
      </c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>
        <v>35491256</v>
      </c>
      <c r="BO472" s="51"/>
      <c r="BP472" s="52">
        <v>622558312</v>
      </c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  <c r="CC472" s="52">
        <v>35491256</v>
      </c>
      <c r="CD472" s="52"/>
      <c r="CE472" s="52"/>
      <c r="CF472" s="52"/>
      <c r="CG472" s="52">
        <f t="shared" si="77"/>
        <v>658049568</v>
      </c>
      <c r="CH472" s="52"/>
      <c r="CI472" s="52"/>
      <c r="CJ472" s="52"/>
      <c r="CK472" s="52"/>
      <c r="CL472" s="52"/>
      <c r="CM472" s="52"/>
      <c r="CN472" s="52"/>
      <c r="CO472" s="52"/>
      <c r="CP472" s="52"/>
      <c r="CQ472" s="52">
        <v>35491256</v>
      </c>
      <c r="CR472" s="52"/>
      <c r="CS472" s="52">
        <f t="shared" si="74"/>
        <v>693540824</v>
      </c>
      <c r="CT472" s="53">
        <v>283930048</v>
      </c>
      <c r="CU472" s="53">
        <f t="shared" si="75"/>
        <v>409610776</v>
      </c>
      <c r="CV472" s="54">
        <f t="shared" si="78"/>
        <v>693540824</v>
      </c>
      <c r="CW472" s="55">
        <f t="shared" si="79"/>
        <v>0</v>
      </c>
      <c r="CX472" s="16"/>
      <c r="CY472" s="16"/>
      <c r="CZ472" s="16"/>
    </row>
    <row r="473" spans="1:108" ht="15" customHeight="1" x14ac:dyDescent="0.2">
      <c r="A473" s="1">
        <v>8909800938</v>
      </c>
      <c r="B473" s="1">
        <v>890980093</v>
      </c>
      <c r="C473" s="9">
        <v>216005360</v>
      </c>
      <c r="D473" s="10" t="s">
        <v>2169</v>
      </c>
      <c r="E473" s="73" t="s">
        <v>2261</v>
      </c>
      <c r="F473" s="21"/>
      <c r="G473" s="50"/>
      <c r="H473" s="21"/>
      <c r="I473" s="50">
        <f>3707546421+108395210</f>
        <v>3815941631</v>
      </c>
      <c r="J473" s="21">
        <v>294996338</v>
      </c>
      <c r="K473" s="21">
        <v>584376479</v>
      </c>
      <c r="L473" s="50"/>
      <c r="M473" s="52">
        <f>SUM(F473:L473)</f>
        <v>4695314448</v>
      </c>
      <c r="N473" s="21"/>
      <c r="O473" s="50"/>
      <c r="P473" s="21"/>
      <c r="Q473" s="50">
        <f>3586428043+49270550</f>
        <v>3635698593</v>
      </c>
      <c r="R473" s="21">
        <v>294996338</v>
      </c>
      <c r="S473" s="21">
        <f>289380141+294996338</f>
        <v>584376479</v>
      </c>
      <c r="T473" s="50"/>
      <c r="U473" s="51">
        <f t="shared" si="73"/>
        <v>9210385858</v>
      </c>
      <c r="V473" s="51"/>
      <c r="W473" s="51"/>
      <c r="X473" s="51"/>
      <c r="Y473" s="51">
        <v>6388128983</v>
      </c>
      <c r="Z473" s="51">
        <v>311418770</v>
      </c>
      <c r="AA473" s="51">
        <v>697112483</v>
      </c>
      <c r="AB473" s="51"/>
      <c r="AC473" s="51">
        <f t="shared" si="80"/>
        <v>16607046094</v>
      </c>
      <c r="AD473" s="51"/>
      <c r="AE473" s="51"/>
      <c r="AF473" s="51"/>
      <c r="AG473" s="51"/>
      <c r="AH473" s="51">
        <v>4528804226</v>
      </c>
      <c r="AI473" s="51">
        <v>1096156504</v>
      </c>
      <c r="AJ473" s="51">
        <v>308676242</v>
      </c>
      <c r="AK473" s="51">
        <v>777382019</v>
      </c>
      <c r="AL473" s="51"/>
      <c r="AM473" s="51">
        <v>2345946350</v>
      </c>
      <c r="AN473" s="51">
        <f>SUBTOTAL(9,AC473:AM473)</f>
        <v>25664011435</v>
      </c>
      <c r="AO473" s="51"/>
      <c r="AP473" s="51"/>
      <c r="AQ473" s="51">
        <v>699730070</v>
      </c>
      <c r="AR473" s="51"/>
      <c r="AS473" s="51"/>
      <c r="AT473" s="51">
        <v>4528804226</v>
      </c>
      <c r="AU473" s="51"/>
      <c r="AV473" s="51">
        <v>308676242</v>
      </c>
      <c r="AW473" s="51">
        <v>526551053</v>
      </c>
      <c r="AX473" s="51"/>
      <c r="AY473" s="51"/>
      <c r="AZ473" s="51">
        <v>103268936</v>
      </c>
      <c r="BA473" s="51"/>
      <c r="BB473" s="51">
        <f>VLOOKUP(B473,'[2]anuladas en mayo gratuidad}'!K$2:L$55,2,0)</f>
        <v>180135016</v>
      </c>
      <c r="BC473" s="52">
        <f t="shared" si="76"/>
        <v>31650906946</v>
      </c>
      <c r="BD473" s="51"/>
      <c r="BE473" s="51"/>
      <c r="BF473" s="51">
        <v>139946014</v>
      </c>
      <c r="BG473" s="51"/>
      <c r="BH473" s="51"/>
      <c r="BI473" s="51">
        <v>4485504717</v>
      </c>
      <c r="BJ473" s="51">
        <v>528902458</v>
      </c>
      <c r="BK473" s="51">
        <v>296647719</v>
      </c>
      <c r="BL473" s="51">
        <v>778061211</v>
      </c>
      <c r="BM473" s="51"/>
      <c r="BN473" s="51"/>
      <c r="BO473" s="51"/>
      <c r="BP473" s="52">
        <v>37879969065</v>
      </c>
      <c r="BQ473" s="52"/>
      <c r="BR473" s="52"/>
      <c r="BS473" s="52">
        <v>139946014</v>
      </c>
      <c r="BT473" s="52"/>
      <c r="BU473" s="52"/>
      <c r="BV473" s="52"/>
      <c r="BW473" s="52">
        <v>3969398384</v>
      </c>
      <c r="BX473" s="52"/>
      <c r="BY473" s="52">
        <v>1857517867</v>
      </c>
      <c r="BZ473" s="52">
        <v>305473403</v>
      </c>
      <c r="CA473" s="52">
        <v>797464003</v>
      </c>
      <c r="CB473" s="52"/>
      <c r="CC473" s="52"/>
      <c r="CD473" s="52"/>
      <c r="CE473" s="52">
        <v>180135016</v>
      </c>
      <c r="CF473" s="52"/>
      <c r="CG473" s="52">
        <f t="shared" si="77"/>
        <v>45129903752</v>
      </c>
      <c r="CH473" s="52"/>
      <c r="CI473" s="52"/>
      <c r="CJ473" s="52">
        <v>139946014</v>
      </c>
      <c r="CK473" s="52"/>
      <c r="CL473" s="52">
        <v>3987530962</v>
      </c>
      <c r="CM473" s="52">
        <v>385205390</v>
      </c>
      <c r="CN473" s="52">
        <v>308297798</v>
      </c>
      <c r="CO473" s="52">
        <v>556982220</v>
      </c>
      <c r="CP473" s="52"/>
      <c r="CQ473" s="52"/>
      <c r="CR473" s="52"/>
      <c r="CS473" s="52">
        <f t="shared" si="74"/>
        <v>50507866136</v>
      </c>
      <c r="CT473" s="53">
        <v>48161919786</v>
      </c>
      <c r="CU473" s="53">
        <f t="shared" si="75"/>
        <v>2345946350</v>
      </c>
      <c r="CV473" s="54">
        <f t="shared" si="78"/>
        <v>50507866136</v>
      </c>
      <c r="CW473" s="55">
        <f t="shared" si="79"/>
        <v>0</v>
      </c>
      <c r="CX473" s="16"/>
      <c r="CY473" s="16"/>
      <c r="CZ473" s="16"/>
    </row>
    <row r="474" spans="1:108" ht="15" customHeight="1" x14ac:dyDescent="0.2">
      <c r="A474" s="1">
        <v>8916800672</v>
      </c>
      <c r="B474" s="1">
        <v>891680067</v>
      </c>
      <c r="C474" s="9">
        <v>216127361</v>
      </c>
      <c r="D474" s="10" t="s">
        <v>579</v>
      </c>
      <c r="E474" s="42" t="s">
        <v>1600</v>
      </c>
      <c r="F474" s="21"/>
      <c r="G474" s="50"/>
      <c r="H474" s="21"/>
      <c r="I474" s="50"/>
      <c r="J474" s="21"/>
      <c r="K474" s="21"/>
      <c r="L474" s="50"/>
      <c r="M474" s="51"/>
      <c r="N474" s="21"/>
      <c r="O474" s="50"/>
      <c r="P474" s="21"/>
      <c r="Q474" s="50"/>
      <c r="R474" s="21"/>
      <c r="S474" s="21"/>
      <c r="T474" s="50"/>
      <c r="U474" s="51">
        <f t="shared" si="73"/>
        <v>0</v>
      </c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>
        <v>640175632</v>
      </c>
      <c r="AN474" s="51">
        <f>SUBTOTAL(9,AC474:AM474)</f>
        <v>640175632</v>
      </c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>
        <v>571581795</v>
      </c>
      <c r="AZ474" s="51"/>
      <c r="BA474" s="51"/>
      <c r="BB474" s="51"/>
      <c r="BC474" s="52">
        <f t="shared" si="76"/>
        <v>1211757427</v>
      </c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>
        <v>114316359</v>
      </c>
      <c r="BO474" s="51"/>
      <c r="BP474" s="52">
        <v>1326073786</v>
      </c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  <c r="CC474" s="52">
        <v>114316359</v>
      </c>
      <c r="CD474" s="52"/>
      <c r="CE474" s="52"/>
      <c r="CF474" s="52"/>
      <c r="CG474" s="52">
        <f t="shared" si="77"/>
        <v>1440390145</v>
      </c>
      <c r="CH474" s="52"/>
      <c r="CI474" s="52"/>
      <c r="CJ474" s="52"/>
      <c r="CK474" s="52"/>
      <c r="CL474" s="52"/>
      <c r="CM474" s="52"/>
      <c r="CN474" s="52"/>
      <c r="CO474" s="52"/>
      <c r="CP474" s="52"/>
      <c r="CQ474" s="52">
        <v>114316359</v>
      </c>
      <c r="CR474" s="52"/>
      <c r="CS474" s="52">
        <f t="shared" si="74"/>
        <v>1554706504</v>
      </c>
      <c r="CT474" s="53">
        <v>914530872</v>
      </c>
      <c r="CU474" s="53">
        <f t="shared" si="75"/>
        <v>640175632</v>
      </c>
      <c r="CV474" s="54">
        <f t="shared" si="78"/>
        <v>1554706504</v>
      </c>
      <c r="CW474" s="55">
        <f t="shared" si="79"/>
        <v>0</v>
      </c>
      <c r="CX474" s="16"/>
      <c r="CY474" s="16"/>
      <c r="CZ474" s="16"/>
    </row>
    <row r="475" spans="1:108" ht="15" customHeight="1" x14ac:dyDescent="0.2">
      <c r="A475" s="1">
        <v>8909822782</v>
      </c>
      <c r="B475" s="1">
        <v>890982278</v>
      </c>
      <c r="C475" s="9">
        <v>216105361</v>
      </c>
      <c r="D475" s="10" t="s">
        <v>98</v>
      </c>
      <c r="E475" s="42" t="s">
        <v>1129</v>
      </c>
      <c r="F475" s="21"/>
      <c r="G475" s="50"/>
      <c r="H475" s="21"/>
      <c r="I475" s="50"/>
      <c r="J475" s="21"/>
      <c r="K475" s="21"/>
      <c r="L475" s="50"/>
      <c r="M475" s="51"/>
      <c r="N475" s="21"/>
      <c r="O475" s="50"/>
      <c r="P475" s="21"/>
      <c r="Q475" s="50"/>
      <c r="R475" s="21"/>
      <c r="S475" s="21"/>
      <c r="T475" s="50"/>
      <c r="U475" s="51">
        <f t="shared" si="73"/>
        <v>0</v>
      </c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>
        <v>249727995</v>
      </c>
      <c r="AZ475" s="51"/>
      <c r="BA475" s="51">
        <f>VLOOKUP(B475,[1]Hoja3!J$3:K$674,2,0)</f>
        <v>405350422</v>
      </c>
      <c r="BB475" s="51"/>
      <c r="BC475" s="52">
        <f t="shared" si="76"/>
        <v>655078417</v>
      </c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>
        <v>49945599</v>
      </c>
      <c r="BO475" s="51"/>
      <c r="BP475" s="52">
        <v>705024016</v>
      </c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  <c r="CA475" s="52"/>
      <c r="CB475" s="52"/>
      <c r="CC475" s="52">
        <v>49945599</v>
      </c>
      <c r="CD475" s="52"/>
      <c r="CE475" s="52"/>
      <c r="CF475" s="52"/>
      <c r="CG475" s="52">
        <f t="shared" si="77"/>
        <v>754969615</v>
      </c>
      <c r="CH475" s="52"/>
      <c r="CI475" s="52"/>
      <c r="CJ475" s="52"/>
      <c r="CK475" s="52"/>
      <c r="CL475" s="52"/>
      <c r="CM475" s="52"/>
      <c r="CN475" s="52"/>
      <c r="CO475" s="52"/>
      <c r="CP475" s="52"/>
      <c r="CQ475" s="52">
        <v>49945599</v>
      </c>
      <c r="CR475" s="52"/>
      <c r="CS475" s="52">
        <f t="shared" si="74"/>
        <v>804915214</v>
      </c>
      <c r="CT475" s="53">
        <v>399564792</v>
      </c>
      <c r="CU475" s="53">
        <f t="shared" si="75"/>
        <v>405350422</v>
      </c>
      <c r="CV475" s="54">
        <f t="shared" si="78"/>
        <v>804915214</v>
      </c>
      <c r="CW475" s="55">
        <f t="shared" si="79"/>
        <v>0</v>
      </c>
      <c r="CX475" s="16"/>
      <c r="CY475" s="16"/>
      <c r="CZ475" s="16"/>
    </row>
    <row r="476" spans="1:108" ht="15" customHeight="1" x14ac:dyDescent="0.2">
      <c r="A476" s="1">
        <v>8918560773</v>
      </c>
      <c r="B476" s="1">
        <v>891856077</v>
      </c>
      <c r="C476" s="9">
        <v>216215362</v>
      </c>
      <c r="D476" s="10" t="s">
        <v>258</v>
      </c>
      <c r="E476" s="42" t="s">
        <v>1293</v>
      </c>
      <c r="F476" s="21"/>
      <c r="G476" s="50"/>
      <c r="H476" s="21"/>
      <c r="I476" s="50"/>
      <c r="J476" s="21"/>
      <c r="K476" s="21"/>
      <c r="L476" s="50"/>
      <c r="M476" s="51"/>
      <c r="N476" s="21"/>
      <c r="O476" s="50"/>
      <c r="P476" s="21"/>
      <c r="Q476" s="50"/>
      <c r="R476" s="21"/>
      <c r="S476" s="21"/>
      <c r="T476" s="50"/>
      <c r="U476" s="51">
        <f t="shared" si="73"/>
        <v>0</v>
      </c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>
        <f>VLOOKUP(B476,[1]Hoja3!J$3:K$674,2,0)</f>
        <v>24083927</v>
      </c>
      <c r="BB476" s="51"/>
      <c r="BC476" s="52">
        <f t="shared" si="76"/>
        <v>24083927</v>
      </c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>
        <v>2623172</v>
      </c>
      <c r="BO476" s="51"/>
      <c r="BP476" s="52">
        <v>26707099</v>
      </c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  <c r="CC476" s="52">
        <v>2623172</v>
      </c>
      <c r="CD476" s="52">
        <v>13115860</v>
      </c>
      <c r="CE476" s="52"/>
      <c r="CF476" s="52"/>
      <c r="CG476" s="52">
        <f t="shared" si="77"/>
        <v>42446131</v>
      </c>
      <c r="CH476" s="52"/>
      <c r="CI476" s="52"/>
      <c r="CJ476" s="52"/>
      <c r="CK476" s="52"/>
      <c r="CL476" s="52"/>
      <c r="CM476" s="52"/>
      <c r="CN476" s="52"/>
      <c r="CO476" s="52"/>
      <c r="CP476" s="52"/>
      <c r="CQ476" s="52">
        <v>2623172</v>
      </c>
      <c r="CR476" s="52"/>
      <c r="CS476" s="52">
        <f t="shared" si="74"/>
        <v>45069303</v>
      </c>
      <c r="CT476" s="53">
        <v>20985376</v>
      </c>
      <c r="CU476" s="53">
        <f t="shared" si="75"/>
        <v>24083927</v>
      </c>
      <c r="CV476" s="54">
        <f t="shared" si="78"/>
        <v>45069303</v>
      </c>
      <c r="CW476" s="55">
        <f t="shared" si="79"/>
        <v>0</v>
      </c>
      <c r="CX476" s="16"/>
      <c r="CY476" s="8"/>
      <c r="CZ476" s="8"/>
      <c r="DA476" s="8"/>
      <c r="DB476" s="8"/>
      <c r="DC476" s="8"/>
      <c r="DD476" s="8"/>
    </row>
    <row r="477" spans="1:108" ht="15" customHeight="1" x14ac:dyDescent="0.2">
      <c r="A477" s="1">
        <v>8915010479</v>
      </c>
      <c r="B477" s="1">
        <v>891501047</v>
      </c>
      <c r="C477" s="9">
        <v>216419364</v>
      </c>
      <c r="D477" s="10" t="s">
        <v>387</v>
      </c>
      <c r="E477" s="42" t="s">
        <v>1417</v>
      </c>
      <c r="F477" s="21"/>
      <c r="G477" s="50"/>
      <c r="H477" s="21"/>
      <c r="I477" s="50"/>
      <c r="J477" s="21"/>
      <c r="K477" s="21"/>
      <c r="L477" s="50"/>
      <c r="M477" s="51"/>
      <c r="N477" s="21"/>
      <c r="O477" s="50"/>
      <c r="P477" s="21"/>
      <c r="Q477" s="50"/>
      <c r="R477" s="21"/>
      <c r="S477" s="21"/>
      <c r="T477" s="50"/>
      <c r="U477" s="51">
        <f t="shared" si="73"/>
        <v>0</v>
      </c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>
        <v>186058645</v>
      </c>
      <c r="AZ477" s="51"/>
      <c r="BA477" s="51"/>
      <c r="BB477" s="51"/>
      <c r="BC477" s="52">
        <f t="shared" si="76"/>
        <v>186058645</v>
      </c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>
        <v>37211729</v>
      </c>
      <c r="BO477" s="51"/>
      <c r="BP477" s="52">
        <v>223270374</v>
      </c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  <c r="CA477" s="52"/>
      <c r="CB477" s="52"/>
      <c r="CC477" s="52">
        <v>37211729</v>
      </c>
      <c r="CD477" s="52"/>
      <c r="CE477" s="52"/>
      <c r="CF477" s="52"/>
      <c r="CG477" s="52">
        <f t="shared" si="77"/>
        <v>260482103</v>
      </c>
      <c r="CH477" s="52"/>
      <c r="CI477" s="52"/>
      <c r="CJ477" s="52"/>
      <c r="CK477" s="52"/>
      <c r="CL477" s="52"/>
      <c r="CM477" s="52"/>
      <c r="CN477" s="52"/>
      <c r="CO477" s="52"/>
      <c r="CP477" s="52"/>
      <c r="CQ477" s="52">
        <v>37211729</v>
      </c>
      <c r="CR477" s="52"/>
      <c r="CS477" s="52">
        <f t="shared" si="74"/>
        <v>297693832</v>
      </c>
      <c r="CT477" s="53">
        <v>297693832</v>
      </c>
      <c r="CU477" s="53">
        <f t="shared" si="75"/>
        <v>0</v>
      </c>
      <c r="CV477" s="54">
        <f t="shared" si="78"/>
        <v>297693832</v>
      </c>
      <c r="CW477" s="55">
        <f t="shared" si="79"/>
        <v>0</v>
      </c>
      <c r="CX477" s="16"/>
      <c r="CY477" s="8"/>
      <c r="CZ477" s="8"/>
      <c r="DA477" s="8"/>
      <c r="DB477" s="8"/>
      <c r="DC477" s="8"/>
      <c r="DD477" s="8"/>
    </row>
    <row r="478" spans="1:108" ht="15" customHeight="1" x14ac:dyDescent="0.2">
      <c r="A478" s="1">
        <v>8903990460</v>
      </c>
      <c r="B478" s="1">
        <v>890399046</v>
      </c>
      <c r="C478" s="9">
        <v>216476364</v>
      </c>
      <c r="D478" s="10" t="s">
        <v>929</v>
      </c>
      <c r="E478" s="43" t="s">
        <v>1989</v>
      </c>
      <c r="F478" s="21"/>
      <c r="G478" s="50"/>
      <c r="H478" s="21"/>
      <c r="I478" s="50">
        <f>2321777741+63708281</f>
        <v>2385486022</v>
      </c>
      <c r="J478" s="21">
        <v>150132186</v>
      </c>
      <c r="K478" s="21">
        <v>301309010</v>
      </c>
      <c r="L478" s="50"/>
      <c r="M478" s="52">
        <f>SUM(F478:L478)</f>
        <v>2836927218</v>
      </c>
      <c r="N478" s="21"/>
      <c r="O478" s="50"/>
      <c r="P478" s="21"/>
      <c r="Q478" s="50">
        <f>2295438172+28958310</f>
        <v>2324396482</v>
      </c>
      <c r="R478" s="21">
        <v>150132186</v>
      </c>
      <c r="S478" s="21">
        <f>151176824+150132186</f>
        <v>301309010</v>
      </c>
      <c r="T478" s="50"/>
      <c r="U478" s="51">
        <f t="shared" si="73"/>
        <v>5612764896</v>
      </c>
      <c r="V478" s="51"/>
      <c r="W478" s="51"/>
      <c r="X478" s="51"/>
      <c r="Y478" s="51">
        <v>2727465907</v>
      </c>
      <c r="Z478" s="51">
        <v>145598962</v>
      </c>
      <c r="AA478" s="51">
        <v>332829093</v>
      </c>
      <c r="AB478" s="51"/>
      <c r="AC478" s="51">
        <f t="shared" si="80"/>
        <v>8818658858</v>
      </c>
      <c r="AD478" s="51"/>
      <c r="AE478" s="51"/>
      <c r="AF478" s="51"/>
      <c r="AG478" s="51"/>
      <c r="AH478" s="51">
        <v>2271698343</v>
      </c>
      <c r="AI478" s="51">
        <v>352016002</v>
      </c>
      <c r="AJ478" s="51">
        <v>151347302</v>
      </c>
      <c r="AK478" s="51">
        <v>382195693</v>
      </c>
      <c r="AL478" s="51"/>
      <c r="AM478" s="51">
        <v>915181159</v>
      </c>
      <c r="AN478" s="51">
        <f>SUBTOTAL(9,AC478:AM478)</f>
        <v>12891097357</v>
      </c>
      <c r="AO478" s="51"/>
      <c r="AP478" s="51"/>
      <c r="AQ478" s="51">
        <v>427661225</v>
      </c>
      <c r="AR478" s="51"/>
      <c r="AS478" s="51"/>
      <c r="AT478" s="51">
        <v>2271698343</v>
      </c>
      <c r="AU478" s="51"/>
      <c r="AV478" s="51">
        <v>151347302</v>
      </c>
      <c r="AW478" s="51">
        <v>259062729</v>
      </c>
      <c r="AX478" s="51"/>
      <c r="AY478" s="51"/>
      <c r="AZ478" s="51"/>
      <c r="BA478" s="51">
        <f>VLOOKUP(B478,[1]Hoja3!J$3:K$674,2,0)</f>
        <v>509159775</v>
      </c>
      <c r="BB478" s="51"/>
      <c r="BC478" s="52">
        <f t="shared" si="76"/>
        <v>16510026731</v>
      </c>
      <c r="BD478" s="51"/>
      <c r="BE478" s="51"/>
      <c r="BF478" s="51">
        <v>85532245</v>
      </c>
      <c r="BG478" s="51"/>
      <c r="BH478" s="51"/>
      <c r="BI478" s="51">
        <v>2362298006</v>
      </c>
      <c r="BJ478" s="51">
        <v>37728234</v>
      </c>
      <c r="BK478" s="51">
        <v>172501444</v>
      </c>
      <c r="BL478" s="51">
        <v>604821208</v>
      </c>
      <c r="BM478" s="51"/>
      <c r="BN478" s="51"/>
      <c r="BO478" s="51"/>
      <c r="BP478" s="52">
        <v>19772907868</v>
      </c>
      <c r="BQ478" s="52"/>
      <c r="BR478" s="52"/>
      <c r="BS478" s="52">
        <v>85532245</v>
      </c>
      <c r="BT478" s="52"/>
      <c r="BU478" s="52"/>
      <c r="BV478" s="52"/>
      <c r="BW478" s="52">
        <v>2358979144</v>
      </c>
      <c r="BX478" s="52"/>
      <c r="BY478" s="52">
        <v>1076925751</v>
      </c>
      <c r="BZ478" s="52">
        <v>157344308</v>
      </c>
      <c r="CA478" s="52">
        <v>411317083</v>
      </c>
      <c r="CB478" s="52"/>
      <c r="CC478" s="52"/>
      <c r="CD478" s="52"/>
      <c r="CE478" s="52"/>
      <c r="CF478" s="52"/>
      <c r="CG478" s="52">
        <f t="shared" si="77"/>
        <v>23863006399</v>
      </c>
      <c r="CH478" s="52"/>
      <c r="CI478" s="52"/>
      <c r="CJ478" s="52">
        <v>85532245</v>
      </c>
      <c r="CK478" s="52"/>
      <c r="CL478" s="52">
        <v>2394286690</v>
      </c>
      <c r="CM478" s="52">
        <v>37981292</v>
      </c>
      <c r="CN478" s="52">
        <v>157440385</v>
      </c>
      <c r="CO478" s="52">
        <v>286821454</v>
      </c>
      <c r="CP478" s="52"/>
      <c r="CQ478" s="52"/>
      <c r="CR478" s="52"/>
      <c r="CS478" s="52">
        <f t="shared" si="74"/>
        <v>26825068465</v>
      </c>
      <c r="CT478" s="53">
        <v>25400727531</v>
      </c>
      <c r="CU478" s="53">
        <f t="shared" si="75"/>
        <v>1424340934</v>
      </c>
      <c r="CV478" s="54">
        <f t="shared" si="78"/>
        <v>26825068465</v>
      </c>
      <c r="CW478" s="55">
        <f t="shared" si="79"/>
        <v>0</v>
      </c>
      <c r="CX478" s="16"/>
      <c r="CY478" s="16"/>
      <c r="CZ478" s="16"/>
    </row>
    <row r="479" spans="1:108" ht="15" customHeight="1" x14ac:dyDescent="0.2">
      <c r="A479" s="1">
        <v>8909822940</v>
      </c>
      <c r="B479" s="1">
        <v>890982294</v>
      </c>
      <c r="C479" s="9">
        <v>216405364</v>
      </c>
      <c r="D479" s="10" t="s">
        <v>99</v>
      </c>
      <c r="E479" s="42" t="s">
        <v>1130</v>
      </c>
      <c r="F479" s="21"/>
      <c r="G479" s="50"/>
      <c r="H479" s="21"/>
      <c r="I479" s="50"/>
      <c r="J479" s="21"/>
      <c r="K479" s="21"/>
      <c r="L479" s="50"/>
      <c r="M479" s="51"/>
      <c r="N479" s="21"/>
      <c r="O479" s="50"/>
      <c r="P479" s="21"/>
      <c r="Q479" s="50"/>
      <c r="R479" s="21"/>
      <c r="S479" s="21"/>
      <c r="T479" s="50"/>
      <c r="U479" s="51">
        <f t="shared" si="73"/>
        <v>0</v>
      </c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>
        <v>203725340</v>
      </c>
      <c r="AN479" s="51">
        <f>SUBTOTAL(9,AC479:AM479)</f>
        <v>203725340</v>
      </c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>
        <v>79665525</v>
      </c>
      <c r="AZ479" s="51"/>
      <c r="BA479" s="51"/>
      <c r="BB479" s="51"/>
      <c r="BC479" s="52">
        <f t="shared" si="76"/>
        <v>283390865</v>
      </c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>
        <v>15933105</v>
      </c>
      <c r="BO479" s="51"/>
      <c r="BP479" s="52">
        <v>299323970</v>
      </c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>
        <v>15933105</v>
      </c>
      <c r="CD479" s="52"/>
      <c r="CE479" s="52"/>
      <c r="CF479" s="52"/>
      <c r="CG479" s="52">
        <f t="shared" si="77"/>
        <v>315257075</v>
      </c>
      <c r="CH479" s="52"/>
      <c r="CI479" s="52"/>
      <c r="CJ479" s="52"/>
      <c r="CK479" s="52"/>
      <c r="CL479" s="52"/>
      <c r="CM479" s="52"/>
      <c r="CN479" s="52"/>
      <c r="CO479" s="52"/>
      <c r="CP479" s="52"/>
      <c r="CQ479" s="52">
        <v>15933105</v>
      </c>
      <c r="CR479" s="52"/>
      <c r="CS479" s="52">
        <f t="shared" si="74"/>
        <v>331190180</v>
      </c>
      <c r="CT479" s="53">
        <v>127464840</v>
      </c>
      <c r="CU479" s="53">
        <f t="shared" si="75"/>
        <v>203725340</v>
      </c>
      <c r="CV479" s="54">
        <f t="shared" si="78"/>
        <v>331190180</v>
      </c>
      <c r="CW479" s="55">
        <f t="shared" si="79"/>
        <v>0</v>
      </c>
      <c r="CX479" s="16"/>
      <c r="CY479" s="16"/>
      <c r="CZ479" s="16"/>
    </row>
    <row r="480" spans="1:108" ht="15" customHeight="1" x14ac:dyDescent="0.2">
      <c r="A480" s="1">
        <v>8918013764</v>
      </c>
      <c r="B480" s="1">
        <v>891801376</v>
      </c>
      <c r="C480" s="9">
        <v>216715367</v>
      </c>
      <c r="D480" s="10" t="s">
        <v>259</v>
      </c>
      <c r="E480" s="42" t="s">
        <v>1260</v>
      </c>
      <c r="F480" s="21"/>
      <c r="G480" s="50"/>
      <c r="H480" s="21"/>
      <c r="I480" s="50"/>
      <c r="J480" s="21"/>
      <c r="K480" s="21"/>
      <c r="L480" s="50"/>
      <c r="M480" s="51"/>
      <c r="N480" s="21"/>
      <c r="O480" s="50"/>
      <c r="P480" s="21"/>
      <c r="Q480" s="50"/>
      <c r="R480" s="21"/>
      <c r="S480" s="21"/>
      <c r="T480" s="50"/>
      <c r="U480" s="51">
        <f t="shared" si="73"/>
        <v>0</v>
      </c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>
        <v>46474320</v>
      </c>
      <c r="AZ480" s="51"/>
      <c r="BA480" s="51">
        <f>VLOOKUP(B480,[1]Hoja3!J$3:K$674,2,0)</f>
        <v>99582345</v>
      </c>
      <c r="BB480" s="51"/>
      <c r="BC480" s="52">
        <f t="shared" si="76"/>
        <v>146056665</v>
      </c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>
        <v>9294864</v>
      </c>
      <c r="BO480" s="51"/>
      <c r="BP480" s="52">
        <v>155351529</v>
      </c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>
        <v>9294864</v>
      </c>
      <c r="CD480" s="52"/>
      <c r="CE480" s="52"/>
      <c r="CF480" s="52"/>
      <c r="CG480" s="52">
        <f t="shared" si="77"/>
        <v>164646393</v>
      </c>
      <c r="CH480" s="52"/>
      <c r="CI480" s="52"/>
      <c r="CJ480" s="52"/>
      <c r="CK480" s="52"/>
      <c r="CL480" s="52"/>
      <c r="CM480" s="52"/>
      <c r="CN480" s="52"/>
      <c r="CO480" s="52"/>
      <c r="CP480" s="52"/>
      <c r="CQ480" s="52">
        <v>9294864</v>
      </c>
      <c r="CR480" s="52"/>
      <c r="CS480" s="52">
        <f t="shared" si="74"/>
        <v>173941257</v>
      </c>
      <c r="CT480" s="53">
        <v>74358912</v>
      </c>
      <c r="CU480" s="53">
        <f t="shared" si="75"/>
        <v>99582345</v>
      </c>
      <c r="CV480" s="54">
        <f t="shared" si="78"/>
        <v>173941257</v>
      </c>
      <c r="CW480" s="55">
        <f t="shared" si="79"/>
        <v>0</v>
      </c>
      <c r="CX480" s="16"/>
      <c r="CY480" s="8"/>
      <c r="CZ480" s="8"/>
      <c r="DA480" s="8"/>
      <c r="DB480" s="8"/>
      <c r="DC480" s="8"/>
      <c r="DD480" s="8"/>
    </row>
    <row r="481" spans="1:108" ht="15" customHeight="1" x14ac:dyDescent="0.2">
      <c r="A481" s="1">
        <v>8909810695</v>
      </c>
      <c r="B481" s="1">
        <v>890981069</v>
      </c>
      <c r="C481" s="9">
        <v>216805368</v>
      </c>
      <c r="D481" s="10" t="s">
        <v>100</v>
      </c>
      <c r="E481" s="42" t="s">
        <v>1131</v>
      </c>
      <c r="F481" s="21"/>
      <c r="G481" s="50"/>
      <c r="H481" s="21"/>
      <c r="I481" s="50"/>
      <c r="J481" s="21"/>
      <c r="K481" s="21"/>
      <c r="L481" s="50"/>
      <c r="M481" s="51"/>
      <c r="N481" s="21"/>
      <c r="O481" s="50"/>
      <c r="P481" s="21"/>
      <c r="Q481" s="50"/>
      <c r="R481" s="21"/>
      <c r="S481" s="21"/>
      <c r="T481" s="50"/>
      <c r="U481" s="51">
        <f t="shared" si="73"/>
        <v>0</v>
      </c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>
        <v>39824364</v>
      </c>
      <c r="AN481" s="51">
        <f>SUBTOTAL(9,AC481:AM481)</f>
        <v>39824364</v>
      </c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>
        <f>VLOOKUP(B481,[1]Hoja3!J$3:K$674,2,0)</f>
        <v>121591286</v>
      </c>
      <c r="BB481" s="51"/>
      <c r="BC481" s="52">
        <f t="shared" si="76"/>
        <v>161415650</v>
      </c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>
        <v>18383475</v>
      </c>
      <c r="BO481" s="51"/>
      <c r="BP481" s="52">
        <v>179799125</v>
      </c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  <c r="CC481" s="52">
        <v>18383475</v>
      </c>
      <c r="CD481" s="52">
        <v>91917375</v>
      </c>
      <c r="CE481" s="52"/>
      <c r="CF481" s="52"/>
      <c r="CG481" s="52">
        <f t="shared" si="77"/>
        <v>290099975</v>
      </c>
      <c r="CH481" s="52"/>
      <c r="CI481" s="52"/>
      <c r="CJ481" s="52"/>
      <c r="CK481" s="52"/>
      <c r="CL481" s="52"/>
      <c r="CM481" s="52"/>
      <c r="CN481" s="52"/>
      <c r="CO481" s="52"/>
      <c r="CP481" s="52"/>
      <c r="CQ481" s="52">
        <v>18383475</v>
      </c>
      <c r="CR481" s="52"/>
      <c r="CS481" s="52">
        <f t="shared" si="74"/>
        <v>308483450</v>
      </c>
      <c r="CT481" s="53">
        <v>147067800</v>
      </c>
      <c r="CU481" s="53">
        <f t="shared" si="75"/>
        <v>161415650</v>
      </c>
      <c r="CV481" s="54">
        <f t="shared" si="78"/>
        <v>308483450</v>
      </c>
      <c r="CW481" s="55">
        <f t="shared" si="79"/>
        <v>0</v>
      </c>
      <c r="CX481" s="16"/>
      <c r="CY481" s="16"/>
      <c r="CZ481" s="16"/>
    </row>
    <row r="482" spans="1:108" ht="15" customHeight="1" x14ac:dyDescent="0.2">
      <c r="A482" s="1">
        <v>8918565932</v>
      </c>
      <c r="B482" s="1">
        <v>891856593</v>
      </c>
      <c r="C482" s="9">
        <v>216815368</v>
      </c>
      <c r="D482" s="10" t="s">
        <v>260</v>
      </c>
      <c r="E482" s="42" t="s">
        <v>1294</v>
      </c>
      <c r="F482" s="21"/>
      <c r="G482" s="50"/>
      <c r="H482" s="21"/>
      <c r="I482" s="50"/>
      <c r="J482" s="21"/>
      <c r="K482" s="21"/>
      <c r="L482" s="50"/>
      <c r="M482" s="51"/>
      <c r="N482" s="21"/>
      <c r="O482" s="50"/>
      <c r="P482" s="21"/>
      <c r="Q482" s="50"/>
      <c r="R482" s="21"/>
      <c r="S482" s="21"/>
      <c r="T482" s="50"/>
      <c r="U482" s="51">
        <f t="shared" si="73"/>
        <v>0</v>
      </c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>
        <v>38683465</v>
      </c>
      <c r="AZ482" s="51"/>
      <c r="BA482" s="51">
        <f>VLOOKUP(B482,[1]Hoja3!J$3:K$674,2,0)</f>
        <v>55420269</v>
      </c>
      <c r="BB482" s="51"/>
      <c r="BC482" s="52">
        <f t="shared" si="76"/>
        <v>94103734</v>
      </c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>
        <v>7736693</v>
      </c>
      <c r="BO482" s="51"/>
      <c r="BP482" s="52">
        <v>101840427</v>
      </c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>
        <v>7736693</v>
      </c>
      <c r="CD482" s="52"/>
      <c r="CE482" s="52"/>
      <c r="CF482" s="52"/>
      <c r="CG482" s="52">
        <f t="shared" si="77"/>
        <v>109577120</v>
      </c>
      <c r="CH482" s="52"/>
      <c r="CI482" s="52"/>
      <c r="CJ482" s="52"/>
      <c r="CK482" s="52"/>
      <c r="CL482" s="52"/>
      <c r="CM482" s="52"/>
      <c r="CN482" s="52"/>
      <c r="CO482" s="52"/>
      <c r="CP482" s="52"/>
      <c r="CQ482" s="52">
        <v>7736693</v>
      </c>
      <c r="CR482" s="52"/>
      <c r="CS482" s="52">
        <f t="shared" si="74"/>
        <v>117313813</v>
      </c>
      <c r="CT482" s="53">
        <v>61893544</v>
      </c>
      <c r="CU482" s="53">
        <f t="shared" si="75"/>
        <v>55420269</v>
      </c>
      <c r="CV482" s="54">
        <f t="shared" si="78"/>
        <v>117313813</v>
      </c>
      <c r="CW482" s="55">
        <f t="shared" si="79"/>
        <v>0</v>
      </c>
      <c r="CX482" s="16"/>
      <c r="CY482" s="8"/>
      <c r="CZ482" s="8"/>
      <c r="DA482" s="8"/>
      <c r="DB482" s="8"/>
      <c r="DC482" s="8"/>
      <c r="DD482" s="8"/>
    </row>
    <row r="483" spans="1:108" ht="15" customHeight="1" x14ac:dyDescent="0.2">
      <c r="A483" s="1">
        <v>8000040182</v>
      </c>
      <c r="B483" s="1">
        <v>800004018</v>
      </c>
      <c r="C483" s="9">
        <v>216825368</v>
      </c>
      <c r="D483" s="10" t="s">
        <v>502</v>
      </c>
      <c r="E483" s="42" t="s">
        <v>1529</v>
      </c>
      <c r="F483" s="21"/>
      <c r="G483" s="50"/>
      <c r="H483" s="21"/>
      <c r="I483" s="50"/>
      <c r="J483" s="21"/>
      <c r="K483" s="21"/>
      <c r="L483" s="50"/>
      <c r="M483" s="51"/>
      <c r="N483" s="21"/>
      <c r="O483" s="50"/>
      <c r="P483" s="21"/>
      <c r="Q483" s="50"/>
      <c r="R483" s="21"/>
      <c r="S483" s="21"/>
      <c r="T483" s="50"/>
      <c r="U483" s="51">
        <f t="shared" si="73"/>
        <v>0</v>
      </c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>
        <v>34335752</v>
      </c>
      <c r="AN483" s="51">
        <f>SUBTOTAL(9,AC483:AM483)</f>
        <v>34335752</v>
      </c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>
        <v>21090970</v>
      </c>
      <c r="AZ483" s="51"/>
      <c r="BA483" s="51"/>
      <c r="BB483" s="51"/>
      <c r="BC483" s="52">
        <f t="shared" si="76"/>
        <v>55426722</v>
      </c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>
        <v>4218194</v>
      </c>
      <c r="BO483" s="51"/>
      <c r="BP483" s="52">
        <v>59644916</v>
      </c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  <c r="CC483" s="52">
        <v>4218194</v>
      </c>
      <c r="CD483" s="52"/>
      <c r="CE483" s="52"/>
      <c r="CF483" s="52"/>
      <c r="CG483" s="52">
        <f t="shared" si="77"/>
        <v>63863110</v>
      </c>
      <c r="CH483" s="52"/>
      <c r="CI483" s="52"/>
      <c r="CJ483" s="52"/>
      <c r="CK483" s="52"/>
      <c r="CL483" s="52"/>
      <c r="CM483" s="52"/>
      <c r="CN483" s="52"/>
      <c r="CO483" s="52"/>
      <c r="CP483" s="52"/>
      <c r="CQ483" s="52">
        <v>4218194</v>
      </c>
      <c r="CR483" s="52"/>
      <c r="CS483" s="52">
        <f t="shared" si="74"/>
        <v>68081304</v>
      </c>
      <c r="CT483" s="53">
        <v>33745552</v>
      </c>
      <c r="CU483" s="53">
        <f t="shared" si="75"/>
        <v>34335752</v>
      </c>
      <c r="CV483" s="54">
        <f t="shared" si="78"/>
        <v>68081304</v>
      </c>
      <c r="CW483" s="55">
        <f t="shared" si="79"/>
        <v>0</v>
      </c>
      <c r="CX483" s="16"/>
      <c r="CY483" s="16"/>
      <c r="CZ483" s="16"/>
    </row>
    <row r="484" spans="1:108" ht="15" customHeight="1" x14ac:dyDescent="0.2">
      <c r="A484" s="1">
        <v>8902109462</v>
      </c>
      <c r="B484" s="1">
        <v>890210946</v>
      </c>
      <c r="C484" s="9">
        <v>216868368</v>
      </c>
      <c r="D484" s="10" t="s">
        <v>848</v>
      </c>
      <c r="E484" s="42" t="s">
        <v>1863</v>
      </c>
      <c r="F484" s="21"/>
      <c r="G484" s="50"/>
      <c r="H484" s="21"/>
      <c r="I484" s="50"/>
      <c r="J484" s="21"/>
      <c r="K484" s="21"/>
      <c r="L484" s="50"/>
      <c r="M484" s="51"/>
      <c r="N484" s="21"/>
      <c r="O484" s="50"/>
      <c r="P484" s="21"/>
      <c r="Q484" s="50"/>
      <c r="R484" s="21"/>
      <c r="S484" s="21"/>
      <c r="T484" s="50"/>
      <c r="U484" s="51">
        <f t="shared" si="73"/>
        <v>0</v>
      </c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>
        <v>26817445</v>
      </c>
      <c r="AZ484" s="51"/>
      <c r="BA484" s="51">
        <f>VLOOKUP(B484,[1]Hoja3!J$3:K$674,2,0)</f>
        <v>49834189</v>
      </c>
      <c r="BB484" s="51"/>
      <c r="BC484" s="52">
        <f t="shared" si="76"/>
        <v>76651634</v>
      </c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>
        <v>5363489</v>
      </c>
      <c r="BO484" s="51"/>
      <c r="BP484" s="52">
        <v>82015123</v>
      </c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>
        <v>5363489</v>
      </c>
      <c r="CD484" s="52"/>
      <c r="CE484" s="52"/>
      <c r="CF484" s="52"/>
      <c r="CG484" s="52">
        <f t="shared" si="77"/>
        <v>87378612</v>
      </c>
      <c r="CH484" s="52"/>
      <c r="CI484" s="52"/>
      <c r="CJ484" s="52"/>
      <c r="CK484" s="52"/>
      <c r="CL484" s="52"/>
      <c r="CM484" s="52"/>
      <c r="CN484" s="52"/>
      <c r="CO484" s="52"/>
      <c r="CP484" s="52"/>
      <c r="CQ484" s="52">
        <v>5363489</v>
      </c>
      <c r="CR484" s="52"/>
      <c r="CS484" s="52">
        <f t="shared" si="74"/>
        <v>92742101</v>
      </c>
      <c r="CT484" s="53">
        <v>42907912</v>
      </c>
      <c r="CU484" s="53">
        <f t="shared" si="75"/>
        <v>49834189</v>
      </c>
      <c r="CV484" s="54">
        <f t="shared" si="78"/>
        <v>92742101</v>
      </c>
      <c r="CW484" s="55">
        <f t="shared" si="79"/>
        <v>0</v>
      </c>
      <c r="CX484" s="16"/>
      <c r="CY484" s="16"/>
      <c r="CZ484" s="16"/>
    </row>
    <row r="485" spans="1:108" ht="15" customHeight="1" x14ac:dyDescent="0.2">
      <c r="A485" s="1">
        <v>8001241669</v>
      </c>
      <c r="B485" s="1">
        <v>800124166</v>
      </c>
      <c r="C485" s="9">
        <v>217068370</v>
      </c>
      <c r="D485" s="10" t="s">
        <v>849</v>
      </c>
      <c r="E485" s="42" t="s">
        <v>1864</v>
      </c>
      <c r="F485" s="21"/>
      <c r="G485" s="50"/>
      <c r="H485" s="21"/>
      <c r="I485" s="50"/>
      <c r="J485" s="21"/>
      <c r="K485" s="21"/>
      <c r="L485" s="50"/>
      <c r="M485" s="51"/>
      <c r="N485" s="21"/>
      <c r="O485" s="50"/>
      <c r="P485" s="21"/>
      <c r="Q485" s="50"/>
      <c r="R485" s="21"/>
      <c r="S485" s="21"/>
      <c r="T485" s="50"/>
      <c r="U485" s="51">
        <f t="shared" si="73"/>
        <v>0</v>
      </c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>
        <f>VLOOKUP(B485,[1]Hoja3!J$3:K$674,2,0)</f>
        <v>24993711</v>
      </c>
      <c r="BB485" s="51"/>
      <c r="BC485" s="52">
        <f t="shared" si="76"/>
        <v>24993711</v>
      </c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>
        <v>0</v>
      </c>
      <c r="BO485" s="51"/>
      <c r="BP485" s="52">
        <v>24993711</v>
      </c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  <c r="CC485" s="52">
        <v>0</v>
      </c>
      <c r="CD485" s="52"/>
      <c r="CE485" s="52"/>
      <c r="CF485" s="52"/>
      <c r="CG485" s="52">
        <f t="shared" si="77"/>
        <v>24993711</v>
      </c>
      <c r="CH485" s="52"/>
      <c r="CI485" s="52"/>
      <c r="CJ485" s="52"/>
      <c r="CK485" s="52"/>
      <c r="CL485" s="52"/>
      <c r="CM485" s="52"/>
      <c r="CN485" s="52"/>
      <c r="CO485" s="52"/>
      <c r="CP485" s="52"/>
      <c r="CQ485" s="52">
        <v>0</v>
      </c>
      <c r="CR485" s="52"/>
      <c r="CS485" s="52">
        <f t="shared" si="74"/>
        <v>24993711</v>
      </c>
      <c r="CT485" s="53"/>
      <c r="CU485" s="53">
        <f t="shared" si="75"/>
        <v>24993711</v>
      </c>
      <c r="CV485" s="54">
        <f t="shared" si="78"/>
        <v>24993711</v>
      </c>
      <c r="CW485" s="55">
        <f t="shared" si="79"/>
        <v>0</v>
      </c>
      <c r="CX485" s="16"/>
      <c r="CY485" s="16"/>
      <c r="CZ485" s="16"/>
    </row>
    <row r="486" spans="1:108" ht="15" customHeight="1" x14ac:dyDescent="0.2">
      <c r="A486" s="1">
        <v>8000699010</v>
      </c>
      <c r="B486" s="1">
        <v>800069901</v>
      </c>
      <c r="C486" s="9">
        <v>217208372</v>
      </c>
      <c r="D486" s="10" t="s">
        <v>165</v>
      </c>
      <c r="E486" s="42" t="s">
        <v>1193</v>
      </c>
      <c r="F486" s="21"/>
      <c r="G486" s="50"/>
      <c r="H486" s="21"/>
      <c r="I486" s="50"/>
      <c r="J486" s="21"/>
      <c r="K486" s="21"/>
      <c r="L486" s="50"/>
      <c r="M486" s="51"/>
      <c r="N486" s="21"/>
      <c r="O486" s="50"/>
      <c r="P486" s="21"/>
      <c r="Q486" s="50"/>
      <c r="R486" s="21"/>
      <c r="S486" s="21"/>
      <c r="T486" s="50"/>
      <c r="U486" s="51">
        <f t="shared" si="73"/>
        <v>0</v>
      </c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>
        <v>21529099</v>
      </c>
      <c r="AN486" s="51">
        <f>SUBTOTAL(9,AC486:AM486)</f>
        <v>21529099</v>
      </c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>
        <v>100286040</v>
      </c>
      <c r="AZ486" s="51"/>
      <c r="BA486" s="51">
        <f>VLOOKUP(B486,[1]Hoja3!J$3:K$674,2,0)</f>
        <v>273507363</v>
      </c>
      <c r="BB486" s="51"/>
      <c r="BC486" s="52">
        <f t="shared" si="76"/>
        <v>395322502</v>
      </c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>
        <v>20057208</v>
      </c>
      <c r="BO486" s="51"/>
      <c r="BP486" s="52">
        <v>415379710</v>
      </c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>
        <v>20057208</v>
      </c>
      <c r="CD486" s="52"/>
      <c r="CE486" s="52"/>
      <c r="CF486" s="52"/>
      <c r="CG486" s="52">
        <f t="shared" si="77"/>
        <v>435436918</v>
      </c>
      <c r="CH486" s="52"/>
      <c r="CI486" s="52"/>
      <c r="CJ486" s="52"/>
      <c r="CK486" s="52"/>
      <c r="CL486" s="52"/>
      <c r="CM486" s="52"/>
      <c r="CN486" s="52"/>
      <c r="CO486" s="52"/>
      <c r="CP486" s="52"/>
      <c r="CQ486" s="52">
        <v>20057208</v>
      </c>
      <c r="CR486" s="52"/>
      <c r="CS486" s="52">
        <f t="shared" si="74"/>
        <v>455494126</v>
      </c>
      <c r="CT486" s="53">
        <v>160457664</v>
      </c>
      <c r="CU486" s="53">
        <f t="shared" si="75"/>
        <v>295036462</v>
      </c>
      <c r="CV486" s="54">
        <f t="shared" si="78"/>
        <v>455494126</v>
      </c>
      <c r="CW486" s="55">
        <f t="shared" si="79"/>
        <v>0</v>
      </c>
      <c r="CX486" s="16"/>
      <c r="CY486" s="16"/>
      <c r="CZ486" s="16"/>
    </row>
    <row r="487" spans="1:108" ht="15" customHeight="1" x14ac:dyDescent="0.2">
      <c r="A487" s="1">
        <v>8000947059</v>
      </c>
      <c r="B487" s="1">
        <v>800094705</v>
      </c>
      <c r="C487" s="9">
        <v>217225372</v>
      </c>
      <c r="D487" s="10" t="s">
        <v>503</v>
      </c>
      <c r="E487" s="42" t="s">
        <v>1530</v>
      </c>
      <c r="F487" s="21"/>
      <c r="G487" s="50"/>
      <c r="H487" s="21"/>
      <c r="I487" s="50"/>
      <c r="J487" s="21"/>
      <c r="K487" s="21"/>
      <c r="L487" s="50"/>
      <c r="M487" s="51"/>
      <c r="N487" s="21"/>
      <c r="O487" s="50"/>
      <c r="P487" s="21"/>
      <c r="Q487" s="50"/>
      <c r="R487" s="21"/>
      <c r="S487" s="21"/>
      <c r="T487" s="50"/>
      <c r="U487" s="51">
        <f t="shared" si="73"/>
        <v>0</v>
      </c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>
        <v>82198315</v>
      </c>
      <c r="AN487" s="51">
        <f>SUBTOTAL(9,AC487:AM487)</f>
        <v>82198315</v>
      </c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2">
        <f t="shared" si="76"/>
        <v>82198315</v>
      </c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>
        <v>0</v>
      </c>
      <c r="BO487" s="51"/>
      <c r="BP487" s="52">
        <v>82198315</v>
      </c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>
        <v>0</v>
      </c>
      <c r="CD487" s="52"/>
      <c r="CE487" s="52"/>
      <c r="CF487" s="52"/>
      <c r="CG487" s="52">
        <f t="shared" si="77"/>
        <v>82198315</v>
      </c>
      <c r="CH487" s="52"/>
      <c r="CI487" s="52"/>
      <c r="CJ487" s="52"/>
      <c r="CK487" s="52"/>
      <c r="CL487" s="52"/>
      <c r="CM487" s="52"/>
      <c r="CN487" s="52"/>
      <c r="CO487" s="52"/>
      <c r="CP487" s="52"/>
      <c r="CQ487" s="52">
        <v>0</v>
      </c>
      <c r="CR487" s="52"/>
      <c r="CS487" s="52">
        <f t="shared" si="74"/>
        <v>82198315</v>
      </c>
      <c r="CT487" s="53"/>
      <c r="CU487" s="53">
        <f t="shared" si="75"/>
        <v>82198315</v>
      </c>
      <c r="CV487" s="54">
        <f t="shared" si="78"/>
        <v>82198315</v>
      </c>
      <c r="CW487" s="55">
        <f t="shared" si="79"/>
        <v>0</v>
      </c>
      <c r="CX487" s="16"/>
      <c r="CY487" s="16"/>
      <c r="CZ487" s="16"/>
    </row>
    <row r="488" spans="1:108" ht="15" customHeight="1" x14ac:dyDescent="0.2">
      <c r="A488" s="1">
        <v>8916804027</v>
      </c>
      <c r="B488" s="1">
        <v>891680402</v>
      </c>
      <c r="C488" s="9">
        <v>217227372</v>
      </c>
      <c r="D488" s="10" t="s">
        <v>580</v>
      </c>
      <c r="E488" s="42" t="s">
        <v>1601</v>
      </c>
      <c r="F488" s="21"/>
      <c r="G488" s="50"/>
      <c r="H488" s="21"/>
      <c r="I488" s="50"/>
      <c r="J488" s="21"/>
      <c r="K488" s="21"/>
      <c r="L488" s="50"/>
      <c r="M488" s="51"/>
      <c r="N488" s="21"/>
      <c r="O488" s="50"/>
      <c r="P488" s="21"/>
      <c r="Q488" s="50"/>
      <c r="R488" s="21"/>
      <c r="S488" s="21"/>
      <c r="T488" s="50"/>
      <c r="U488" s="51">
        <f t="shared" si="73"/>
        <v>0</v>
      </c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>
        <v>38646451</v>
      </c>
      <c r="AN488" s="51">
        <f>SUBTOTAL(9,AC488:AM488)</f>
        <v>38646451</v>
      </c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>
        <v>70160265</v>
      </c>
      <c r="AZ488" s="51"/>
      <c r="BA488" s="51"/>
      <c r="BB488" s="51"/>
      <c r="BC488" s="52">
        <f t="shared" si="76"/>
        <v>108806716</v>
      </c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>
        <v>14032053</v>
      </c>
      <c r="BO488" s="51"/>
      <c r="BP488" s="52">
        <v>122838769</v>
      </c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>
        <v>14032053</v>
      </c>
      <c r="CD488" s="52"/>
      <c r="CE488" s="52"/>
      <c r="CF488" s="52"/>
      <c r="CG488" s="52">
        <f t="shared" si="77"/>
        <v>136870822</v>
      </c>
      <c r="CH488" s="52"/>
      <c r="CI488" s="52"/>
      <c r="CJ488" s="52"/>
      <c r="CK488" s="52"/>
      <c r="CL488" s="52"/>
      <c r="CM488" s="52"/>
      <c r="CN488" s="52"/>
      <c r="CO488" s="52"/>
      <c r="CP488" s="52"/>
      <c r="CQ488" s="52">
        <v>14032053</v>
      </c>
      <c r="CR488" s="52"/>
      <c r="CS488" s="52">
        <f t="shared" si="74"/>
        <v>150902875</v>
      </c>
      <c r="CT488" s="53">
        <v>112256424</v>
      </c>
      <c r="CU488" s="53">
        <f t="shared" si="75"/>
        <v>38646451</v>
      </c>
      <c r="CV488" s="54">
        <f t="shared" si="78"/>
        <v>150902875</v>
      </c>
      <c r="CW488" s="55">
        <f t="shared" si="79"/>
        <v>0</v>
      </c>
      <c r="CX488" s="16"/>
      <c r="CY488" s="16"/>
      <c r="CZ488" s="16"/>
    </row>
    <row r="489" spans="1:108" ht="15" customHeight="1" x14ac:dyDescent="0.2">
      <c r="A489" s="1">
        <v>8120016816</v>
      </c>
      <c r="B489" s="1">
        <v>812001681</v>
      </c>
      <c r="C489" s="9">
        <v>215023350</v>
      </c>
      <c r="D489" s="10" t="s">
        <v>445</v>
      </c>
      <c r="E489" s="42" t="s">
        <v>1472</v>
      </c>
      <c r="F489" s="21"/>
      <c r="G489" s="50"/>
      <c r="H489" s="21"/>
      <c r="I489" s="50"/>
      <c r="J489" s="21"/>
      <c r="K489" s="21"/>
      <c r="L489" s="50"/>
      <c r="M489" s="51"/>
      <c r="N489" s="21"/>
      <c r="O489" s="50"/>
      <c r="P489" s="21"/>
      <c r="Q489" s="50"/>
      <c r="R489" s="21"/>
      <c r="S489" s="21"/>
      <c r="T489" s="50"/>
      <c r="U489" s="51">
        <f t="shared" si="73"/>
        <v>0</v>
      </c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>
        <v>218579262</v>
      </c>
      <c r="AN489" s="51">
        <f>SUBTOTAL(9,AC489:AM489)</f>
        <v>218579262</v>
      </c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>
        <v>118815650</v>
      </c>
      <c r="AZ489" s="51"/>
      <c r="BA489" s="51"/>
      <c r="BB489" s="51">
        <f>VLOOKUP(B489,'[2]anuladas en mayo gratuidad}'!K$2:L$55,2,0)</f>
        <v>74298192</v>
      </c>
      <c r="BC489" s="52">
        <f t="shared" si="76"/>
        <v>263096720</v>
      </c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>
        <v>23763130</v>
      </c>
      <c r="BO489" s="51">
        <v>74298192</v>
      </c>
      <c r="BP489" s="52">
        <v>361158042</v>
      </c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  <c r="CC489" s="52">
        <v>23763130</v>
      </c>
      <c r="CD489" s="52"/>
      <c r="CE489" s="52"/>
      <c r="CF489" s="52"/>
      <c r="CG489" s="52">
        <f t="shared" si="77"/>
        <v>384921172</v>
      </c>
      <c r="CH489" s="52"/>
      <c r="CI489" s="52"/>
      <c r="CJ489" s="52"/>
      <c r="CK489" s="52"/>
      <c r="CL489" s="52"/>
      <c r="CM489" s="52"/>
      <c r="CN489" s="52"/>
      <c r="CO489" s="52"/>
      <c r="CP489" s="52"/>
      <c r="CQ489" s="52">
        <v>23763130</v>
      </c>
      <c r="CR489" s="52"/>
      <c r="CS489" s="52">
        <f t="shared" si="74"/>
        <v>408684302</v>
      </c>
      <c r="CT489" s="53">
        <v>190105040</v>
      </c>
      <c r="CU489" s="53">
        <f t="shared" si="75"/>
        <v>218579262</v>
      </c>
      <c r="CV489" s="54">
        <f t="shared" si="78"/>
        <v>408684302</v>
      </c>
      <c r="CW489" s="55">
        <f t="shared" si="79"/>
        <v>0</v>
      </c>
      <c r="CX489" s="16"/>
      <c r="CY489" s="16"/>
      <c r="CZ489" s="16"/>
    </row>
    <row r="490" spans="1:108" ht="15" customHeight="1" x14ac:dyDescent="0.2">
      <c r="A490" s="1">
        <v>8911802057</v>
      </c>
      <c r="B490" s="1">
        <v>891180205</v>
      </c>
      <c r="C490" s="9">
        <v>217841378</v>
      </c>
      <c r="D490" s="10" t="s">
        <v>608</v>
      </c>
      <c r="E490" s="42" t="s">
        <v>1627</v>
      </c>
      <c r="F490" s="21"/>
      <c r="G490" s="50"/>
      <c r="H490" s="21"/>
      <c r="I490" s="50"/>
      <c r="J490" s="21"/>
      <c r="K490" s="21"/>
      <c r="L490" s="50"/>
      <c r="M490" s="51"/>
      <c r="N490" s="21"/>
      <c r="O490" s="50"/>
      <c r="P490" s="21"/>
      <c r="Q490" s="50"/>
      <c r="R490" s="21"/>
      <c r="S490" s="21"/>
      <c r="T490" s="50"/>
      <c r="U490" s="51">
        <f t="shared" si="73"/>
        <v>0</v>
      </c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>
        <v>102789635</v>
      </c>
      <c r="AZ490" s="51"/>
      <c r="BA490" s="51">
        <f>VLOOKUP(B490,[1]Hoja3!J$3:K$674,2,0)</f>
        <v>223449780</v>
      </c>
      <c r="BB490" s="51"/>
      <c r="BC490" s="52">
        <f t="shared" si="76"/>
        <v>326239415</v>
      </c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>
        <v>20557927</v>
      </c>
      <c r="BO490" s="51"/>
      <c r="BP490" s="52">
        <v>346797342</v>
      </c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>
        <v>20557927</v>
      </c>
      <c r="CD490" s="52"/>
      <c r="CE490" s="52">
        <v>6557910</v>
      </c>
      <c r="CF490" s="52"/>
      <c r="CG490" s="52">
        <f t="shared" si="77"/>
        <v>373913179</v>
      </c>
      <c r="CH490" s="52"/>
      <c r="CI490" s="52"/>
      <c r="CJ490" s="52"/>
      <c r="CK490" s="52"/>
      <c r="CL490" s="52"/>
      <c r="CM490" s="52"/>
      <c r="CN490" s="52"/>
      <c r="CO490" s="52"/>
      <c r="CP490" s="52"/>
      <c r="CQ490" s="52">
        <v>20557927</v>
      </c>
      <c r="CR490" s="52"/>
      <c r="CS490" s="52">
        <f t="shared" si="74"/>
        <v>394471106</v>
      </c>
      <c r="CT490" s="53">
        <v>164463416</v>
      </c>
      <c r="CU490" s="53">
        <f t="shared" si="75"/>
        <v>230007690</v>
      </c>
      <c r="CV490" s="54">
        <f t="shared" si="78"/>
        <v>394471106</v>
      </c>
      <c r="CW490" s="55">
        <f t="shared" si="79"/>
        <v>0</v>
      </c>
      <c r="CX490" s="16"/>
      <c r="CY490" s="16"/>
      <c r="CZ490" s="16"/>
    </row>
    <row r="491" spans="1:108" ht="15" customHeight="1" x14ac:dyDescent="0.2">
      <c r="A491" s="1">
        <v>8902106174</v>
      </c>
      <c r="B491" s="1">
        <v>890210617</v>
      </c>
      <c r="C491" s="9">
        <v>217768377</v>
      </c>
      <c r="D491" s="10" t="s">
        <v>850</v>
      </c>
      <c r="E491" s="44" t="s">
        <v>2103</v>
      </c>
      <c r="F491" s="21"/>
      <c r="G491" s="50"/>
      <c r="H491" s="21"/>
      <c r="I491" s="50"/>
      <c r="J491" s="21"/>
      <c r="K491" s="21"/>
      <c r="L491" s="50"/>
      <c r="M491" s="51"/>
      <c r="N491" s="21"/>
      <c r="O491" s="50"/>
      <c r="P491" s="21"/>
      <c r="Q491" s="50"/>
      <c r="R491" s="21"/>
      <c r="S491" s="21"/>
      <c r="T491" s="50"/>
      <c r="U491" s="51">
        <f t="shared" si="73"/>
        <v>0</v>
      </c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>
        <v>45993305</v>
      </c>
      <c r="AZ491" s="51"/>
      <c r="BA491" s="51">
        <f>VLOOKUP(B491,[1]Hoja3!J$3:K$674,2,0)</f>
        <v>106286840</v>
      </c>
      <c r="BB491" s="51"/>
      <c r="BC491" s="52">
        <f t="shared" si="76"/>
        <v>152280145</v>
      </c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>
        <v>9198661</v>
      </c>
      <c r="BO491" s="51"/>
      <c r="BP491" s="52">
        <v>161478806</v>
      </c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>
        <v>9198661</v>
      </c>
      <c r="CD491" s="52"/>
      <c r="CE491" s="52"/>
      <c r="CF491" s="52"/>
      <c r="CG491" s="52">
        <f t="shared" si="77"/>
        <v>170677467</v>
      </c>
      <c r="CH491" s="52"/>
      <c r="CI491" s="52"/>
      <c r="CJ491" s="52"/>
      <c r="CK491" s="52"/>
      <c r="CL491" s="52"/>
      <c r="CM491" s="52"/>
      <c r="CN491" s="52"/>
      <c r="CO491" s="52"/>
      <c r="CP491" s="52"/>
      <c r="CQ491" s="52">
        <v>9198661</v>
      </c>
      <c r="CR491" s="52"/>
      <c r="CS491" s="52">
        <f t="shared" si="74"/>
        <v>179876128</v>
      </c>
      <c r="CT491" s="53">
        <v>73589288</v>
      </c>
      <c r="CU491" s="53">
        <f t="shared" si="75"/>
        <v>106286840</v>
      </c>
      <c r="CV491" s="54">
        <f t="shared" si="78"/>
        <v>179876128</v>
      </c>
      <c r="CW491" s="55">
        <f t="shared" si="79"/>
        <v>0</v>
      </c>
      <c r="CX491" s="16"/>
      <c r="CY491" s="16"/>
      <c r="CZ491" s="16"/>
    </row>
    <row r="492" spans="1:108" ht="15" customHeight="1" x14ac:dyDescent="0.2">
      <c r="A492" s="1">
        <v>8999997125</v>
      </c>
      <c r="B492" s="1">
        <v>899999712</v>
      </c>
      <c r="C492" s="9">
        <v>217725377</v>
      </c>
      <c r="D492" s="10" t="s">
        <v>504</v>
      </c>
      <c r="E492" s="42" t="s">
        <v>2092</v>
      </c>
      <c r="F492" s="21"/>
      <c r="G492" s="50"/>
      <c r="H492" s="21"/>
      <c r="I492" s="50"/>
      <c r="J492" s="21"/>
      <c r="K492" s="21"/>
      <c r="L492" s="50"/>
      <c r="M492" s="51"/>
      <c r="N492" s="21"/>
      <c r="O492" s="50"/>
      <c r="P492" s="21"/>
      <c r="Q492" s="50"/>
      <c r="R492" s="21"/>
      <c r="S492" s="21"/>
      <c r="T492" s="50"/>
      <c r="U492" s="51">
        <f t="shared" si="73"/>
        <v>0</v>
      </c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>
        <v>272086136</v>
      </c>
      <c r="AN492" s="51">
        <f>SUBTOTAL(9,AC492:AM492)</f>
        <v>272086136</v>
      </c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>
        <v>107141970</v>
      </c>
      <c r="AZ492" s="51"/>
      <c r="BA492" s="51"/>
      <c r="BB492" s="51"/>
      <c r="BC492" s="52">
        <f t="shared" si="76"/>
        <v>379228106</v>
      </c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>
        <v>21428394</v>
      </c>
      <c r="BO492" s="51"/>
      <c r="BP492" s="52">
        <v>400656500</v>
      </c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>
        <v>21428394</v>
      </c>
      <c r="CD492" s="52"/>
      <c r="CE492" s="52"/>
      <c r="CF492" s="52"/>
      <c r="CG492" s="52">
        <f t="shared" si="77"/>
        <v>422084894</v>
      </c>
      <c r="CH492" s="52"/>
      <c r="CI492" s="52"/>
      <c r="CJ492" s="52"/>
      <c r="CK492" s="52"/>
      <c r="CL492" s="52"/>
      <c r="CM492" s="52"/>
      <c r="CN492" s="52"/>
      <c r="CO492" s="52"/>
      <c r="CP492" s="52"/>
      <c r="CQ492" s="52">
        <v>21428394</v>
      </c>
      <c r="CR492" s="52"/>
      <c r="CS492" s="52">
        <f t="shared" si="74"/>
        <v>443513288</v>
      </c>
      <c r="CT492" s="53">
        <v>171427152</v>
      </c>
      <c r="CU492" s="53">
        <f t="shared" si="75"/>
        <v>272086136</v>
      </c>
      <c r="CV492" s="54">
        <f t="shared" si="78"/>
        <v>443513288</v>
      </c>
      <c r="CW492" s="55">
        <f t="shared" si="79"/>
        <v>0</v>
      </c>
      <c r="CX492" s="16"/>
      <c r="CY492" s="16"/>
      <c r="CZ492" s="16"/>
    </row>
    <row r="493" spans="1:108" ht="15" customHeight="1" x14ac:dyDescent="0.2">
      <c r="A493" s="1">
        <v>8000996655</v>
      </c>
      <c r="B493" s="1">
        <v>800099665</v>
      </c>
      <c r="C493" s="9">
        <v>218015380</v>
      </c>
      <c r="D493" s="10" t="s">
        <v>262</v>
      </c>
      <c r="E493" s="42" t="s">
        <v>1296</v>
      </c>
      <c r="F493" s="21"/>
      <c r="G493" s="50"/>
      <c r="H493" s="21"/>
      <c r="I493" s="50"/>
      <c r="J493" s="21"/>
      <c r="K493" s="21"/>
      <c r="L493" s="50"/>
      <c r="M493" s="51"/>
      <c r="N493" s="21"/>
      <c r="O493" s="50"/>
      <c r="P493" s="21"/>
      <c r="Q493" s="50"/>
      <c r="R493" s="21"/>
      <c r="S493" s="21"/>
      <c r="T493" s="50"/>
      <c r="U493" s="51">
        <f t="shared" si="73"/>
        <v>0</v>
      </c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>
        <v>15661275</v>
      </c>
      <c r="AZ493" s="51"/>
      <c r="BA493" s="51">
        <f>VLOOKUP(B493,[1]Hoja3!J$3:K$674,2,0)</f>
        <v>31869552</v>
      </c>
      <c r="BB493" s="51"/>
      <c r="BC493" s="52">
        <f t="shared" si="76"/>
        <v>47530827</v>
      </c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>
        <v>3132255</v>
      </c>
      <c r="BO493" s="51"/>
      <c r="BP493" s="52">
        <v>50663082</v>
      </c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>
        <v>3132255</v>
      </c>
      <c r="CD493" s="52"/>
      <c r="CE493" s="52"/>
      <c r="CF493" s="52"/>
      <c r="CG493" s="52">
        <f t="shared" si="77"/>
        <v>53795337</v>
      </c>
      <c r="CH493" s="52"/>
      <c r="CI493" s="52"/>
      <c r="CJ493" s="52"/>
      <c r="CK493" s="52"/>
      <c r="CL493" s="52"/>
      <c r="CM493" s="52"/>
      <c r="CN493" s="52"/>
      <c r="CO493" s="52"/>
      <c r="CP493" s="52"/>
      <c r="CQ493" s="52">
        <v>3132255</v>
      </c>
      <c r="CR493" s="52"/>
      <c r="CS493" s="52">
        <f t="shared" si="74"/>
        <v>56927592</v>
      </c>
      <c r="CT493" s="53">
        <v>25058040</v>
      </c>
      <c r="CU493" s="53">
        <f t="shared" si="75"/>
        <v>31869552</v>
      </c>
      <c r="CV493" s="54">
        <f t="shared" si="78"/>
        <v>56927592</v>
      </c>
      <c r="CW493" s="55">
        <f t="shared" si="79"/>
        <v>0</v>
      </c>
      <c r="CX493" s="16"/>
      <c r="CY493" s="8"/>
      <c r="CZ493" s="8"/>
      <c r="DA493" s="8"/>
      <c r="DB493" s="8"/>
      <c r="DC493" s="8"/>
      <c r="DD493" s="8"/>
    </row>
    <row r="494" spans="1:108" ht="15" customHeight="1" x14ac:dyDescent="0.2">
      <c r="A494" s="1">
        <v>8909812075</v>
      </c>
      <c r="B494" s="1">
        <v>890981207</v>
      </c>
      <c r="C494" s="9">
        <v>217605376</v>
      </c>
      <c r="D494" s="10" t="s">
        <v>101</v>
      </c>
      <c r="E494" s="42" t="s">
        <v>1132</v>
      </c>
      <c r="F494" s="21"/>
      <c r="G494" s="50"/>
      <c r="H494" s="21"/>
      <c r="I494" s="50"/>
      <c r="J494" s="21"/>
      <c r="K494" s="21"/>
      <c r="L494" s="50"/>
      <c r="M494" s="51"/>
      <c r="N494" s="21"/>
      <c r="O494" s="50"/>
      <c r="P494" s="21"/>
      <c r="Q494" s="50"/>
      <c r="R494" s="21"/>
      <c r="S494" s="21"/>
      <c r="T494" s="50"/>
      <c r="U494" s="51">
        <f t="shared" si="73"/>
        <v>0</v>
      </c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>
        <v>355744142</v>
      </c>
      <c r="AN494" s="51">
        <f>SUBTOTAL(9,AC494:AM494)</f>
        <v>355744142</v>
      </c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>
        <v>252111705</v>
      </c>
      <c r="AZ494" s="51"/>
      <c r="BA494" s="51">
        <f>VLOOKUP(B494,[1]Hoja3!J$3:K$674,2,0)</f>
        <v>299454394</v>
      </c>
      <c r="BB494" s="51">
        <f>VLOOKUP(B494,'[2]anuladas en mayo gratuidad}'!K$2:L$55,2,0)</f>
        <v>41277828</v>
      </c>
      <c r="BC494" s="52">
        <f t="shared" si="76"/>
        <v>866032413</v>
      </c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>
        <v>50422341</v>
      </c>
      <c r="BO494" s="51"/>
      <c r="BP494" s="52">
        <v>916454754</v>
      </c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>
        <v>50422341</v>
      </c>
      <c r="CD494" s="52"/>
      <c r="CE494" s="52">
        <v>41277828</v>
      </c>
      <c r="CF494" s="52"/>
      <c r="CG494" s="52">
        <f t="shared" si="77"/>
        <v>1008154923</v>
      </c>
      <c r="CH494" s="52"/>
      <c r="CI494" s="52"/>
      <c r="CJ494" s="52"/>
      <c r="CK494" s="52"/>
      <c r="CL494" s="52"/>
      <c r="CM494" s="52"/>
      <c r="CN494" s="52"/>
      <c r="CO494" s="52"/>
      <c r="CP494" s="52"/>
      <c r="CQ494" s="52">
        <v>50422341</v>
      </c>
      <c r="CR494" s="52"/>
      <c r="CS494" s="52">
        <f t="shared" si="74"/>
        <v>1058577264</v>
      </c>
      <c r="CT494" s="53">
        <v>403378728</v>
      </c>
      <c r="CU494" s="53">
        <f t="shared" si="75"/>
        <v>655198536</v>
      </c>
      <c r="CV494" s="54">
        <f t="shared" si="78"/>
        <v>1058577264</v>
      </c>
      <c r="CW494" s="55">
        <f t="shared" si="79"/>
        <v>0</v>
      </c>
      <c r="CX494" s="16"/>
      <c r="CY494" s="16"/>
      <c r="CZ494" s="16"/>
    </row>
    <row r="495" spans="1:108" ht="15" customHeight="1" x14ac:dyDescent="0.2">
      <c r="A495" s="1">
        <v>8914800262</v>
      </c>
      <c r="B495" s="1">
        <v>891480026</v>
      </c>
      <c r="C495" s="9">
        <v>218366383</v>
      </c>
      <c r="D495" s="10" t="s">
        <v>804</v>
      </c>
      <c r="E495" s="42" t="s">
        <v>1821</v>
      </c>
      <c r="F495" s="21"/>
      <c r="G495" s="50"/>
      <c r="H495" s="21"/>
      <c r="I495" s="50"/>
      <c r="J495" s="21"/>
      <c r="K495" s="21"/>
      <c r="L495" s="50"/>
      <c r="M495" s="51"/>
      <c r="N495" s="21"/>
      <c r="O495" s="50"/>
      <c r="P495" s="21"/>
      <c r="Q495" s="50"/>
      <c r="R495" s="21"/>
      <c r="S495" s="21"/>
      <c r="T495" s="50"/>
      <c r="U495" s="51">
        <f t="shared" si="73"/>
        <v>0</v>
      </c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>
        <v>54791290</v>
      </c>
      <c r="AZ495" s="51"/>
      <c r="BA495" s="51">
        <f>VLOOKUP(B495,[1]Hoja3!J$3:K$674,2,0)</f>
        <v>83513234</v>
      </c>
      <c r="BB495" s="51"/>
      <c r="BC495" s="52">
        <f t="shared" si="76"/>
        <v>138304524</v>
      </c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>
        <v>10958258</v>
      </c>
      <c r="BO495" s="51"/>
      <c r="BP495" s="52">
        <v>149262782</v>
      </c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  <c r="CC495" s="52">
        <v>10958258</v>
      </c>
      <c r="CD495" s="52"/>
      <c r="CE495" s="52"/>
      <c r="CF495" s="52"/>
      <c r="CG495" s="52">
        <f t="shared" si="77"/>
        <v>160221040</v>
      </c>
      <c r="CH495" s="52"/>
      <c r="CI495" s="52"/>
      <c r="CJ495" s="52"/>
      <c r="CK495" s="52"/>
      <c r="CL495" s="52"/>
      <c r="CM495" s="52"/>
      <c r="CN495" s="52"/>
      <c r="CO495" s="52"/>
      <c r="CP495" s="52"/>
      <c r="CQ495" s="52">
        <v>10958258</v>
      </c>
      <c r="CR495" s="52"/>
      <c r="CS495" s="52">
        <f t="shared" si="74"/>
        <v>171179298</v>
      </c>
      <c r="CT495" s="53">
        <v>87666064</v>
      </c>
      <c r="CU495" s="53">
        <f t="shared" si="75"/>
        <v>83513234</v>
      </c>
      <c r="CV495" s="54">
        <f t="shared" si="78"/>
        <v>171179298</v>
      </c>
      <c r="CW495" s="55">
        <f t="shared" si="79"/>
        <v>0</v>
      </c>
      <c r="CX495" s="16"/>
      <c r="CY495" s="16"/>
      <c r="CZ495" s="16"/>
    </row>
    <row r="496" spans="1:108" ht="15" customHeight="1" x14ac:dyDescent="0.2">
      <c r="A496" s="1">
        <v>8000990989</v>
      </c>
      <c r="B496" s="1">
        <v>800099098</v>
      </c>
      <c r="C496" s="9">
        <v>217852378</v>
      </c>
      <c r="D496" s="10" t="s">
        <v>717</v>
      </c>
      <c r="E496" s="42" t="s">
        <v>1739</v>
      </c>
      <c r="F496" s="21"/>
      <c r="G496" s="50"/>
      <c r="H496" s="21"/>
      <c r="I496" s="50"/>
      <c r="J496" s="21"/>
      <c r="K496" s="21"/>
      <c r="L496" s="50"/>
      <c r="M496" s="51"/>
      <c r="N496" s="21"/>
      <c r="O496" s="50"/>
      <c r="P496" s="21"/>
      <c r="Q496" s="50"/>
      <c r="R496" s="21"/>
      <c r="S496" s="21"/>
      <c r="T496" s="50"/>
      <c r="U496" s="51">
        <f t="shared" si="73"/>
        <v>0</v>
      </c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>
        <v>172716870</v>
      </c>
      <c r="AZ496" s="51"/>
      <c r="BA496" s="51">
        <f>VLOOKUP(B496,[1]Hoja3!J$3:K$674,2,0)</f>
        <v>249881234</v>
      </c>
      <c r="BB496" s="51"/>
      <c r="BC496" s="52">
        <f t="shared" si="76"/>
        <v>422598104</v>
      </c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>
        <v>34543374</v>
      </c>
      <c r="BO496" s="51"/>
      <c r="BP496" s="52">
        <v>457141478</v>
      </c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>
        <v>34543374</v>
      </c>
      <c r="CD496" s="52"/>
      <c r="CE496" s="52"/>
      <c r="CF496" s="52"/>
      <c r="CG496" s="52">
        <f t="shared" si="77"/>
        <v>491684852</v>
      </c>
      <c r="CH496" s="52"/>
      <c r="CI496" s="52"/>
      <c r="CJ496" s="52"/>
      <c r="CK496" s="52"/>
      <c r="CL496" s="52"/>
      <c r="CM496" s="52"/>
      <c r="CN496" s="52"/>
      <c r="CO496" s="52"/>
      <c r="CP496" s="52"/>
      <c r="CQ496" s="52">
        <v>34543374</v>
      </c>
      <c r="CR496" s="52"/>
      <c r="CS496" s="52">
        <f t="shared" si="74"/>
        <v>526228226</v>
      </c>
      <c r="CT496" s="53">
        <v>276346992</v>
      </c>
      <c r="CU496" s="53">
        <f t="shared" si="75"/>
        <v>249881234</v>
      </c>
      <c r="CV496" s="54">
        <f t="shared" si="78"/>
        <v>526228226</v>
      </c>
      <c r="CW496" s="55">
        <f t="shared" si="79"/>
        <v>0</v>
      </c>
      <c r="CX496" s="16"/>
      <c r="CY496" s="16"/>
      <c r="CZ496" s="16"/>
    </row>
    <row r="497" spans="1:104" ht="15" customHeight="1" x14ac:dyDescent="0.2">
      <c r="A497" s="1">
        <v>8001005217</v>
      </c>
      <c r="B497" s="1">
        <v>800100521</v>
      </c>
      <c r="C497" s="9">
        <v>217776377</v>
      </c>
      <c r="D497" s="10" t="s">
        <v>930</v>
      </c>
      <c r="E497" s="42" t="s">
        <v>1990</v>
      </c>
      <c r="F497" s="21"/>
      <c r="G497" s="50"/>
      <c r="H497" s="21"/>
      <c r="I497" s="50"/>
      <c r="J497" s="21"/>
      <c r="K497" s="21"/>
      <c r="L497" s="50"/>
      <c r="M497" s="51"/>
      <c r="N497" s="21"/>
      <c r="O497" s="50"/>
      <c r="P497" s="21"/>
      <c r="Q497" s="50"/>
      <c r="R497" s="21"/>
      <c r="S497" s="21"/>
      <c r="T497" s="50"/>
      <c r="U497" s="51">
        <f t="shared" si="73"/>
        <v>0</v>
      </c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>
        <v>57421425</v>
      </c>
      <c r="AN497" s="51">
        <f>SUBTOTAL(9,AC497:AM497)</f>
        <v>57421425</v>
      </c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>
        <v>75148415</v>
      </c>
      <c r="AZ497" s="51"/>
      <c r="BA497" s="51">
        <f>VLOOKUP(B497,[1]Hoja3!J$3:K$674,2,0)</f>
        <v>125758090</v>
      </c>
      <c r="BB497" s="51"/>
      <c r="BC497" s="52">
        <f t="shared" si="76"/>
        <v>258327930</v>
      </c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>
        <v>15029683</v>
      </c>
      <c r="BO497" s="51"/>
      <c r="BP497" s="52">
        <v>273357613</v>
      </c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  <c r="CC497" s="52">
        <v>15029683</v>
      </c>
      <c r="CD497" s="52"/>
      <c r="CE497" s="52"/>
      <c r="CF497" s="52"/>
      <c r="CG497" s="52">
        <f t="shared" si="77"/>
        <v>288387296</v>
      </c>
      <c r="CH497" s="52"/>
      <c r="CI497" s="52"/>
      <c r="CJ497" s="52"/>
      <c r="CK497" s="52"/>
      <c r="CL497" s="52"/>
      <c r="CM497" s="52"/>
      <c r="CN497" s="52"/>
      <c r="CO497" s="52"/>
      <c r="CP497" s="52"/>
      <c r="CQ497" s="52">
        <v>15029683</v>
      </c>
      <c r="CR497" s="52"/>
      <c r="CS497" s="52">
        <f t="shared" si="74"/>
        <v>303416979</v>
      </c>
      <c r="CT497" s="53">
        <v>120237464</v>
      </c>
      <c r="CU497" s="53">
        <f t="shared" si="75"/>
        <v>183179515</v>
      </c>
      <c r="CV497" s="54">
        <f t="shared" si="78"/>
        <v>303416979</v>
      </c>
      <c r="CW497" s="55">
        <f t="shared" si="79"/>
        <v>0</v>
      </c>
      <c r="CX497" s="16"/>
      <c r="CY497" s="16"/>
      <c r="CZ497" s="16"/>
    </row>
    <row r="498" spans="1:104" ht="15" customHeight="1" x14ac:dyDescent="0.2">
      <c r="A498" s="1">
        <v>8908011306</v>
      </c>
      <c r="B498" s="1">
        <v>890801130</v>
      </c>
      <c r="C498" s="9">
        <v>218017380</v>
      </c>
      <c r="D498" s="10" t="s">
        <v>342</v>
      </c>
      <c r="E498" s="44" t="s">
        <v>2248</v>
      </c>
      <c r="F498" s="21"/>
      <c r="G498" s="50"/>
      <c r="H498" s="21"/>
      <c r="I498" s="50"/>
      <c r="J498" s="21"/>
      <c r="K498" s="21"/>
      <c r="L498" s="50"/>
      <c r="M498" s="51"/>
      <c r="N498" s="21"/>
      <c r="O498" s="50"/>
      <c r="P498" s="21"/>
      <c r="Q498" s="50"/>
      <c r="R498" s="21"/>
      <c r="S498" s="21"/>
      <c r="T498" s="50"/>
      <c r="U498" s="51">
        <f t="shared" si="73"/>
        <v>0</v>
      </c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>
        <v>574112707</v>
      </c>
      <c r="AN498" s="51">
        <f>SUBTOTAL(9,AC498:AM498)</f>
        <v>574112707</v>
      </c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>
        <f>VLOOKUP(B498,[1]Hoja3!J$3:K$674,2,0)</f>
        <v>257909118</v>
      </c>
      <c r="BB498" s="51"/>
      <c r="BC498" s="52">
        <f t="shared" si="76"/>
        <v>832021825</v>
      </c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>
        <v>532754016</v>
      </c>
      <c r="BO498" s="51"/>
      <c r="BP498" s="52">
        <v>1364775841</v>
      </c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>
        <v>88792336</v>
      </c>
      <c r="CD498" s="52"/>
      <c r="CE498" s="52"/>
      <c r="CF498" s="52"/>
      <c r="CG498" s="52">
        <f t="shared" si="77"/>
        <v>1453568177</v>
      </c>
      <c r="CH498" s="52"/>
      <c r="CI498" s="52"/>
      <c r="CJ498" s="52"/>
      <c r="CK498" s="52"/>
      <c r="CL498" s="52"/>
      <c r="CM498" s="52"/>
      <c r="CN498" s="52"/>
      <c r="CO498" s="52"/>
      <c r="CP498" s="52"/>
      <c r="CQ498" s="52">
        <v>88792336</v>
      </c>
      <c r="CR498" s="52"/>
      <c r="CS498" s="52">
        <f t="shared" si="74"/>
        <v>1542360513</v>
      </c>
      <c r="CT498" s="53">
        <v>710338688</v>
      </c>
      <c r="CU498" s="53">
        <f t="shared" si="75"/>
        <v>832021825</v>
      </c>
      <c r="CV498" s="54">
        <f t="shared" si="78"/>
        <v>1542360513</v>
      </c>
      <c r="CW498" s="55">
        <f t="shared" si="79"/>
        <v>0</v>
      </c>
      <c r="CX498" s="16"/>
      <c r="CY498" s="16"/>
      <c r="CZ498" s="16"/>
    </row>
    <row r="499" spans="1:104" ht="15" customHeight="1" x14ac:dyDescent="0.2">
      <c r="A499" s="1">
        <v>8002450219</v>
      </c>
      <c r="B499" s="1">
        <v>800245021</v>
      </c>
      <c r="C499" s="9">
        <v>218554385</v>
      </c>
      <c r="D499" s="10" t="s">
        <v>769</v>
      </c>
      <c r="E499" s="42" t="s">
        <v>1787</v>
      </c>
      <c r="F499" s="21"/>
      <c r="G499" s="50"/>
      <c r="H499" s="21"/>
      <c r="I499" s="50"/>
      <c r="J499" s="21"/>
      <c r="K499" s="21"/>
      <c r="L499" s="50"/>
      <c r="M499" s="51"/>
      <c r="N499" s="21"/>
      <c r="O499" s="50"/>
      <c r="P499" s="21"/>
      <c r="Q499" s="50"/>
      <c r="R499" s="21"/>
      <c r="S499" s="21"/>
      <c r="T499" s="50"/>
      <c r="U499" s="51">
        <f t="shared" si="73"/>
        <v>0</v>
      </c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>
        <v>138735965</v>
      </c>
      <c r="AZ499" s="51"/>
      <c r="BA499" s="51">
        <f>VLOOKUP(B499,[1]Hoja3!J$3:K$674,2,0)</f>
        <v>138481388</v>
      </c>
      <c r="BB499" s="51"/>
      <c r="BC499" s="52">
        <f t="shared" si="76"/>
        <v>277217353</v>
      </c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>
        <v>27747193</v>
      </c>
      <c r="BO499" s="51"/>
      <c r="BP499" s="52">
        <v>304964546</v>
      </c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  <c r="CA499" s="52"/>
      <c r="CB499" s="52"/>
      <c r="CC499" s="52">
        <v>27747193</v>
      </c>
      <c r="CD499" s="52"/>
      <c r="CE499" s="52"/>
      <c r="CF499" s="52"/>
      <c r="CG499" s="52">
        <f t="shared" si="77"/>
        <v>332711739</v>
      </c>
      <c r="CH499" s="52"/>
      <c r="CI499" s="52"/>
      <c r="CJ499" s="52"/>
      <c r="CK499" s="52"/>
      <c r="CL499" s="52"/>
      <c r="CM499" s="52"/>
      <c r="CN499" s="52"/>
      <c r="CO499" s="52"/>
      <c r="CP499" s="52"/>
      <c r="CQ499" s="52">
        <v>27747193</v>
      </c>
      <c r="CR499" s="52"/>
      <c r="CS499" s="52">
        <f t="shared" si="74"/>
        <v>360458932</v>
      </c>
      <c r="CT499" s="53">
        <v>221977544</v>
      </c>
      <c r="CU499" s="53">
        <f t="shared" si="75"/>
        <v>138481388</v>
      </c>
      <c r="CV499" s="54">
        <f t="shared" si="78"/>
        <v>360458932</v>
      </c>
      <c r="CW499" s="55">
        <f t="shared" si="79"/>
        <v>0</v>
      </c>
      <c r="CX499" s="16"/>
      <c r="CY499" s="16"/>
      <c r="CZ499" s="16"/>
    </row>
    <row r="500" spans="1:104" ht="15" customHeight="1" x14ac:dyDescent="0.2">
      <c r="A500" s="1">
        <v>8909807824</v>
      </c>
      <c r="B500" s="1">
        <v>890980782</v>
      </c>
      <c r="C500" s="9">
        <v>218005380</v>
      </c>
      <c r="D500" s="10" t="s">
        <v>102</v>
      </c>
      <c r="E500" s="42" t="s">
        <v>1133</v>
      </c>
      <c r="F500" s="21"/>
      <c r="G500" s="50"/>
      <c r="H500" s="21"/>
      <c r="I500" s="50"/>
      <c r="J500" s="21"/>
      <c r="K500" s="21"/>
      <c r="L500" s="50"/>
      <c r="M500" s="51"/>
      <c r="N500" s="21"/>
      <c r="O500" s="50"/>
      <c r="P500" s="21"/>
      <c r="Q500" s="50"/>
      <c r="R500" s="21"/>
      <c r="S500" s="21"/>
      <c r="T500" s="50"/>
      <c r="U500" s="51">
        <f t="shared" si="73"/>
        <v>0</v>
      </c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>
        <v>420526428</v>
      </c>
      <c r="AN500" s="51">
        <f>SUBTOTAL(9,AC500:AM500)</f>
        <v>420526428</v>
      </c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>
        <v>201093200</v>
      </c>
      <c r="AZ500" s="51"/>
      <c r="BA500" s="51"/>
      <c r="BB500" s="51"/>
      <c r="BC500" s="52">
        <f t="shared" si="76"/>
        <v>621619628</v>
      </c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>
        <v>40218640</v>
      </c>
      <c r="BO500" s="51"/>
      <c r="BP500" s="52">
        <v>661838268</v>
      </c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  <c r="CC500" s="52">
        <v>40218640</v>
      </c>
      <c r="CD500" s="52"/>
      <c r="CE500" s="52"/>
      <c r="CF500" s="52"/>
      <c r="CG500" s="52">
        <f t="shared" si="77"/>
        <v>702056908</v>
      </c>
      <c r="CH500" s="52"/>
      <c r="CI500" s="52"/>
      <c r="CJ500" s="52"/>
      <c r="CK500" s="52"/>
      <c r="CL500" s="52"/>
      <c r="CM500" s="52"/>
      <c r="CN500" s="52"/>
      <c r="CO500" s="52"/>
      <c r="CP500" s="52"/>
      <c r="CQ500" s="52">
        <v>40218640</v>
      </c>
      <c r="CR500" s="52"/>
      <c r="CS500" s="52">
        <f t="shared" si="74"/>
        <v>742275548</v>
      </c>
      <c r="CT500" s="53">
        <v>321749120</v>
      </c>
      <c r="CU500" s="53">
        <f t="shared" si="75"/>
        <v>420526428</v>
      </c>
      <c r="CV500" s="54">
        <f t="shared" si="78"/>
        <v>742275548</v>
      </c>
      <c r="CW500" s="55">
        <f t="shared" si="79"/>
        <v>0</v>
      </c>
      <c r="CX500" s="16"/>
      <c r="CY500" s="16"/>
      <c r="CZ500" s="16"/>
    </row>
    <row r="501" spans="1:104" ht="15" customHeight="1" x14ac:dyDescent="0.2">
      <c r="A501" s="1">
        <v>8000991006</v>
      </c>
      <c r="B501" s="1">
        <v>800099100</v>
      </c>
      <c r="C501" s="9">
        <v>218152381</v>
      </c>
      <c r="D501" s="10" t="s">
        <v>718</v>
      </c>
      <c r="E501" s="42" t="s">
        <v>1740</v>
      </c>
      <c r="F501" s="21"/>
      <c r="G501" s="50"/>
      <c r="H501" s="21"/>
      <c r="I501" s="50"/>
      <c r="J501" s="21"/>
      <c r="K501" s="21"/>
      <c r="L501" s="50"/>
      <c r="M501" s="51"/>
      <c r="N501" s="21"/>
      <c r="O501" s="50"/>
      <c r="P501" s="21"/>
      <c r="Q501" s="50"/>
      <c r="R501" s="21"/>
      <c r="S501" s="21"/>
      <c r="T501" s="50"/>
      <c r="U501" s="51">
        <f t="shared" si="73"/>
        <v>0</v>
      </c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>
        <v>125744363</v>
      </c>
      <c r="AN501" s="51">
        <f>SUBTOTAL(9,AC501:AM501)</f>
        <v>125744363</v>
      </c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>
        <v>87695130</v>
      </c>
      <c r="AZ501" s="51"/>
      <c r="BA501" s="51"/>
      <c r="BB501" s="51"/>
      <c r="BC501" s="52">
        <f t="shared" si="76"/>
        <v>213439493</v>
      </c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>
        <v>17539026</v>
      </c>
      <c r="BO501" s="51"/>
      <c r="BP501" s="52">
        <v>230978519</v>
      </c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  <c r="CC501" s="52">
        <v>17539026</v>
      </c>
      <c r="CD501" s="52"/>
      <c r="CE501" s="52"/>
      <c r="CF501" s="52"/>
      <c r="CG501" s="52">
        <f t="shared" si="77"/>
        <v>248517545</v>
      </c>
      <c r="CH501" s="52"/>
      <c r="CI501" s="52"/>
      <c r="CJ501" s="52"/>
      <c r="CK501" s="52"/>
      <c r="CL501" s="52"/>
      <c r="CM501" s="52"/>
      <c r="CN501" s="52"/>
      <c r="CO501" s="52"/>
      <c r="CP501" s="52"/>
      <c r="CQ501" s="52">
        <v>17539026</v>
      </c>
      <c r="CR501" s="52"/>
      <c r="CS501" s="52">
        <f t="shared" si="74"/>
        <v>266056571</v>
      </c>
      <c r="CT501" s="53">
        <v>140312208</v>
      </c>
      <c r="CU501" s="53">
        <f t="shared" si="75"/>
        <v>125744363</v>
      </c>
      <c r="CV501" s="54">
        <f t="shared" si="78"/>
        <v>266056571</v>
      </c>
      <c r="CW501" s="55">
        <f t="shared" si="79"/>
        <v>0</v>
      </c>
      <c r="CX501" s="16"/>
      <c r="CY501" s="16"/>
      <c r="CZ501" s="16"/>
    </row>
    <row r="502" spans="1:104" ht="15" customHeight="1" x14ac:dyDescent="0.2">
      <c r="A502" s="1">
        <v>8000965993</v>
      </c>
      <c r="B502" s="1">
        <v>800096599</v>
      </c>
      <c r="C502" s="9">
        <v>218320383</v>
      </c>
      <c r="D502" s="10" t="s">
        <v>425</v>
      </c>
      <c r="E502" s="42" t="s">
        <v>1452</v>
      </c>
      <c r="F502" s="21"/>
      <c r="G502" s="50"/>
      <c r="H502" s="21"/>
      <c r="I502" s="50"/>
      <c r="J502" s="21"/>
      <c r="K502" s="21"/>
      <c r="L502" s="50"/>
      <c r="M502" s="51"/>
      <c r="N502" s="21"/>
      <c r="O502" s="50"/>
      <c r="P502" s="21"/>
      <c r="Q502" s="50"/>
      <c r="R502" s="21"/>
      <c r="S502" s="21"/>
      <c r="T502" s="50"/>
      <c r="U502" s="51">
        <f t="shared" si="73"/>
        <v>0</v>
      </c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>
        <v>146190335</v>
      </c>
      <c r="AZ502" s="51"/>
      <c r="BA502" s="51">
        <f>VLOOKUP(B502,[1]Hoja3!J$3:K$674,2,0)</f>
        <v>263250909</v>
      </c>
      <c r="BB502" s="51"/>
      <c r="BC502" s="52">
        <f t="shared" si="76"/>
        <v>409441244</v>
      </c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>
        <v>29238067</v>
      </c>
      <c r="BO502" s="51"/>
      <c r="BP502" s="52">
        <v>438679311</v>
      </c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>
        <v>29238067</v>
      </c>
      <c r="CD502" s="52"/>
      <c r="CE502" s="52"/>
      <c r="CF502" s="52"/>
      <c r="CG502" s="52">
        <f t="shared" si="77"/>
        <v>467917378</v>
      </c>
      <c r="CH502" s="52"/>
      <c r="CI502" s="52"/>
      <c r="CJ502" s="52"/>
      <c r="CK502" s="52"/>
      <c r="CL502" s="52"/>
      <c r="CM502" s="52"/>
      <c r="CN502" s="52"/>
      <c r="CO502" s="52"/>
      <c r="CP502" s="52"/>
      <c r="CQ502" s="52">
        <v>29238067</v>
      </c>
      <c r="CR502" s="52"/>
      <c r="CS502" s="52">
        <f t="shared" si="74"/>
        <v>497155445</v>
      </c>
      <c r="CT502" s="53">
        <v>233904536</v>
      </c>
      <c r="CU502" s="53">
        <f t="shared" si="75"/>
        <v>263250909</v>
      </c>
      <c r="CV502" s="54">
        <f t="shared" si="78"/>
        <v>497155445</v>
      </c>
      <c r="CW502" s="55">
        <f t="shared" si="79"/>
        <v>0</v>
      </c>
      <c r="CX502" s="16"/>
      <c r="CY502" s="16"/>
      <c r="CZ502" s="16"/>
    </row>
    <row r="503" spans="1:104" ht="15" customHeight="1" x14ac:dyDescent="0.2">
      <c r="A503" s="1">
        <v>8001086838</v>
      </c>
      <c r="B503" s="1">
        <v>800108683</v>
      </c>
      <c r="C503" s="9">
        <v>210020400</v>
      </c>
      <c r="D503" s="10" t="s">
        <v>426</v>
      </c>
      <c r="E503" s="42" t="s">
        <v>1453</v>
      </c>
      <c r="F503" s="21"/>
      <c r="G503" s="50"/>
      <c r="H503" s="21"/>
      <c r="I503" s="50"/>
      <c r="J503" s="21"/>
      <c r="K503" s="21"/>
      <c r="L503" s="50"/>
      <c r="M503" s="51"/>
      <c r="N503" s="21"/>
      <c r="O503" s="50"/>
      <c r="P503" s="21"/>
      <c r="Q503" s="50"/>
      <c r="R503" s="21"/>
      <c r="S503" s="21"/>
      <c r="T503" s="50"/>
      <c r="U503" s="51">
        <f t="shared" si="73"/>
        <v>0</v>
      </c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>
        <v>407919025</v>
      </c>
      <c r="AZ503" s="51"/>
      <c r="BA503" s="51">
        <f>VLOOKUP(B503,[1]Hoja3!J$3:K$674,2,0)</f>
        <v>638274061</v>
      </c>
      <c r="BB503" s="51"/>
      <c r="BC503" s="52">
        <f t="shared" si="76"/>
        <v>1046193086</v>
      </c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>
        <v>81583805</v>
      </c>
      <c r="BO503" s="51"/>
      <c r="BP503" s="52">
        <v>1127776891</v>
      </c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  <c r="CA503" s="52"/>
      <c r="CB503" s="52"/>
      <c r="CC503" s="52">
        <v>81583805</v>
      </c>
      <c r="CD503" s="52"/>
      <c r="CE503" s="52"/>
      <c r="CF503" s="52"/>
      <c r="CG503" s="52">
        <f t="shared" si="77"/>
        <v>1209360696</v>
      </c>
      <c r="CH503" s="52"/>
      <c r="CI503" s="52"/>
      <c r="CJ503" s="52"/>
      <c r="CK503" s="52"/>
      <c r="CL503" s="52"/>
      <c r="CM503" s="52"/>
      <c r="CN503" s="52"/>
      <c r="CO503" s="52"/>
      <c r="CP503" s="52"/>
      <c r="CQ503" s="52">
        <v>81583805</v>
      </c>
      <c r="CR503" s="52"/>
      <c r="CS503" s="52">
        <f t="shared" si="74"/>
        <v>1290944501</v>
      </c>
      <c r="CT503" s="53">
        <v>652670440</v>
      </c>
      <c r="CU503" s="53">
        <f t="shared" si="75"/>
        <v>638274061</v>
      </c>
      <c r="CV503" s="54">
        <f t="shared" si="78"/>
        <v>1290944501</v>
      </c>
      <c r="CW503" s="55">
        <f t="shared" si="79"/>
        <v>0</v>
      </c>
      <c r="CX503" s="16"/>
      <c r="CY503" s="16"/>
      <c r="CZ503" s="16"/>
    </row>
    <row r="504" spans="1:104" ht="15" customHeight="1" x14ac:dyDescent="0.2">
      <c r="A504" s="1">
        <v>8250006761</v>
      </c>
      <c r="B504" s="1">
        <v>825000676</v>
      </c>
      <c r="C504" s="9">
        <v>212044420</v>
      </c>
      <c r="D504" s="10" t="s">
        <v>2124</v>
      </c>
      <c r="E504" s="42" t="s">
        <v>1654</v>
      </c>
      <c r="F504" s="21"/>
      <c r="G504" s="50"/>
      <c r="H504" s="21"/>
      <c r="I504" s="50"/>
      <c r="J504" s="21"/>
      <c r="K504" s="21"/>
      <c r="L504" s="50"/>
      <c r="M504" s="51"/>
      <c r="N504" s="21"/>
      <c r="O504" s="50"/>
      <c r="P504" s="21"/>
      <c r="Q504" s="50"/>
      <c r="R504" s="21"/>
      <c r="S504" s="21"/>
      <c r="T504" s="50"/>
      <c r="U504" s="51">
        <f t="shared" si="73"/>
        <v>0</v>
      </c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>
        <f>VLOOKUP(B504,[1]Hoja3!J$3:K$674,2,0)</f>
        <v>47772073</v>
      </c>
      <c r="BB504" s="51"/>
      <c r="BC504" s="52">
        <f t="shared" si="76"/>
        <v>47772073</v>
      </c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>
        <v>0</v>
      </c>
      <c r="BO504" s="51"/>
      <c r="BP504" s="52">
        <v>47772073</v>
      </c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  <c r="CC504" s="52">
        <v>0</v>
      </c>
      <c r="CD504" s="52"/>
      <c r="CE504" s="52"/>
      <c r="CF504" s="52"/>
      <c r="CG504" s="52">
        <f t="shared" si="77"/>
        <v>47772073</v>
      </c>
      <c r="CH504" s="52"/>
      <c r="CI504" s="52"/>
      <c r="CJ504" s="52"/>
      <c r="CK504" s="52"/>
      <c r="CL504" s="52"/>
      <c r="CM504" s="52"/>
      <c r="CN504" s="52"/>
      <c r="CO504" s="52"/>
      <c r="CP504" s="52"/>
      <c r="CQ504" s="52">
        <v>52521928</v>
      </c>
      <c r="CR504" s="52"/>
      <c r="CS504" s="52">
        <f t="shared" si="74"/>
        <v>100294001</v>
      </c>
      <c r="CT504" s="53">
        <v>52521928</v>
      </c>
      <c r="CU504" s="53">
        <f t="shared" si="75"/>
        <v>47772073</v>
      </c>
      <c r="CV504" s="54">
        <f t="shared" si="78"/>
        <v>100294001</v>
      </c>
      <c r="CW504" s="55">
        <f t="shared" si="79"/>
        <v>0</v>
      </c>
      <c r="CX504" s="16"/>
      <c r="CY504" s="16"/>
      <c r="CZ504" s="16"/>
    </row>
    <row r="505" spans="1:104" ht="15" customHeight="1" x14ac:dyDescent="0.2">
      <c r="A505" s="1">
        <v>8001498940</v>
      </c>
      <c r="B505" s="1">
        <v>800149894</v>
      </c>
      <c r="C505" s="9">
        <v>218552385</v>
      </c>
      <c r="D505" s="10" t="s">
        <v>719</v>
      </c>
      <c r="E505" s="42" t="s">
        <v>1741</v>
      </c>
      <c r="F505" s="21"/>
      <c r="G505" s="50"/>
      <c r="H505" s="21"/>
      <c r="I505" s="50"/>
      <c r="J505" s="21"/>
      <c r="K505" s="21"/>
      <c r="L505" s="50"/>
      <c r="M505" s="51"/>
      <c r="N505" s="21"/>
      <c r="O505" s="50"/>
      <c r="P505" s="21"/>
      <c r="Q505" s="50"/>
      <c r="R505" s="21"/>
      <c r="S505" s="21"/>
      <c r="T505" s="50"/>
      <c r="U505" s="51">
        <f t="shared" si="73"/>
        <v>0</v>
      </c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>
        <v>70869637</v>
      </c>
      <c r="AN505" s="51">
        <f t="shared" ref="AN505:AN511" si="81">SUBTOTAL(9,AC505:AM505)</f>
        <v>70869637</v>
      </c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2">
        <f t="shared" si="76"/>
        <v>70869637</v>
      </c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>
        <v>0</v>
      </c>
      <c r="BO505" s="51"/>
      <c r="BP505" s="52">
        <v>70869637</v>
      </c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  <c r="CA505" s="52"/>
      <c r="CB505" s="52"/>
      <c r="CC505" s="52">
        <v>0</v>
      </c>
      <c r="CD505" s="52"/>
      <c r="CE505" s="52"/>
      <c r="CF505" s="52"/>
      <c r="CG505" s="52">
        <f t="shared" si="77"/>
        <v>70869637</v>
      </c>
      <c r="CH505" s="52"/>
      <c r="CI505" s="52"/>
      <c r="CJ505" s="52"/>
      <c r="CK505" s="52"/>
      <c r="CL505" s="52"/>
      <c r="CM505" s="52"/>
      <c r="CN505" s="52"/>
      <c r="CO505" s="52"/>
      <c r="CP505" s="52"/>
      <c r="CQ505" s="52">
        <v>66104728</v>
      </c>
      <c r="CR505" s="52"/>
      <c r="CS505" s="52">
        <f t="shared" si="74"/>
        <v>136974365</v>
      </c>
      <c r="CT505" s="53">
        <v>66104728</v>
      </c>
      <c r="CU505" s="53">
        <f t="shared" si="75"/>
        <v>70869637</v>
      </c>
      <c r="CV505" s="54">
        <f t="shared" si="78"/>
        <v>136974365</v>
      </c>
      <c r="CW505" s="55">
        <f t="shared" si="79"/>
        <v>0</v>
      </c>
      <c r="CX505" s="16"/>
      <c r="CY505" s="16"/>
      <c r="CZ505" s="16"/>
    </row>
    <row r="506" spans="1:104" ht="15" customHeight="1" x14ac:dyDescent="0.2">
      <c r="A506" s="1">
        <v>8920992349</v>
      </c>
      <c r="B506" s="1">
        <v>892099234</v>
      </c>
      <c r="C506" s="9">
        <v>215050350</v>
      </c>
      <c r="D506" s="10" t="s">
        <v>679</v>
      </c>
      <c r="E506" s="42" t="s">
        <v>1700</v>
      </c>
      <c r="F506" s="21"/>
      <c r="G506" s="50"/>
      <c r="H506" s="21"/>
      <c r="I506" s="50"/>
      <c r="J506" s="21"/>
      <c r="K506" s="21"/>
      <c r="L506" s="50"/>
      <c r="M506" s="51"/>
      <c r="N506" s="21"/>
      <c r="O506" s="50"/>
      <c r="P506" s="21"/>
      <c r="Q506" s="50"/>
      <c r="R506" s="21"/>
      <c r="S506" s="21"/>
      <c r="T506" s="50"/>
      <c r="U506" s="51">
        <f t="shared" si="73"/>
        <v>0</v>
      </c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>
        <v>220248646</v>
      </c>
      <c r="AN506" s="51">
        <f t="shared" si="81"/>
        <v>220248646</v>
      </c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2">
        <f t="shared" si="76"/>
        <v>220248646</v>
      </c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>
        <v>0</v>
      </c>
      <c r="BO506" s="51"/>
      <c r="BP506" s="52">
        <v>220248646</v>
      </c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>
        <v>329835093</v>
      </c>
      <c r="CD506" s="52"/>
      <c r="CE506" s="52">
        <v>21560052</v>
      </c>
      <c r="CF506" s="52"/>
      <c r="CG506" s="52">
        <f t="shared" si="77"/>
        <v>571643791</v>
      </c>
      <c r="CH506" s="52"/>
      <c r="CI506" s="52"/>
      <c r="CJ506" s="52"/>
      <c r="CK506" s="52"/>
      <c r="CL506" s="52"/>
      <c r="CM506" s="52"/>
      <c r="CN506" s="52"/>
      <c r="CO506" s="52"/>
      <c r="CP506" s="52"/>
      <c r="CQ506" s="52">
        <v>47119299</v>
      </c>
      <c r="CR506" s="52"/>
      <c r="CS506" s="52">
        <f t="shared" si="74"/>
        <v>618763090</v>
      </c>
      <c r="CT506" s="53">
        <v>376954392</v>
      </c>
      <c r="CU506" s="53">
        <f t="shared" si="75"/>
        <v>241808698</v>
      </c>
      <c r="CV506" s="54">
        <f t="shared" si="78"/>
        <v>618763090</v>
      </c>
      <c r="CW506" s="55">
        <f t="shared" si="79"/>
        <v>0</v>
      </c>
      <c r="CX506" s="16"/>
      <c r="CY506" s="16"/>
      <c r="CZ506" s="16"/>
    </row>
    <row r="507" spans="1:104" ht="15" customHeight="1" x14ac:dyDescent="0.2">
      <c r="A507" s="1">
        <v>8908027958</v>
      </c>
      <c r="B507" s="1">
        <v>890802795</v>
      </c>
      <c r="C507" s="9">
        <v>218817388</v>
      </c>
      <c r="D507" s="10" t="s">
        <v>343</v>
      </c>
      <c r="E507" s="42" t="s">
        <v>1373</v>
      </c>
      <c r="F507" s="21"/>
      <c r="G507" s="50"/>
      <c r="H507" s="21"/>
      <c r="I507" s="50"/>
      <c r="J507" s="21"/>
      <c r="K507" s="21"/>
      <c r="L507" s="50"/>
      <c r="M507" s="51"/>
      <c r="N507" s="21"/>
      <c r="O507" s="50"/>
      <c r="P507" s="21"/>
      <c r="Q507" s="50"/>
      <c r="R507" s="21"/>
      <c r="S507" s="21"/>
      <c r="T507" s="50"/>
      <c r="U507" s="51">
        <f t="shared" si="73"/>
        <v>0</v>
      </c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>
        <v>100240457</v>
      </c>
      <c r="AN507" s="51">
        <f t="shared" si="81"/>
        <v>100240457</v>
      </c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>
        <v>50018325</v>
      </c>
      <c r="AZ507" s="51"/>
      <c r="BA507" s="51"/>
      <c r="BB507" s="51">
        <f>VLOOKUP(B507,'[2]anuladas en mayo gratuidad}'!K$2:L$55,2,0)</f>
        <v>35202252</v>
      </c>
      <c r="BC507" s="52">
        <f t="shared" si="76"/>
        <v>115056530</v>
      </c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>
        <v>10003665</v>
      </c>
      <c r="BO507" s="51"/>
      <c r="BP507" s="52">
        <v>125060195</v>
      </c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  <c r="CA507" s="52"/>
      <c r="CB507" s="52"/>
      <c r="CC507" s="52">
        <v>10003665</v>
      </c>
      <c r="CD507" s="52"/>
      <c r="CE507" s="52"/>
      <c r="CF507" s="52"/>
      <c r="CG507" s="52">
        <f t="shared" si="77"/>
        <v>135063860</v>
      </c>
      <c r="CH507" s="52"/>
      <c r="CI507" s="52"/>
      <c r="CJ507" s="52"/>
      <c r="CK507" s="52"/>
      <c r="CL507" s="52"/>
      <c r="CM507" s="52"/>
      <c r="CN507" s="52"/>
      <c r="CO507" s="52"/>
      <c r="CP507" s="52"/>
      <c r="CQ507" s="52">
        <v>10003665</v>
      </c>
      <c r="CR507" s="52">
        <v>35202252</v>
      </c>
      <c r="CS507" s="52">
        <f t="shared" si="74"/>
        <v>180269777</v>
      </c>
      <c r="CT507" s="53">
        <v>80029320</v>
      </c>
      <c r="CU507" s="53">
        <f t="shared" si="75"/>
        <v>100240457</v>
      </c>
      <c r="CV507" s="54">
        <f t="shared" si="78"/>
        <v>180269777</v>
      </c>
      <c r="CW507" s="55">
        <f t="shared" si="79"/>
        <v>0</v>
      </c>
      <c r="CX507" s="16"/>
      <c r="CY507" s="16"/>
      <c r="CZ507" s="16"/>
    </row>
    <row r="508" spans="1:104" ht="15" customHeight="1" x14ac:dyDescent="0.2">
      <c r="A508" s="1">
        <v>8906800267</v>
      </c>
      <c r="B508" s="1">
        <v>890680026</v>
      </c>
      <c r="C508" s="9">
        <v>218625386</v>
      </c>
      <c r="D508" s="10" t="s">
        <v>505</v>
      </c>
      <c r="E508" s="42" t="s">
        <v>1531</v>
      </c>
      <c r="F508" s="21"/>
      <c r="G508" s="50"/>
      <c r="H508" s="21"/>
      <c r="I508" s="50"/>
      <c r="J508" s="21"/>
      <c r="K508" s="21"/>
      <c r="L508" s="50"/>
      <c r="M508" s="51"/>
      <c r="N508" s="21"/>
      <c r="O508" s="50"/>
      <c r="P508" s="21"/>
      <c r="Q508" s="50"/>
      <c r="R508" s="21"/>
      <c r="S508" s="21"/>
      <c r="T508" s="50"/>
      <c r="U508" s="51">
        <f t="shared" si="73"/>
        <v>0</v>
      </c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>
        <v>348340529</v>
      </c>
      <c r="AN508" s="51">
        <f t="shared" si="81"/>
        <v>348340529</v>
      </c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>
        <v>161337225</v>
      </c>
      <c r="AZ508" s="51"/>
      <c r="BA508" s="51"/>
      <c r="BB508" s="51"/>
      <c r="BC508" s="52">
        <f t="shared" si="76"/>
        <v>509677754</v>
      </c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>
        <v>32267445</v>
      </c>
      <c r="BO508" s="51"/>
      <c r="BP508" s="52">
        <v>541945199</v>
      </c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  <c r="CC508" s="52">
        <v>32267445</v>
      </c>
      <c r="CD508" s="52"/>
      <c r="CE508" s="52"/>
      <c r="CF508" s="52"/>
      <c r="CG508" s="52">
        <f t="shared" si="77"/>
        <v>574212644</v>
      </c>
      <c r="CH508" s="52"/>
      <c r="CI508" s="52"/>
      <c r="CJ508" s="52"/>
      <c r="CK508" s="52"/>
      <c r="CL508" s="52"/>
      <c r="CM508" s="52"/>
      <c r="CN508" s="52"/>
      <c r="CO508" s="52"/>
      <c r="CP508" s="52"/>
      <c r="CQ508" s="52">
        <v>32267445</v>
      </c>
      <c r="CR508" s="52"/>
      <c r="CS508" s="52">
        <f t="shared" si="74"/>
        <v>606480089</v>
      </c>
      <c r="CT508" s="53">
        <v>258139560</v>
      </c>
      <c r="CU508" s="53">
        <f t="shared" si="75"/>
        <v>348340529</v>
      </c>
      <c r="CV508" s="54">
        <f t="shared" si="78"/>
        <v>606480089</v>
      </c>
      <c r="CW508" s="55">
        <f t="shared" si="79"/>
        <v>0</v>
      </c>
      <c r="CX508" s="16"/>
      <c r="CY508" s="16"/>
      <c r="CZ508" s="16"/>
    </row>
    <row r="509" spans="1:104" ht="15" customHeight="1" x14ac:dyDescent="0.2">
      <c r="A509" s="1">
        <v>8000957702</v>
      </c>
      <c r="B509" s="1">
        <v>800095770</v>
      </c>
      <c r="C509" s="9">
        <v>211018410</v>
      </c>
      <c r="D509" s="10" t="s">
        <v>2194</v>
      </c>
      <c r="E509" s="74" t="s">
        <v>2107</v>
      </c>
      <c r="F509" s="21"/>
      <c r="G509" s="50"/>
      <c r="H509" s="21"/>
      <c r="I509" s="50"/>
      <c r="J509" s="21"/>
      <c r="K509" s="21"/>
      <c r="L509" s="50"/>
      <c r="M509" s="51"/>
      <c r="N509" s="21"/>
      <c r="O509" s="50"/>
      <c r="P509" s="21"/>
      <c r="Q509" s="50"/>
      <c r="R509" s="21"/>
      <c r="S509" s="21"/>
      <c r="T509" s="50"/>
      <c r="U509" s="51">
        <f t="shared" si="73"/>
        <v>0</v>
      </c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>
        <v>305775495</v>
      </c>
      <c r="AN509" s="51">
        <f t="shared" si="81"/>
        <v>305775495</v>
      </c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>
        <v>201024495</v>
      </c>
      <c r="AZ509" s="51"/>
      <c r="BA509" s="51">
        <f>VLOOKUP(B509,[1]Hoja3!J$3:K$674,2,0)</f>
        <v>35752080</v>
      </c>
      <c r="BB509" s="51"/>
      <c r="BC509" s="52">
        <f t="shared" si="76"/>
        <v>542552070</v>
      </c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>
        <v>40204899</v>
      </c>
      <c r="BO509" s="51"/>
      <c r="BP509" s="52">
        <v>582756969</v>
      </c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  <c r="CC509" s="52">
        <v>40204899</v>
      </c>
      <c r="CD509" s="52"/>
      <c r="CE509" s="52"/>
      <c r="CF509" s="52"/>
      <c r="CG509" s="52">
        <f t="shared" si="77"/>
        <v>622961868</v>
      </c>
      <c r="CH509" s="52"/>
      <c r="CI509" s="52"/>
      <c r="CJ509" s="52"/>
      <c r="CK509" s="52"/>
      <c r="CL509" s="52"/>
      <c r="CM509" s="52"/>
      <c r="CN509" s="52"/>
      <c r="CO509" s="52"/>
      <c r="CP509" s="52"/>
      <c r="CQ509" s="52">
        <v>40204899</v>
      </c>
      <c r="CR509" s="52"/>
      <c r="CS509" s="52">
        <f t="shared" si="74"/>
        <v>663166767</v>
      </c>
      <c r="CT509" s="53">
        <v>321639192</v>
      </c>
      <c r="CU509" s="53">
        <f t="shared" si="75"/>
        <v>341527575</v>
      </c>
      <c r="CV509" s="54">
        <f t="shared" si="78"/>
        <v>663166767</v>
      </c>
      <c r="CW509" s="55">
        <f t="shared" si="79"/>
        <v>0</v>
      </c>
      <c r="CX509" s="16"/>
      <c r="CY509" s="16"/>
      <c r="CZ509" s="16"/>
    </row>
    <row r="510" spans="1:104" ht="15" customHeight="1" x14ac:dyDescent="0.2">
      <c r="A510" s="1">
        <v>8999993691</v>
      </c>
      <c r="B510" s="1">
        <v>899999369</v>
      </c>
      <c r="C510" s="9">
        <v>219425394</v>
      </c>
      <c r="D510" s="10" t="s">
        <v>506</v>
      </c>
      <c r="E510" s="42" t="s">
        <v>2075</v>
      </c>
      <c r="F510" s="21"/>
      <c r="G510" s="50"/>
      <c r="H510" s="21"/>
      <c r="I510" s="50"/>
      <c r="J510" s="21"/>
      <c r="K510" s="21"/>
      <c r="L510" s="50"/>
      <c r="M510" s="51"/>
      <c r="N510" s="21"/>
      <c r="O510" s="50"/>
      <c r="P510" s="21"/>
      <c r="Q510" s="50"/>
      <c r="R510" s="21"/>
      <c r="S510" s="21"/>
      <c r="T510" s="50"/>
      <c r="U510" s="51">
        <f t="shared" si="73"/>
        <v>0</v>
      </c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>
        <v>133644670</v>
      </c>
      <c r="AN510" s="51">
        <f t="shared" si="81"/>
        <v>133644670</v>
      </c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2">
        <f t="shared" si="76"/>
        <v>133644670</v>
      </c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>
        <v>0</v>
      </c>
      <c r="BO510" s="51"/>
      <c r="BP510" s="52">
        <v>133644670</v>
      </c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  <c r="CA510" s="52"/>
      <c r="CB510" s="52"/>
      <c r="CC510" s="52">
        <v>0</v>
      </c>
      <c r="CD510" s="52"/>
      <c r="CE510" s="52"/>
      <c r="CF510" s="52"/>
      <c r="CG510" s="52">
        <f t="shared" si="77"/>
        <v>133644670</v>
      </c>
      <c r="CH510" s="52"/>
      <c r="CI510" s="52"/>
      <c r="CJ510" s="52"/>
      <c r="CK510" s="52"/>
      <c r="CL510" s="52"/>
      <c r="CM510" s="52"/>
      <c r="CN510" s="52"/>
      <c r="CO510" s="52"/>
      <c r="CP510" s="52"/>
      <c r="CQ510" s="52">
        <v>111145008</v>
      </c>
      <c r="CR510" s="52"/>
      <c r="CS510" s="52">
        <f t="shared" si="74"/>
        <v>244789678</v>
      </c>
      <c r="CT510" s="53">
        <v>111145008</v>
      </c>
      <c r="CU510" s="53">
        <f t="shared" si="75"/>
        <v>133644670</v>
      </c>
      <c r="CV510" s="54">
        <f t="shared" si="78"/>
        <v>244789678</v>
      </c>
      <c r="CW510" s="55">
        <f t="shared" si="79"/>
        <v>0</v>
      </c>
      <c r="CX510" s="16"/>
      <c r="CY510" s="16"/>
      <c r="CZ510" s="16"/>
    </row>
    <row r="511" spans="1:104" ht="15" customHeight="1" x14ac:dyDescent="0.2">
      <c r="A511" s="1">
        <v>8000966051</v>
      </c>
      <c r="B511" s="1">
        <v>800096605</v>
      </c>
      <c r="C511" s="9">
        <v>212120621</v>
      </c>
      <c r="D511" s="10" t="s">
        <v>432</v>
      </c>
      <c r="E511" s="42" t="s">
        <v>1459</v>
      </c>
      <c r="F511" s="21"/>
      <c r="G511" s="50"/>
      <c r="H511" s="21"/>
      <c r="I511" s="50"/>
      <c r="J511" s="21"/>
      <c r="K511" s="21"/>
      <c r="L511" s="50"/>
      <c r="M511" s="51"/>
      <c r="N511" s="21"/>
      <c r="O511" s="50"/>
      <c r="P511" s="21"/>
      <c r="Q511" s="50"/>
      <c r="R511" s="21"/>
      <c r="S511" s="21"/>
      <c r="T511" s="50"/>
      <c r="U511" s="51">
        <f t="shared" si="73"/>
        <v>0</v>
      </c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>
        <v>186117929</v>
      </c>
      <c r="AN511" s="51">
        <f t="shared" si="81"/>
        <v>186117929</v>
      </c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>
        <v>216762130</v>
      </c>
      <c r="AZ511" s="51"/>
      <c r="BA511" s="51">
        <f>VLOOKUP(B511,[1]Hoja3!J$3:K$674,2,0)</f>
        <v>291908220</v>
      </c>
      <c r="BB511" s="51"/>
      <c r="BC511" s="52">
        <f t="shared" si="76"/>
        <v>694788279</v>
      </c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>
        <v>43352426</v>
      </c>
      <c r="BO511" s="51"/>
      <c r="BP511" s="52">
        <v>738140705</v>
      </c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>
        <v>43352426</v>
      </c>
      <c r="CD511" s="52"/>
      <c r="CE511" s="52"/>
      <c r="CF511" s="52"/>
      <c r="CG511" s="52">
        <f t="shared" si="77"/>
        <v>781493131</v>
      </c>
      <c r="CH511" s="52"/>
      <c r="CI511" s="52"/>
      <c r="CJ511" s="52"/>
      <c r="CK511" s="52"/>
      <c r="CL511" s="52"/>
      <c r="CM511" s="52"/>
      <c r="CN511" s="52"/>
      <c r="CO511" s="52"/>
      <c r="CP511" s="52"/>
      <c r="CQ511" s="52">
        <v>43352426</v>
      </c>
      <c r="CR511" s="52"/>
      <c r="CS511" s="52">
        <f t="shared" si="74"/>
        <v>824845557</v>
      </c>
      <c r="CT511" s="53">
        <v>346819408</v>
      </c>
      <c r="CU511" s="53">
        <f t="shared" si="75"/>
        <v>478026149</v>
      </c>
      <c r="CV511" s="54">
        <f t="shared" si="78"/>
        <v>824845557</v>
      </c>
      <c r="CW511" s="55">
        <f t="shared" si="79"/>
        <v>0</v>
      </c>
      <c r="CX511" s="16"/>
      <c r="CY511" s="16"/>
      <c r="CZ511" s="16"/>
    </row>
    <row r="512" spans="1:104" ht="15" customHeight="1" x14ac:dyDescent="0.2">
      <c r="A512" s="1">
        <v>8902053083</v>
      </c>
      <c r="B512" s="1">
        <v>890205308</v>
      </c>
      <c r="C512" s="9">
        <v>219768397</v>
      </c>
      <c r="D512" s="10" t="s">
        <v>852</v>
      </c>
      <c r="E512" s="42" t="s">
        <v>1866</v>
      </c>
      <c r="F512" s="21"/>
      <c r="G512" s="50"/>
      <c r="H512" s="21"/>
      <c r="I512" s="50"/>
      <c r="J512" s="21"/>
      <c r="K512" s="21"/>
      <c r="L512" s="50"/>
      <c r="M512" s="51"/>
      <c r="N512" s="21"/>
      <c r="O512" s="50"/>
      <c r="P512" s="21"/>
      <c r="Q512" s="50"/>
      <c r="R512" s="21"/>
      <c r="S512" s="21"/>
      <c r="T512" s="50"/>
      <c r="U512" s="51">
        <f t="shared" si="73"/>
        <v>0</v>
      </c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>
        <v>28851385</v>
      </c>
      <c r="AZ512" s="51"/>
      <c r="BA512" s="51">
        <f>VLOOKUP(B512,[1]Hoja3!J$3:K$674,2,0)</f>
        <v>63364518</v>
      </c>
      <c r="BB512" s="51"/>
      <c r="BC512" s="52">
        <f t="shared" si="76"/>
        <v>92215903</v>
      </c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>
        <v>5770277</v>
      </c>
      <c r="BO512" s="51"/>
      <c r="BP512" s="52">
        <v>97986180</v>
      </c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  <c r="CA512" s="52"/>
      <c r="CB512" s="52"/>
      <c r="CC512" s="52">
        <v>5770277</v>
      </c>
      <c r="CD512" s="52"/>
      <c r="CE512" s="52"/>
      <c r="CF512" s="52"/>
      <c r="CG512" s="52">
        <f t="shared" si="77"/>
        <v>103756457</v>
      </c>
      <c r="CH512" s="52"/>
      <c r="CI512" s="52"/>
      <c r="CJ512" s="52"/>
      <c r="CK512" s="52"/>
      <c r="CL512" s="52"/>
      <c r="CM512" s="52"/>
      <c r="CN512" s="52"/>
      <c r="CO512" s="52"/>
      <c r="CP512" s="52"/>
      <c r="CQ512" s="52">
        <v>5770277</v>
      </c>
      <c r="CR512" s="52"/>
      <c r="CS512" s="52">
        <f t="shared" si="74"/>
        <v>109526734</v>
      </c>
      <c r="CT512" s="53">
        <v>46162216</v>
      </c>
      <c r="CU512" s="53">
        <f t="shared" si="75"/>
        <v>63364518</v>
      </c>
      <c r="CV512" s="54">
        <f t="shared" si="78"/>
        <v>109526734</v>
      </c>
      <c r="CW512" s="55">
        <f t="shared" si="79"/>
        <v>0</v>
      </c>
      <c r="CX512" s="16"/>
      <c r="CY512" s="16"/>
      <c r="CZ512" s="16"/>
    </row>
    <row r="513" spans="1:108" ht="15" customHeight="1" x14ac:dyDescent="0.2">
      <c r="A513" s="1">
        <v>8999997211</v>
      </c>
      <c r="B513" s="1">
        <v>899999721</v>
      </c>
      <c r="C513" s="9">
        <v>219825398</v>
      </c>
      <c r="D513" s="10" t="s">
        <v>507</v>
      </c>
      <c r="E513" s="42" t="s">
        <v>1532</v>
      </c>
      <c r="F513" s="21"/>
      <c r="G513" s="50"/>
      <c r="H513" s="21"/>
      <c r="I513" s="50"/>
      <c r="J513" s="21"/>
      <c r="K513" s="21"/>
      <c r="L513" s="50"/>
      <c r="M513" s="51"/>
      <c r="N513" s="21"/>
      <c r="O513" s="50"/>
      <c r="P513" s="21"/>
      <c r="Q513" s="50"/>
      <c r="R513" s="21"/>
      <c r="S513" s="21"/>
      <c r="T513" s="50"/>
      <c r="U513" s="51">
        <f t="shared" si="73"/>
        <v>0</v>
      </c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>
        <v>93901169</v>
      </c>
      <c r="AN513" s="51">
        <f>SUBTOTAL(9,AC513:AM513)</f>
        <v>93901169</v>
      </c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>
        <v>47500970</v>
      </c>
      <c r="AZ513" s="51"/>
      <c r="BA513" s="51"/>
      <c r="BB513" s="51"/>
      <c r="BC513" s="52">
        <f t="shared" si="76"/>
        <v>141402139</v>
      </c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>
        <v>9500194</v>
      </c>
      <c r="BO513" s="51"/>
      <c r="BP513" s="52">
        <v>150902333</v>
      </c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  <c r="CC513" s="52">
        <v>9500194</v>
      </c>
      <c r="CD513" s="52"/>
      <c r="CE513" s="52"/>
      <c r="CF513" s="52"/>
      <c r="CG513" s="52">
        <f t="shared" si="77"/>
        <v>160402527</v>
      </c>
      <c r="CH513" s="52"/>
      <c r="CI513" s="52"/>
      <c r="CJ513" s="52"/>
      <c r="CK513" s="52"/>
      <c r="CL513" s="52"/>
      <c r="CM513" s="52"/>
      <c r="CN513" s="52"/>
      <c r="CO513" s="52"/>
      <c r="CP513" s="52"/>
      <c r="CQ513" s="52">
        <v>9500194</v>
      </c>
      <c r="CR513" s="52"/>
      <c r="CS513" s="52">
        <f t="shared" si="74"/>
        <v>169902721</v>
      </c>
      <c r="CT513" s="53">
        <v>76001552</v>
      </c>
      <c r="CU513" s="53">
        <f t="shared" si="75"/>
        <v>93901169</v>
      </c>
      <c r="CV513" s="54">
        <f t="shared" si="78"/>
        <v>169902721</v>
      </c>
      <c r="CW513" s="55">
        <f t="shared" si="79"/>
        <v>0</v>
      </c>
      <c r="CX513" s="16"/>
      <c r="CY513" s="16"/>
      <c r="CZ513" s="16"/>
    </row>
    <row r="514" spans="1:108" ht="15" customHeight="1" x14ac:dyDescent="0.2">
      <c r="A514" s="1">
        <v>8110090178</v>
      </c>
      <c r="B514" s="1">
        <v>811009017</v>
      </c>
      <c r="C514" s="9">
        <v>219005390</v>
      </c>
      <c r="D514" s="10" t="s">
        <v>103</v>
      </c>
      <c r="E514" s="42" t="s">
        <v>1134</v>
      </c>
      <c r="F514" s="21"/>
      <c r="G514" s="50"/>
      <c r="H514" s="21"/>
      <c r="I514" s="50"/>
      <c r="J514" s="21"/>
      <c r="K514" s="21"/>
      <c r="L514" s="50"/>
      <c r="M514" s="51"/>
      <c r="N514" s="21"/>
      <c r="O514" s="50"/>
      <c r="P514" s="21"/>
      <c r="Q514" s="50"/>
      <c r="R514" s="21"/>
      <c r="S514" s="21"/>
      <c r="T514" s="50"/>
      <c r="U514" s="51">
        <f t="shared" si="73"/>
        <v>0</v>
      </c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>
        <v>69229845</v>
      </c>
      <c r="AN514" s="51">
        <f>SUBTOTAL(9,AC514:AM514)</f>
        <v>69229845</v>
      </c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>
        <v>52840200</v>
      </c>
      <c r="AZ514" s="51"/>
      <c r="BA514" s="51">
        <f>VLOOKUP(B514,[1]Hoja3!J$3:K$674,2,0)</f>
        <v>33105453</v>
      </c>
      <c r="BB514" s="51"/>
      <c r="BC514" s="52">
        <f t="shared" si="76"/>
        <v>155175498</v>
      </c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>
        <v>10568040</v>
      </c>
      <c r="BO514" s="51"/>
      <c r="BP514" s="52">
        <v>165743538</v>
      </c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  <c r="CA514" s="52"/>
      <c r="CB514" s="52"/>
      <c r="CC514" s="52">
        <v>10568040</v>
      </c>
      <c r="CD514" s="52"/>
      <c r="CE514" s="52"/>
      <c r="CF514" s="52"/>
      <c r="CG514" s="52">
        <f t="shared" si="77"/>
        <v>176311578</v>
      </c>
      <c r="CH514" s="52"/>
      <c r="CI514" s="52"/>
      <c r="CJ514" s="52"/>
      <c r="CK514" s="52"/>
      <c r="CL514" s="52"/>
      <c r="CM514" s="52"/>
      <c r="CN514" s="52"/>
      <c r="CO514" s="52"/>
      <c r="CP514" s="52"/>
      <c r="CQ514" s="52">
        <v>10568040</v>
      </c>
      <c r="CR514" s="52"/>
      <c r="CS514" s="52">
        <f t="shared" si="74"/>
        <v>186879618</v>
      </c>
      <c r="CT514" s="53">
        <v>84544320</v>
      </c>
      <c r="CU514" s="53">
        <f t="shared" si="75"/>
        <v>102335298</v>
      </c>
      <c r="CV514" s="54">
        <f t="shared" si="78"/>
        <v>186879618</v>
      </c>
      <c r="CW514" s="55">
        <f t="shared" si="79"/>
        <v>0</v>
      </c>
      <c r="CX514" s="16"/>
      <c r="CY514" s="16"/>
      <c r="CZ514" s="16"/>
    </row>
    <row r="515" spans="1:108" ht="15" customHeight="1" x14ac:dyDescent="0.2">
      <c r="A515" s="1">
        <v>8911801557</v>
      </c>
      <c r="B515" s="1">
        <v>891180155</v>
      </c>
      <c r="C515" s="9">
        <v>219641396</v>
      </c>
      <c r="D515" s="10" t="s">
        <v>609</v>
      </c>
      <c r="E515" s="42" t="s">
        <v>1628</v>
      </c>
      <c r="F515" s="21"/>
      <c r="G515" s="50"/>
      <c r="H515" s="21"/>
      <c r="I515" s="50"/>
      <c r="J515" s="21"/>
      <c r="K515" s="21"/>
      <c r="L515" s="50"/>
      <c r="M515" s="51"/>
      <c r="N515" s="21"/>
      <c r="O515" s="50"/>
      <c r="P515" s="21"/>
      <c r="Q515" s="50"/>
      <c r="R515" s="21"/>
      <c r="S515" s="21"/>
      <c r="T515" s="50"/>
      <c r="U515" s="51">
        <f t="shared" ref="U515:U578" si="82">SUM(M515:T515)</f>
        <v>0</v>
      </c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>
        <v>183730670</v>
      </c>
      <c r="AN515" s="51">
        <f>SUBTOTAL(9,AC515:AM515)</f>
        <v>183730670</v>
      </c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>
        <v>470966260</v>
      </c>
      <c r="AZ515" s="51"/>
      <c r="BA515" s="51">
        <f>VLOOKUP(B515,[1]Hoja3!J$3:K$674,2,0)</f>
        <v>787386918</v>
      </c>
      <c r="BB515" s="51"/>
      <c r="BC515" s="52">
        <f t="shared" si="76"/>
        <v>1442083848</v>
      </c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>
        <v>94193252</v>
      </c>
      <c r="BO515" s="51"/>
      <c r="BP515" s="52">
        <v>1536277100</v>
      </c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  <c r="CC515" s="52">
        <v>94193252</v>
      </c>
      <c r="CD515" s="52"/>
      <c r="CE515" s="52">
        <v>101984594</v>
      </c>
      <c r="CF515" s="52"/>
      <c r="CG515" s="52">
        <f t="shared" si="77"/>
        <v>1732454946</v>
      </c>
      <c r="CH515" s="52"/>
      <c r="CI515" s="52"/>
      <c r="CJ515" s="52"/>
      <c r="CK515" s="52"/>
      <c r="CL515" s="52"/>
      <c r="CM515" s="52"/>
      <c r="CN515" s="52"/>
      <c r="CO515" s="52"/>
      <c r="CP515" s="52"/>
      <c r="CQ515" s="52">
        <v>94193252</v>
      </c>
      <c r="CR515" s="52"/>
      <c r="CS515" s="52">
        <f t="shared" ref="CS515:CS578" si="83">SUM(CG515:CR515)</f>
        <v>1826648198</v>
      </c>
      <c r="CT515" s="53">
        <v>753546016</v>
      </c>
      <c r="CU515" s="53">
        <f t="shared" ref="CU515:CU578" si="84">+AM515+BA515-BB515+BO515+CE515+CF515+CR515</f>
        <v>1073102182</v>
      </c>
      <c r="CV515" s="54">
        <f t="shared" si="78"/>
        <v>1826648198</v>
      </c>
      <c r="CW515" s="55">
        <f t="shared" si="79"/>
        <v>0</v>
      </c>
      <c r="CX515" s="16"/>
      <c r="CY515" s="16"/>
      <c r="CZ515" s="16"/>
    </row>
    <row r="516" spans="1:108" ht="15" customHeight="1" x14ac:dyDescent="0.2">
      <c r="A516" s="1">
        <v>8000006818</v>
      </c>
      <c r="B516" s="1">
        <v>800000681</v>
      </c>
      <c r="C516" s="9">
        <v>219854398</v>
      </c>
      <c r="D516" s="10" t="s">
        <v>770</v>
      </c>
      <c r="E516" s="42" t="s">
        <v>1788</v>
      </c>
      <c r="F516" s="21"/>
      <c r="G516" s="50"/>
      <c r="H516" s="21"/>
      <c r="I516" s="50"/>
      <c r="J516" s="21"/>
      <c r="K516" s="21"/>
      <c r="L516" s="50"/>
      <c r="M516" s="51"/>
      <c r="N516" s="21"/>
      <c r="O516" s="50"/>
      <c r="P516" s="21"/>
      <c r="Q516" s="50"/>
      <c r="R516" s="21"/>
      <c r="S516" s="21"/>
      <c r="T516" s="50"/>
      <c r="U516" s="51">
        <f t="shared" si="82"/>
        <v>0</v>
      </c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>
        <v>41313717</v>
      </c>
      <c r="AN516" s="51">
        <f>SUBTOTAL(9,AC516:AM516)</f>
        <v>41313717</v>
      </c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>
        <f>VLOOKUP(B516,[1]Hoja3!J$3:K$674,2,0)</f>
        <v>46329865</v>
      </c>
      <c r="BB516" s="51"/>
      <c r="BC516" s="52">
        <f t="shared" ref="BC516:BC579" si="85">SUM(AN516:BA516)-BB516</f>
        <v>87643582</v>
      </c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>
        <v>0</v>
      </c>
      <c r="BO516" s="51"/>
      <c r="BP516" s="52">
        <v>87643582</v>
      </c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  <c r="CC516" s="52">
        <v>0</v>
      </c>
      <c r="CD516" s="52"/>
      <c r="CE516" s="52"/>
      <c r="CF516" s="52"/>
      <c r="CG516" s="52">
        <f t="shared" ref="CG516:CG579" si="86">SUM(BP516:CF516)</f>
        <v>87643582</v>
      </c>
      <c r="CH516" s="52"/>
      <c r="CI516" s="52"/>
      <c r="CJ516" s="52"/>
      <c r="CK516" s="52"/>
      <c r="CL516" s="52"/>
      <c r="CM516" s="52"/>
      <c r="CN516" s="52"/>
      <c r="CO516" s="52"/>
      <c r="CP516" s="52"/>
      <c r="CQ516" s="52">
        <v>0</v>
      </c>
      <c r="CR516" s="52"/>
      <c r="CS516" s="52">
        <f t="shared" si="83"/>
        <v>87643582</v>
      </c>
      <c r="CT516" s="53"/>
      <c r="CU516" s="53">
        <f t="shared" si="84"/>
        <v>87643582</v>
      </c>
      <c r="CV516" s="54">
        <f t="shared" ref="CV516:CV579" si="87">+CT516+CU516</f>
        <v>87643582</v>
      </c>
      <c r="CW516" s="55">
        <f t="shared" ref="CW516:CW579" si="88">+CS516-CV516</f>
        <v>0</v>
      </c>
      <c r="CX516" s="16"/>
      <c r="CY516" s="16"/>
      <c r="CZ516" s="16"/>
    </row>
    <row r="517" spans="1:108" ht="15" customHeight="1" x14ac:dyDescent="0.2">
      <c r="A517" s="1">
        <v>8001033088</v>
      </c>
      <c r="B517" s="1">
        <v>800103308</v>
      </c>
      <c r="C517" s="9">
        <v>212499524</v>
      </c>
      <c r="D517" s="10" t="s">
        <v>998</v>
      </c>
      <c r="E517" s="42" t="s">
        <v>2055</v>
      </c>
      <c r="F517" s="21"/>
      <c r="G517" s="50"/>
      <c r="H517" s="21"/>
      <c r="I517" s="50"/>
      <c r="J517" s="21"/>
      <c r="K517" s="21"/>
      <c r="L517" s="50"/>
      <c r="M517" s="51"/>
      <c r="N517" s="21"/>
      <c r="O517" s="50"/>
      <c r="P517" s="21"/>
      <c r="Q517" s="50"/>
      <c r="R517" s="21"/>
      <c r="S517" s="21"/>
      <c r="T517" s="50"/>
      <c r="U517" s="51">
        <f t="shared" si="82"/>
        <v>0</v>
      </c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>
        <f>VLOOKUP(B517,[1]Hoja3!J$3:K$674,2,0)</f>
        <v>180494443</v>
      </c>
      <c r="BB517" s="51"/>
      <c r="BC517" s="52">
        <f t="shared" si="85"/>
        <v>180494443</v>
      </c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>
        <v>0</v>
      </c>
      <c r="BO517" s="51"/>
      <c r="BP517" s="52">
        <v>180494443</v>
      </c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>
        <v>0</v>
      </c>
      <c r="CD517" s="52"/>
      <c r="CE517" s="52"/>
      <c r="CF517" s="52"/>
      <c r="CG517" s="52">
        <f t="shared" si="86"/>
        <v>180494443</v>
      </c>
      <c r="CH517" s="52"/>
      <c r="CI517" s="52"/>
      <c r="CJ517" s="52"/>
      <c r="CK517" s="52"/>
      <c r="CL517" s="52"/>
      <c r="CM517" s="52"/>
      <c r="CN517" s="52"/>
      <c r="CO517" s="52"/>
      <c r="CP517" s="52"/>
      <c r="CQ517" s="52">
        <v>269319184</v>
      </c>
      <c r="CR517" s="52"/>
      <c r="CS517" s="52">
        <f t="shared" si="83"/>
        <v>449813627</v>
      </c>
      <c r="CT517" s="53">
        <v>269319184</v>
      </c>
      <c r="CU517" s="53">
        <f t="shared" si="84"/>
        <v>180494443</v>
      </c>
      <c r="CV517" s="54">
        <f t="shared" si="87"/>
        <v>449813627</v>
      </c>
      <c r="CW517" s="55">
        <f t="shared" si="88"/>
        <v>0</v>
      </c>
      <c r="CX517" s="16"/>
      <c r="CY517" s="16"/>
      <c r="CZ517" s="16"/>
    </row>
    <row r="518" spans="1:108" ht="15" customHeight="1" x14ac:dyDescent="0.2">
      <c r="A518" s="1">
        <v>8001036573</v>
      </c>
      <c r="B518" s="1">
        <v>800103657</v>
      </c>
      <c r="C518" s="9">
        <v>213685136</v>
      </c>
      <c r="D518" s="10" t="s">
        <v>959</v>
      </c>
      <c r="E518" s="42" t="s">
        <v>2019</v>
      </c>
      <c r="F518" s="21"/>
      <c r="G518" s="50"/>
      <c r="H518" s="21"/>
      <c r="I518" s="50"/>
      <c r="J518" s="21"/>
      <c r="K518" s="21"/>
      <c r="L518" s="50"/>
      <c r="M518" s="51"/>
      <c r="N518" s="21"/>
      <c r="O518" s="50"/>
      <c r="P518" s="21"/>
      <c r="Q518" s="50"/>
      <c r="R518" s="21"/>
      <c r="S518" s="21"/>
      <c r="T518" s="50"/>
      <c r="U518" s="51">
        <f t="shared" si="82"/>
        <v>0</v>
      </c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>
        <v>22018404</v>
      </c>
      <c r="AN518" s="51">
        <f>SUBTOTAL(9,AC518:AM518)</f>
        <v>22018404</v>
      </c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>
        <v>12790735</v>
      </c>
      <c r="AZ518" s="51"/>
      <c r="BA518" s="51"/>
      <c r="BB518" s="51"/>
      <c r="BC518" s="52">
        <f t="shared" si="85"/>
        <v>34809139</v>
      </c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>
        <v>2558147</v>
      </c>
      <c r="BO518" s="51"/>
      <c r="BP518" s="52">
        <v>37367286</v>
      </c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>
        <v>2558147</v>
      </c>
      <c r="CD518" s="52"/>
      <c r="CE518" s="52"/>
      <c r="CF518" s="52"/>
      <c r="CG518" s="52">
        <f t="shared" si="86"/>
        <v>39925433</v>
      </c>
      <c r="CH518" s="52"/>
      <c r="CI518" s="52"/>
      <c r="CJ518" s="52"/>
      <c r="CK518" s="52"/>
      <c r="CL518" s="52"/>
      <c r="CM518" s="52"/>
      <c r="CN518" s="52"/>
      <c r="CO518" s="52"/>
      <c r="CP518" s="52"/>
      <c r="CQ518" s="52">
        <v>2558147</v>
      </c>
      <c r="CR518" s="52"/>
      <c r="CS518" s="52">
        <f t="shared" si="83"/>
        <v>42483580</v>
      </c>
      <c r="CT518" s="53">
        <v>20465176</v>
      </c>
      <c r="CU518" s="53">
        <f t="shared" si="84"/>
        <v>22018404</v>
      </c>
      <c r="CV518" s="54">
        <f t="shared" si="87"/>
        <v>42483580</v>
      </c>
      <c r="CW518" s="55">
        <f t="shared" si="88"/>
        <v>0</v>
      </c>
      <c r="CX518" s="16"/>
      <c r="CY518" s="16"/>
      <c r="CZ518" s="16"/>
    </row>
    <row r="519" spans="1:108" ht="15" customHeight="1" x14ac:dyDescent="0.2">
      <c r="A519" s="1">
        <v>8915021693</v>
      </c>
      <c r="B519" s="1">
        <v>891502169</v>
      </c>
      <c r="C519" s="9">
        <v>219219392</v>
      </c>
      <c r="D519" s="10" t="s">
        <v>388</v>
      </c>
      <c r="E519" s="42" t="s">
        <v>1418</v>
      </c>
      <c r="F519" s="21"/>
      <c r="G519" s="50"/>
      <c r="H519" s="21"/>
      <c r="I519" s="50"/>
      <c r="J519" s="21"/>
      <c r="K519" s="21"/>
      <c r="L519" s="50"/>
      <c r="M519" s="51"/>
      <c r="N519" s="21"/>
      <c r="O519" s="50"/>
      <c r="P519" s="21"/>
      <c r="Q519" s="50"/>
      <c r="R519" s="21"/>
      <c r="S519" s="21"/>
      <c r="T519" s="50"/>
      <c r="U519" s="51">
        <f t="shared" si="82"/>
        <v>0</v>
      </c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>
        <v>31338136</v>
      </c>
      <c r="AN519" s="51">
        <f>SUBTOTAL(9,AC519:AM519)</f>
        <v>31338136</v>
      </c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>
        <f>VLOOKUP(B519,[1]Hoja3!J$3:K$674,2,0)</f>
        <v>89551340</v>
      </c>
      <c r="BB519" s="51"/>
      <c r="BC519" s="52">
        <f t="shared" si="85"/>
        <v>120889476</v>
      </c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>
        <v>0</v>
      </c>
      <c r="BO519" s="51"/>
      <c r="BP519" s="52">
        <v>120889476</v>
      </c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>
        <v>0</v>
      </c>
      <c r="CD519" s="52"/>
      <c r="CE519" s="52"/>
      <c r="CF519" s="52"/>
      <c r="CG519" s="52">
        <f t="shared" si="86"/>
        <v>120889476</v>
      </c>
      <c r="CH519" s="52"/>
      <c r="CI519" s="52"/>
      <c r="CJ519" s="52"/>
      <c r="CK519" s="52"/>
      <c r="CL519" s="52"/>
      <c r="CM519" s="52"/>
      <c r="CN519" s="52"/>
      <c r="CO519" s="52"/>
      <c r="CP519" s="52"/>
      <c r="CQ519" s="52">
        <v>0</v>
      </c>
      <c r="CR519" s="52"/>
      <c r="CS519" s="52">
        <f t="shared" si="83"/>
        <v>120889476</v>
      </c>
      <c r="CT519" s="53"/>
      <c r="CU519" s="53">
        <f t="shared" si="84"/>
        <v>120889476</v>
      </c>
      <c r="CV519" s="54">
        <f t="shared" si="87"/>
        <v>120889476</v>
      </c>
      <c r="CW519" s="55">
        <f t="shared" si="88"/>
        <v>0</v>
      </c>
      <c r="CX519" s="16"/>
      <c r="CY519" s="16"/>
      <c r="CZ519" s="16"/>
    </row>
    <row r="520" spans="1:108" ht="15" customHeight="1" x14ac:dyDescent="0.2">
      <c r="A520" s="1">
        <v>8900005641</v>
      </c>
      <c r="B520" s="1">
        <v>890000564</v>
      </c>
      <c r="C520" s="9">
        <v>210163401</v>
      </c>
      <c r="D520" s="10" t="s">
        <v>795</v>
      </c>
      <c r="E520" s="42" t="s">
        <v>1812</v>
      </c>
      <c r="F520" s="21"/>
      <c r="G520" s="50"/>
      <c r="H520" s="21"/>
      <c r="I520" s="50"/>
      <c r="J520" s="21"/>
      <c r="K520" s="21"/>
      <c r="L520" s="50"/>
      <c r="M520" s="51"/>
      <c r="N520" s="21"/>
      <c r="O520" s="50"/>
      <c r="P520" s="21"/>
      <c r="Q520" s="50"/>
      <c r="R520" s="21"/>
      <c r="S520" s="21"/>
      <c r="T520" s="50"/>
      <c r="U520" s="51">
        <f t="shared" si="82"/>
        <v>0</v>
      </c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>
        <v>344684072</v>
      </c>
      <c r="AN520" s="51">
        <f>SUBTOTAL(9,AC520:AM520)</f>
        <v>344684072</v>
      </c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>
        <v>238580900</v>
      </c>
      <c r="AZ520" s="51"/>
      <c r="BA520" s="51">
        <f>VLOOKUP(B520,[1]Hoja3!J$3:K$674,2,0)</f>
        <v>118467833</v>
      </c>
      <c r="BB520" s="51"/>
      <c r="BC520" s="52">
        <f t="shared" si="85"/>
        <v>701732805</v>
      </c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>
        <v>47716180</v>
      </c>
      <c r="BO520" s="51"/>
      <c r="BP520" s="52">
        <v>749448985</v>
      </c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  <c r="CA520" s="52"/>
      <c r="CB520" s="52"/>
      <c r="CC520" s="52">
        <v>47716180</v>
      </c>
      <c r="CD520" s="52"/>
      <c r="CE520" s="52"/>
      <c r="CF520" s="52"/>
      <c r="CG520" s="52">
        <f t="shared" si="86"/>
        <v>797165165</v>
      </c>
      <c r="CH520" s="52"/>
      <c r="CI520" s="52"/>
      <c r="CJ520" s="52"/>
      <c r="CK520" s="52"/>
      <c r="CL520" s="52"/>
      <c r="CM520" s="52"/>
      <c r="CN520" s="52"/>
      <c r="CO520" s="52"/>
      <c r="CP520" s="52"/>
      <c r="CQ520" s="52">
        <v>47716180</v>
      </c>
      <c r="CR520" s="52"/>
      <c r="CS520" s="52">
        <f t="shared" si="83"/>
        <v>844881345</v>
      </c>
      <c r="CT520" s="53">
        <v>381729440</v>
      </c>
      <c r="CU520" s="53">
        <f t="shared" si="84"/>
        <v>463151905</v>
      </c>
      <c r="CV520" s="54">
        <f t="shared" si="87"/>
        <v>844881345</v>
      </c>
      <c r="CW520" s="55">
        <f t="shared" si="88"/>
        <v>0</v>
      </c>
      <c r="CX520" s="16"/>
      <c r="CY520" s="16"/>
      <c r="CZ520" s="16"/>
    </row>
    <row r="521" spans="1:108" ht="15" customHeight="1" x14ac:dyDescent="0.2">
      <c r="A521" s="1">
        <v>8002225020</v>
      </c>
      <c r="B521" s="1">
        <v>800222502</v>
      </c>
      <c r="C521" s="9">
        <v>219052390</v>
      </c>
      <c r="D521" s="10" t="s">
        <v>720</v>
      </c>
      <c r="E521" s="42" t="s">
        <v>1742</v>
      </c>
      <c r="F521" s="21"/>
      <c r="G521" s="50"/>
      <c r="H521" s="21"/>
      <c r="I521" s="50"/>
      <c r="J521" s="21"/>
      <c r="K521" s="21"/>
      <c r="L521" s="50"/>
      <c r="M521" s="51"/>
      <c r="N521" s="21"/>
      <c r="O521" s="50"/>
      <c r="P521" s="21"/>
      <c r="Q521" s="50"/>
      <c r="R521" s="21"/>
      <c r="S521" s="21"/>
      <c r="T521" s="50"/>
      <c r="U521" s="51">
        <f t="shared" si="82"/>
        <v>0</v>
      </c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>
        <f>VLOOKUP(B521,[1]Hoja3!J$3:K$674,2,0)</f>
        <v>161318029</v>
      </c>
      <c r="BB521" s="51"/>
      <c r="BC521" s="52">
        <f t="shared" si="85"/>
        <v>161318029</v>
      </c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>
        <v>0</v>
      </c>
      <c r="BO521" s="51"/>
      <c r="BP521" s="52">
        <v>161318029</v>
      </c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>
        <v>197872871</v>
      </c>
      <c r="CD521" s="52"/>
      <c r="CE521" s="52"/>
      <c r="CF521" s="52"/>
      <c r="CG521" s="52">
        <f t="shared" si="86"/>
        <v>359190900</v>
      </c>
      <c r="CH521" s="52"/>
      <c r="CI521" s="52"/>
      <c r="CJ521" s="52"/>
      <c r="CK521" s="52"/>
      <c r="CL521" s="52"/>
      <c r="CM521" s="52"/>
      <c r="CN521" s="52"/>
      <c r="CO521" s="52"/>
      <c r="CP521" s="52"/>
      <c r="CQ521" s="52">
        <v>28267553</v>
      </c>
      <c r="CR521" s="52"/>
      <c r="CS521" s="52">
        <f t="shared" si="83"/>
        <v>387458453</v>
      </c>
      <c r="CT521" s="53">
        <v>226140424</v>
      </c>
      <c r="CU521" s="53">
        <f t="shared" si="84"/>
        <v>161318029</v>
      </c>
      <c r="CV521" s="54">
        <f t="shared" si="87"/>
        <v>387458453</v>
      </c>
      <c r="CW521" s="55">
        <f t="shared" si="88"/>
        <v>0</v>
      </c>
      <c r="CX521" s="16"/>
      <c r="CY521" s="16"/>
      <c r="CZ521" s="16"/>
    </row>
    <row r="522" spans="1:108" ht="15" customHeight="1" x14ac:dyDescent="0.2">
      <c r="A522" s="1">
        <v>8909819950</v>
      </c>
      <c r="B522" s="1">
        <v>890981995</v>
      </c>
      <c r="C522" s="9">
        <v>210005400</v>
      </c>
      <c r="D522" s="10" t="s">
        <v>104</v>
      </c>
      <c r="E522" s="42" t="s">
        <v>1135</v>
      </c>
      <c r="F522" s="21"/>
      <c r="G522" s="50"/>
      <c r="H522" s="21"/>
      <c r="I522" s="50"/>
      <c r="J522" s="21"/>
      <c r="K522" s="21"/>
      <c r="L522" s="50"/>
      <c r="M522" s="51"/>
      <c r="N522" s="21"/>
      <c r="O522" s="50"/>
      <c r="P522" s="21"/>
      <c r="Q522" s="50"/>
      <c r="R522" s="21"/>
      <c r="S522" s="21"/>
      <c r="T522" s="50"/>
      <c r="U522" s="51">
        <f t="shared" si="82"/>
        <v>0</v>
      </c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>
        <v>277733708</v>
      </c>
      <c r="AN522" s="51">
        <f>SUBTOTAL(9,AC522:AM522)</f>
        <v>277733708</v>
      </c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2">
        <f t="shared" si="85"/>
        <v>277733708</v>
      </c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>
        <v>20397657</v>
      </c>
      <c r="BO522" s="51"/>
      <c r="BP522" s="52">
        <v>298131365</v>
      </c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>
        <v>20397657</v>
      </c>
      <c r="CD522" s="52">
        <v>101988285</v>
      </c>
      <c r="CE522" s="52"/>
      <c r="CF522" s="52"/>
      <c r="CG522" s="52">
        <f t="shared" si="86"/>
        <v>420517307</v>
      </c>
      <c r="CH522" s="52"/>
      <c r="CI522" s="52"/>
      <c r="CJ522" s="52"/>
      <c r="CK522" s="52"/>
      <c r="CL522" s="52"/>
      <c r="CM522" s="52"/>
      <c r="CN522" s="52"/>
      <c r="CO522" s="52"/>
      <c r="CP522" s="52"/>
      <c r="CQ522" s="52">
        <v>20397657</v>
      </c>
      <c r="CR522" s="52"/>
      <c r="CS522" s="52">
        <f t="shared" si="83"/>
        <v>440914964</v>
      </c>
      <c r="CT522" s="53">
        <v>163181256</v>
      </c>
      <c r="CU522" s="53">
        <f t="shared" si="84"/>
        <v>277733708</v>
      </c>
      <c r="CV522" s="54">
        <f t="shared" si="87"/>
        <v>440914964</v>
      </c>
      <c r="CW522" s="55">
        <f t="shared" si="88"/>
        <v>0</v>
      </c>
      <c r="CX522" s="16"/>
      <c r="CY522" s="16"/>
      <c r="CZ522" s="16"/>
    </row>
    <row r="523" spans="1:108" ht="15" customHeight="1" x14ac:dyDescent="0.2">
      <c r="A523" s="1">
        <v>8000991020</v>
      </c>
      <c r="B523" s="1">
        <v>800099102</v>
      </c>
      <c r="C523" s="9">
        <v>219952399</v>
      </c>
      <c r="D523" s="10" t="s">
        <v>721</v>
      </c>
      <c r="E523" s="42" t="s">
        <v>1743</v>
      </c>
      <c r="F523" s="21"/>
      <c r="G523" s="50"/>
      <c r="H523" s="21"/>
      <c r="I523" s="50"/>
      <c r="J523" s="21"/>
      <c r="K523" s="21"/>
      <c r="L523" s="50"/>
      <c r="M523" s="51"/>
      <c r="N523" s="21"/>
      <c r="O523" s="50"/>
      <c r="P523" s="21"/>
      <c r="Q523" s="50"/>
      <c r="R523" s="21"/>
      <c r="S523" s="21"/>
      <c r="T523" s="50"/>
      <c r="U523" s="51">
        <f t="shared" si="82"/>
        <v>0</v>
      </c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>
        <v>219463222</v>
      </c>
      <c r="AN523" s="51">
        <f>SUBTOTAL(9,AC523:AM523)</f>
        <v>219463222</v>
      </c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>
        <f>VLOOKUP(B523,[1]Hoja3!J$3:K$674,2,0)</f>
        <v>186010858</v>
      </c>
      <c r="BB523" s="51"/>
      <c r="BC523" s="52">
        <f t="shared" si="85"/>
        <v>405474080</v>
      </c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>
        <v>33789800</v>
      </c>
      <c r="BO523" s="51"/>
      <c r="BP523" s="52">
        <v>439263880</v>
      </c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>
        <v>33789800</v>
      </c>
      <c r="CD523" s="52">
        <v>168949000</v>
      </c>
      <c r="CE523" s="52"/>
      <c r="CF523" s="52"/>
      <c r="CG523" s="52">
        <f t="shared" si="86"/>
        <v>642002680</v>
      </c>
      <c r="CH523" s="52"/>
      <c r="CI523" s="52"/>
      <c r="CJ523" s="52"/>
      <c r="CK523" s="52"/>
      <c r="CL523" s="52"/>
      <c r="CM523" s="52"/>
      <c r="CN523" s="52"/>
      <c r="CO523" s="52"/>
      <c r="CP523" s="52"/>
      <c r="CQ523" s="52">
        <v>33789800</v>
      </c>
      <c r="CR523" s="52"/>
      <c r="CS523" s="52">
        <f t="shared" si="83"/>
        <v>675792480</v>
      </c>
      <c r="CT523" s="53">
        <v>270318400</v>
      </c>
      <c r="CU523" s="53">
        <f t="shared" si="84"/>
        <v>405474080</v>
      </c>
      <c r="CV523" s="54">
        <f t="shared" si="87"/>
        <v>675792480</v>
      </c>
      <c r="CW523" s="55">
        <f t="shared" si="88"/>
        <v>0</v>
      </c>
      <c r="CX523" s="16"/>
      <c r="CY523" s="16"/>
      <c r="CZ523" s="16"/>
    </row>
    <row r="524" spans="1:108" ht="15" customHeight="1" x14ac:dyDescent="0.2">
      <c r="A524" s="1">
        <v>8000503319</v>
      </c>
      <c r="B524" s="1">
        <v>800050331</v>
      </c>
      <c r="C524" s="9">
        <v>210070400</v>
      </c>
      <c r="D524" s="10" t="s">
        <v>899</v>
      </c>
      <c r="E524" s="42" t="s">
        <v>1912</v>
      </c>
      <c r="F524" s="21"/>
      <c r="G524" s="50"/>
      <c r="H524" s="21"/>
      <c r="I524" s="50"/>
      <c r="J524" s="21"/>
      <c r="K524" s="21"/>
      <c r="L524" s="50"/>
      <c r="M524" s="51"/>
      <c r="N524" s="21"/>
      <c r="O524" s="50"/>
      <c r="P524" s="21"/>
      <c r="Q524" s="50"/>
      <c r="R524" s="21"/>
      <c r="S524" s="21"/>
      <c r="T524" s="50"/>
      <c r="U524" s="51">
        <f t="shared" si="82"/>
        <v>0</v>
      </c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>
        <f>VLOOKUP(B524,[1]Hoja3!J$3:K$674,2,0)</f>
        <v>233065584</v>
      </c>
      <c r="BB524" s="51"/>
      <c r="BC524" s="52">
        <f t="shared" si="85"/>
        <v>233065584</v>
      </c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>
        <v>0</v>
      </c>
      <c r="BO524" s="51"/>
      <c r="BP524" s="52">
        <v>233065584</v>
      </c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>
        <v>0</v>
      </c>
      <c r="CD524" s="52"/>
      <c r="CE524" s="52"/>
      <c r="CF524" s="52"/>
      <c r="CG524" s="52">
        <f t="shared" si="86"/>
        <v>233065584</v>
      </c>
      <c r="CH524" s="52"/>
      <c r="CI524" s="52"/>
      <c r="CJ524" s="52"/>
      <c r="CK524" s="52"/>
      <c r="CL524" s="52"/>
      <c r="CM524" s="52"/>
      <c r="CN524" s="52"/>
      <c r="CO524" s="52"/>
      <c r="CP524" s="52"/>
      <c r="CQ524" s="52">
        <v>236527016</v>
      </c>
      <c r="CR524" s="52"/>
      <c r="CS524" s="52">
        <f t="shared" si="83"/>
        <v>469592600</v>
      </c>
      <c r="CT524" s="53">
        <v>236527016</v>
      </c>
      <c r="CU524" s="53">
        <f t="shared" si="84"/>
        <v>233065584</v>
      </c>
      <c r="CV524" s="54">
        <f t="shared" si="87"/>
        <v>469592600</v>
      </c>
      <c r="CW524" s="55">
        <f t="shared" si="88"/>
        <v>0</v>
      </c>
      <c r="CX524" s="16"/>
      <c r="CY524" s="16"/>
      <c r="CZ524" s="16"/>
    </row>
    <row r="525" spans="1:108" ht="15" customHeight="1" x14ac:dyDescent="0.2">
      <c r="A525" s="1">
        <v>8919011093</v>
      </c>
      <c r="B525" s="1">
        <v>891901109</v>
      </c>
      <c r="C525" s="9">
        <v>210076400</v>
      </c>
      <c r="D525" s="10" t="s">
        <v>931</v>
      </c>
      <c r="E525" s="42" t="s">
        <v>1991</v>
      </c>
      <c r="F525" s="21"/>
      <c r="G525" s="50"/>
      <c r="H525" s="21"/>
      <c r="I525" s="50"/>
      <c r="J525" s="21"/>
      <c r="K525" s="21"/>
      <c r="L525" s="50"/>
      <c r="M525" s="51"/>
      <c r="N525" s="21"/>
      <c r="O525" s="50"/>
      <c r="P525" s="21"/>
      <c r="Q525" s="50"/>
      <c r="R525" s="21"/>
      <c r="S525" s="21"/>
      <c r="T525" s="50"/>
      <c r="U525" s="51">
        <f t="shared" si="82"/>
        <v>0</v>
      </c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>
        <v>421175000</v>
      </c>
      <c r="AN525" s="51">
        <f>SUBTOTAL(9,AC525:AM525)</f>
        <v>421175000</v>
      </c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>
        <v>200281070</v>
      </c>
      <c r="AZ525" s="51"/>
      <c r="BA525" s="51"/>
      <c r="BB525" s="51"/>
      <c r="BC525" s="52">
        <f t="shared" si="85"/>
        <v>621456070</v>
      </c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>
        <v>40056214</v>
      </c>
      <c r="BO525" s="51"/>
      <c r="BP525" s="52">
        <v>661512284</v>
      </c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>
        <v>40056214</v>
      </c>
      <c r="CD525" s="52"/>
      <c r="CE525" s="52"/>
      <c r="CF525" s="52"/>
      <c r="CG525" s="52">
        <f t="shared" si="86"/>
        <v>701568498</v>
      </c>
      <c r="CH525" s="52"/>
      <c r="CI525" s="52"/>
      <c r="CJ525" s="52"/>
      <c r="CK525" s="52"/>
      <c r="CL525" s="52"/>
      <c r="CM525" s="52"/>
      <c r="CN525" s="52"/>
      <c r="CO525" s="52"/>
      <c r="CP525" s="52"/>
      <c r="CQ525" s="52">
        <v>40056214</v>
      </c>
      <c r="CR525" s="52"/>
      <c r="CS525" s="52">
        <f t="shared" si="83"/>
        <v>741624712</v>
      </c>
      <c r="CT525" s="53">
        <v>320449712</v>
      </c>
      <c r="CU525" s="53">
        <f t="shared" si="84"/>
        <v>421175000</v>
      </c>
      <c r="CV525" s="54">
        <f t="shared" si="87"/>
        <v>741624712</v>
      </c>
      <c r="CW525" s="55">
        <f t="shared" si="88"/>
        <v>0</v>
      </c>
      <c r="CX525" s="16"/>
      <c r="CY525" s="16"/>
      <c r="CZ525" s="16"/>
    </row>
    <row r="526" spans="1:108" ht="15" customHeight="1" x14ac:dyDescent="0.2">
      <c r="A526" s="1">
        <v>8001284281</v>
      </c>
      <c r="B526" s="1">
        <v>800128428</v>
      </c>
      <c r="C526" s="9">
        <v>217050370</v>
      </c>
      <c r="D526" s="10" t="s">
        <v>680</v>
      </c>
      <c r="E526" s="42" t="s">
        <v>1701</v>
      </c>
      <c r="F526" s="21"/>
      <c r="G526" s="50"/>
      <c r="H526" s="21"/>
      <c r="I526" s="50"/>
      <c r="J526" s="21"/>
      <c r="K526" s="21"/>
      <c r="L526" s="50"/>
      <c r="M526" s="51"/>
      <c r="N526" s="21"/>
      <c r="O526" s="50"/>
      <c r="P526" s="21"/>
      <c r="Q526" s="50"/>
      <c r="R526" s="21"/>
      <c r="S526" s="21"/>
      <c r="T526" s="50"/>
      <c r="U526" s="51">
        <f t="shared" si="82"/>
        <v>0</v>
      </c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>
        <v>58493713</v>
      </c>
      <c r="AN526" s="51">
        <f>SUBTOTAL(9,AC526:AM526)</f>
        <v>58493713</v>
      </c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>
        <v>81841095</v>
      </c>
      <c r="AZ526" s="51"/>
      <c r="BA526" s="51"/>
      <c r="BB526" s="51"/>
      <c r="BC526" s="52">
        <f t="shared" si="85"/>
        <v>140334808</v>
      </c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>
        <v>16368219</v>
      </c>
      <c r="BO526" s="51"/>
      <c r="BP526" s="52">
        <v>156703027</v>
      </c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  <c r="CA526" s="52"/>
      <c r="CB526" s="52"/>
      <c r="CC526" s="52">
        <v>16368219</v>
      </c>
      <c r="CD526" s="52"/>
      <c r="CE526" s="52"/>
      <c r="CF526" s="52"/>
      <c r="CG526" s="52">
        <f t="shared" si="86"/>
        <v>173071246</v>
      </c>
      <c r="CH526" s="52"/>
      <c r="CI526" s="52"/>
      <c r="CJ526" s="52"/>
      <c r="CK526" s="52"/>
      <c r="CL526" s="52"/>
      <c r="CM526" s="52"/>
      <c r="CN526" s="52"/>
      <c r="CO526" s="52"/>
      <c r="CP526" s="52"/>
      <c r="CQ526" s="52">
        <v>16368219</v>
      </c>
      <c r="CR526" s="52"/>
      <c r="CS526" s="52">
        <f t="shared" si="83"/>
        <v>189439465</v>
      </c>
      <c r="CT526" s="53">
        <v>130945752</v>
      </c>
      <c r="CU526" s="53">
        <f t="shared" si="84"/>
        <v>58493713</v>
      </c>
      <c r="CV526" s="54">
        <f t="shared" si="87"/>
        <v>189439465</v>
      </c>
      <c r="CW526" s="55">
        <f t="shared" si="88"/>
        <v>0</v>
      </c>
      <c r="CX526" s="16"/>
      <c r="CY526" s="16"/>
      <c r="CZ526" s="16"/>
    </row>
    <row r="527" spans="1:108" ht="15" customHeight="1" x14ac:dyDescent="0.2">
      <c r="A527" s="1">
        <v>8918562572</v>
      </c>
      <c r="B527" s="1">
        <v>891856257</v>
      </c>
      <c r="C527" s="9">
        <v>210315403</v>
      </c>
      <c r="D527" s="10" t="s">
        <v>264</v>
      </c>
      <c r="E527" s="42" t="s">
        <v>1298</v>
      </c>
      <c r="F527" s="21"/>
      <c r="G527" s="50"/>
      <c r="H527" s="21"/>
      <c r="I527" s="50"/>
      <c r="J527" s="21"/>
      <c r="K527" s="21"/>
      <c r="L527" s="50"/>
      <c r="M527" s="51"/>
      <c r="N527" s="21"/>
      <c r="O527" s="50"/>
      <c r="P527" s="21"/>
      <c r="Q527" s="50"/>
      <c r="R527" s="21"/>
      <c r="S527" s="21"/>
      <c r="T527" s="50"/>
      <c r="U527" s="51">
        <f t="shared" si="82"/>
        <v>0</v>
      </c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>
        <v>23300025</v>
      </c>
      <c r="AZ527" s="51"/>
      <c r="BA527" s="51">
        <f>VLOOKUP(B527,[1]Hoja3!J$3:K$674,2,0)</f>
        <v>40950047</v>
      </c>
      <c r="BB527" s="51"/>
      <c r="BC527" s="52">
        <f t="shared" si="85"/>
        <v>64250072</v>
      </c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>
        <v>4660005</v>
      </c>
      <c r="BO527" s="51"/>
      <c r="BP527" s="52">
        <v>68910077</v>
      </c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>
        <v>4660005</v>
      </c>
      <c r="CD527" s="52"/>
      <c r="CE527" s="52"/>
      <c r="CF527" s="52"/>
      <c r="CG527" s="52">
        <f t="shared" si="86"/>
        <v>73570082</v>
      </c>
      <c r="CH527" s="52"/>
      <c r="CI527" s="52"/>
      <c r="CJ527" s="52"/>
      <c r="CK527" s="52"/>
      <c r="CL527" s="52"/>
      <c r="CM527" s="52"/>
      <c r="CN527" s="52"/>
      <c r="CO527" s="52"/>
      <c r="CP527" s="52"/>
      <c r="CQ527" s="52">
        <v>4660005</v>
      </c>
      <c r="CR527" s="52"/>
      <c r="CS527" s="52">
        <f t="shared" si="83"/>
        <v>78230087</v>
      </c>
      <c r="CT527" s="53">
        <v>37280040</v>
      </c>
      <c r="CU527" s="53">
        <f t="shared" si="84"/>
        <v>40950047</v>
      </c>
      <c r="CV527" s="54">
        <f t="shared" si="87"/>
        <v>78230087</v>
      </c>
      <c r="CW527" s="55">
        <f t="shared" si="88"/>
        <v>0</v>
      </c>
      <c r="CX527" s="16"/>
      <c r="CY527" s="8"/>
      <c r="CZ527" s="8"/>
      <c r="DA527" s="8"/>
      <c r="DB527" s="8"/>
      <c r="DC527" s="8"/>
      <c r="DD527" s="8"/>
    </row>
    <row r="528" spans="1:108" ht="15" customHeight="1" x14ac:dyDescent="0.2">
      <c r="A528" s="1">
        <v>8915009976</v>
      </c>
      <c r="B528" s="1">
        <v>891500997</v>
      </c>
      <c r="C528" s="9">
        <v>219719397</v>
      </c>
      <c r="D528" s="10" t="s">
        <v>389</v>
      </c>
      <c r="E528" s="45" t="s">
        <v>2262</v>
      </c>
      <c r="F528" s="21"/>
      <c r="G528" s="50"/>
      <c r="H528" s="21"/>
      <c r="I528" s="50"/>
      <c r="J528" s="21"/>
      <c r="K528" s="21"/>
      <c r="L528" s="50"/>
      <c r="M528" s="51"/>
      <c r="N528" s="21"/>
      <c r="O528" s="50"/>
      <c r="P528" s="21"/>
      <c r="Q528" s="50"/>
      <c r="R528" s="21"/>
      <c r="S528" s="21"/>
      <c r="T528" s="50"/>
      <c r="U528" s="51">
        <f t="shared" si="82"/>
        <v>0</v>
      </c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>
        <f>VLOOKUP(B528,[1]Hoja3!J$3:K$674,2,0)</f>
        <v>198836848</v>
      </c>
      <c r="BB528" s="51"/>
      <c r="BC528" s="52">
        <f t="shared" si="85"/>
        <v>198836848</v>
      </c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>
        <v>0</v>
      </c>
      <c r="BO528" s="51"/>
      <c r="BP528" s="52">
        <v>198836848</v>
      </c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  <c r="CA528" s="52"/>
      <c r="CB528" s="52"/>
      <c r="CC528" s="52">
        <v>0</v>
      </c>
      <c r="CD528" s="52"/>
      <c r="CE528" s="52"/>
      <c r="CF528" s="52"/>
      <c r="CG528" s="52">
        <f t="shared" si="86"/>
        <v>198836848</v>
      </c>
      <c r="CH528" s="52"/>
      <c r="CI528" s="52"/>
      <c r="CJ528" s="52"/>
      <c r="CK528" s="52"/>
      <c r="CL528" s="52"/>
      <c r="CM528" s="52"/>
      <c r="CN528" s="52"/>
      <c r="CO528" s="52"/>
      <c r="CP528" s="52"/>
      <c r="CQ528" s="52">
        <v>0</v>
      </c>
      <c r="CR528" s="52"/>
      <c r="CS528" s="52">
        <f t="shared" si="83"/>
        <v>198836848</v>
      </c>
      <c r="CT528" s="53"/>
      <c r="CU528" s="53">
        <f t="shared" si="84"/>
        <v>198836848</v>
      </c>
      <c r="CV528" s="54">
        <f t="shared" si="87"/>
        <v>198836848</v>
      </c>
      <c r="CW528" s="55">
        <f t="shared" si="88"/>
        <v>0</v>
      </c>
      <c r="CX528" s="16"/>
      <c r="CY528" s="16"/>
      <c r="CZ528" s="16"/>
    </row>
    <row r="529" spans="1:108" ht="15" customHeight="1" x14ac:dyDescent="0.2">
      <c r="A529" s="1">
        <v>8000734751</v>
      </c>
      <c r="B529" s="1">
        <v>800073475</v>
      </c>
      <c r="C529" s="9">
        <v>210225402</v>
      </c>
      <c r="D529" s="10" t="s">
        <v>508</v>
      </c>
      <c r="E529" s="42" t="s">
        <v>1533</v>
      </c>
      <c r="F529" s="21"/>
      <c r="G529" s="50"/>
      <c r="H529" s="21"/>
      <c r="I529" s="50"/>
      <c r="J529" s="21"/>
      <c r="K529" s="21"/>
      <c r="L529" s="50"/>
      <c r="M529" s="51"/>
      <c r="N529" s="21"/>
      <c r="O529" s="50"/>
      <c r="P529" s="21"/>
      <c r="Q529" s="50"/>
      <c r="R529" s="21"/>
      <c r="S529" s="21"/>
      <c r="T529" s="50"/>
      <c r="U529" s="51">
        <f t="shared" si="82"/>
        <v>0</v>
      </c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>
        <v>235285967</v>
      </c>
      <c r="AN529" s="51">
        <f>SUBTOTAL(9,AC529:AM529)</f>
        <v>235285967</v>
      </c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2">
        <f t="shared" si="85"/>
        <v>235285967</v>
      </c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>
        <v>0</v>
      </c>
      <c r="BO529" s="51"/>
      <c r="BP529" s="52">
        <v>235285967</v>
      </c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>
        <v>0</v>
      </c>
      <c r="CD529" s="52"/>
      <c r="CE529" s="52"/>
      <c r="CF529" s="52"/>
      <c r="CG529" s="52">
        <f t="shared" si="86"/>
        <v>235285967</v>
      </c>
      <c r="CH529" s="52"/>
      <c r="CI529" s="52"/>
      <c r="CJ529" s="52"/>
      <c r="CK529" s="52"/>
      <c r="CL529" s="52"/>
      <c r="CM529" s="52"/>
      <c r="CN529" s="52"/>
      <c r="CO529" s="52"/>
      <c r="CP529" s="52"/>
      <c r="CQ529" s="52">
        <v>162483720</v>
      </c>
      <c r="CR529" s="52"/>
      <c r="CS529" s="52">
        <f t="shared" si="83"/>
        <v>397769687</v>
      </c>
      <c r="CT529" s="53">
        <v>162483720</v>
      </c>
      <c r="CU529" s="53">
        <f t="shared" si="84"/>
        <v>235285967</v>
      </c>
      <c r="CV529" s="54">
        <f t="shared" si="87"/>
        <v>397769687</v>
      </c>
      <c r="CW529" s="55">
        <f t="shared" si="88"/>
        <v>0</v>
      </c>
      <c r="CX529" s="16"/>
      <c r="CY529" s="16"/>
      <c r="CZ529" s="16"/>
    </row>
    <row r="530" spans="1:108" ht="15" customHeight="1" x14ac:dyDescent="0.2">
      <c r="A530" s="1">
        <v>8000065412</v>
      </c>
      <c r="B530" s="1">
        <v>800006541</v>
      </c>
      <c r="C530" s="9">
        <v>210115401</v>
      </c>
      <c r="D530" s="10" t="s">
        <v>263</v>
      </c>
      <c r="E530" s="42" t="s">
        <v>1297</v>
      </c>
      <c r="F530" s="21"/>
      <c r="G530" s="50"/>
      <c r="H530" s="21"/>
      <c r="I530" s="50"/>
      <c r="J530" s="21"/>
      <c r="K530" s="21"/>
      <c r="L530" s="50"/>
      <c r="M530" s="51"/>
      <c r="N530" s="21"/>
      <c r="O530" s="50"/>
      <c r="P530" s="21"/>
      <c r="Q530" s="50"/>
      <c r="R530" s="21"/>
      <c r="S530" s="21"/>
      <c r="T530" s="50"/>
      <c r="U530" s="51">
        <f t="shared" si="82"/>
        <v>0</v>
      </c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>
        <v>10518050</v>
      </c>
      <c r="AZ530" s="51"/>
      <c r="BA530" s="51">
        <f>VLOOKUP(B530,[1]Hoja3!J$3:K$674,2,0)</f>
        <v>16239937</v>
      </c>
      <c r="BB530" s="51"/>
      <c r="BC530" s="52">
        <f t="shared" si="85"/>
        <v>26757987</v>
      </c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>
        <v>2103610</v>
      </c>
      <c r="BO530" s="51"/>
      <c r="BP530" s="52">
        <v>28861597</v>
      </c>
      <c r="BQ530" s="52"/>
      <c r="BR530" s="52"/>
      <c r="BS530" s="52"/>
      <c r="BT530" s="52"/>
      <c r="BU530" s="52"/>
      <c r="BV530" s="52"/>
      <c r="BW530" s="52"/>
      <c r="BX530" s="52"/>
      <c r="BY530" s="52"/>
      <c r="BZ530" s="52"/>
      <c r="CA530" s="52"/>
      <c r="CB530" s="52"/>
      <c r="CC530" s="52">
        <v>2103610</v>
      </c>
      <c r="CD530" s="52"/>
      <c r="CE530" s="52"/>
      <c r="CF530" s="52"/>
      <c r="CG530" s="52">
        <f t="shared" si="86"/>
        <v>30965207</v>
      </c>
      <c r="CH530" s="52"/>
      <c r="CI530" s="52"/>
      <c r="CJ530" s="52"/>
      <c r="CK530" s="52"/>
      <c r="CL530" s="52"/>
      <c r="CM530" s="52"/>
      <c r="CN530" s="52"/>
      <c r="CO530" s="52"/>
      <c r="CP530" s="52"/>
      <c r="CQ530" s="52">
        <v>2103610</v>
      </c>
      <c r="CR530" s="52"/>
      <c r="CS530" s="52">
        <f t="shared" si="83"/>
        <v>33068817</v>
      </c>
      <c r="CT530" s="53">
        <v>16828880</v>
      </c>
      <c r="CU530" s="53">
        <f t="shared" si="84"/>
        <v>16239937</v>
      </c>
      <c r="CV530" s="54">
        <f t="shared" si="87"/>
        <v>33068817</v>
      </c>
      <c r="CW530" s="55">
        <f t="shared" si="88"/>
        <v>0</v>
      </c>
      <c r="CX530" s="16"/>
      <c r="CY530" s="16"/>
      <c r="CZ530" s="16"/>
    </row>
    <row r="531" spans="1:108" ht="15" customHeight="1" x14ac:dyDescent="0.2">
      <c r="A531" s="1">
        <v>8001005249</v>
      </c>
      <c r="B531" s="1">
        <v>800100524</v>
      </c>
      <c r="C531" s="9">
        <v>210376403</v>
      </c>
      <c r="D531" s="10" t="s">
        <v>932</v>
      </c>
      <c r="E531" s="42" t="s">
        <v>1992</v>
      </c>
      <c r="F531" s="21"/>
      <c r="G531" s="50"/>
      <c r="H531" s="21"/>
      <c r="I531" s="50"/>
      <c r="J531" s="21"/>
      <c r="K531" s="21"/>
      <c r="L531" s="50"/>
      <c r="M531" s="51"/>
      <c r="N531" s="21"/>
      <c r="O531" s="50"/>
      <c r="P531" s="21"/>
      <c r="Q531" s="50"/>
      <c r="R531" s="21"/>
      <c r="S531" s="21"/>
      <c r="T531" s="50"/>
      <c r="U531" s="51">
        <f t="shared" si="82"/>
        <v>0</v>
      </c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>
        <v>169945868</v>
      </c>
      <c r="AN531" s="51">
        <f>SUBTOTAL(9,AC531:AM531)</f>
        <v>169945868</v>
      </c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>
        <v>97572235</v>
      </c>
      <c r="AZ531" s="51"/>
      <c r="BA531" s="51"/>
      <c r="BB531" s="51"/>
      <c r="BC531" s="52">
        <f t="shared" si="85"/>
        <v>267518103</v>
      </c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>
        <v>19514447</v>
      </c>
      <c r="BO531" s="51"/>
      <c r="BP531" s="52">
        <v>287032550</v>
      </c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  <c r="CA531" s="52"/>
      <c r="CB531" s="52"/>
      <c r="CC531" s="52">
        <v>19514447</v>
      </c>
      <c r="CD531" s="52"/>
      <c r="CE531" s="52"/>
      <c r="CF531" s="52"/>
      <c r="CG531" s="52">
        <f t="shared" si="86"/>
        <v>306546997</v>
      </c>
      <c r="CH531" s="52"/>
      <c r="CI531" s="52"/>
      <c r="CJ531" s="52"/>
      <c r="CK531" s="52"/>
      <c r="CL531" s="52"/>
      <c r="CM531" s="52"/>
      <c r="CN531" s="52"/>
      <c r="CO531" s="52"/>
      <c r="CP531" s="52"/>
      <c r="CQ531" s="52">
        <v>19514447</v>
      </c>
      <c r="CR531" s="52"/>
      <c r="CS531" s="52">
        <f t="shared" si="83"/>
        <v>326061444</v>
      </c>
      <c r="CT531" s="53">
        <v>156115576</v>
      </c>
      <c r="CU531" s="53">
        <f t="shared" si="84"/>
        <v>169945868</v>
      </c>
      <c r="CV531" s="54">
        <f t="shared" si="87"/>
        <v>326061444</v>
      </c>
      <c r="CW531" s="55">
        <f t="shared" si="88"/>
        <v>0</v>
      </c>
      <c r="CX531" s="16"/>
      <c r="CY531" s="8"/>
      <c r="CZ531" s="8"/>
      <c r="DA531" s="8"/>
      <c r="DB531" s="8"/>
      <c r="DC531" s="8"/>
      <c r="DD531" s="8"/>
    </row>
    <row r="532" spans="1:108" ht="15" customHeight="1" x14ac:dyDescent="0.2">
      <c r="A532" s="1">
        <v>8914800271</v>
      </c>
      <c r="B532" s="1">
        <v>891480027</v>
      </c>
      <c r="C532" s="9">
        <v>210066400</v>
      </c>
      <c r="D532" s="10" t="s">
        <v>805</v>
      </c>
      <c r="E532" s="42" t="s">
        <v>1822</v>
      </c>
      <c r="F532" s="21"/>
      <c r="G532" s="50"/>
      <c r="H532" s="21"/>
      <c r="I532" s="50"/>
      <c r="J532" s="21"/>
      <c r="K532" s="21"/>
      <c r="L532" s="50"/>
      <c r="M532" s="51"/>
      <c r="N532" s="21"/>
      <c r="O532" s="50"/>
      <c r="P532" s="21"/>
      <c r="Q532" s="50"/>
      <c r="R532" s="21"/>
      <c r="S532" s="21"/>
      <c r="T532" s="50"/>
      <c r="U532" s="51">
        <f t="shared" si="82"/>
        <v>0</v>
      </c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>
        <v>405195911</v>
      </c>
      <c r="AN532" s="51">
        <f>SUBTOTAL(9,AC532:AM532)</f>
        <v>405195911</v>
      </c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>
        <v>214648040</v>
      </c>
      <c r="AZ532" s="51"/>
      <c r="BA532" s="51"/>
      <c r="BB532" s="51"/>
      <c r="BC532" s="52">
        <f t="shared" si="85"/>
        <v>619843951</v>
      </c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>
        <v>42929608</v>
      </c>
      <c r="BO532" s="51"/>
      <c r="BP532" s="52">
        <v>662773559</v>
      </c>
      <c r="BQ532" s="52"/>
      <c r="BR532" s="52"/>
      <c r="BS532" s="52"/>
      <c r="BT532" s="52"/>
      <c r="BU532" s="52"/>
      <c r="BV532" s="52"/>
      <c r="BW532" s="52"/>
      <c r="BX532" s="52"/>
      <c r="BY532" s="52"/>
      <c r="BZ532" s="52"/>
      <c r="CA532" s="52"/>
      <c r="CB532" s="52"/>
      <c r="CC532" s="52">
        <v>42929608</v>
      </c>
      <c r="CD532" s="52"/>
      <c r="CE532" s="52"/>
      <c r="CF532" s="52"/>
      <c r="CG532" s="52">
        <f t="shared" si="86"/>
        <v>705703167</v>
      </c>
      <c r="CH532" s="52"/>
      <c r="CI532" s="52"/>
      <c r="CJ532" s="52"/>
      <c r="CK532" s="52"/>
      <c r="CL532" s="52"/>
      <c r="CM532" s="52"/>
      <c r="CN532" s="52"/>
      <c r="CO532" s="52"/>
      <c r="CP532" s="52"/>
      <c r="CQ532" s="52">
        <v>42929608</v>
      </c>
      <c r="CR532" s="52"/>
      <c r="CS532" s="52">
        <f t="shared" si="83"/>
        <v>748632775</v>
      </c>
      <c r="CT532" s="53">
        <v>343436864</v>
      </c>
      <c r="CU532" s="53">
        <f t="shared" si="84"/>
        <v>405195911</v>
      </c>
      <c r="CV532" s="54">
        <f t="shared" si="87"/>
        <v>748632775</v>
      </c>
      <c r="CW532" s="55">
        <f t="shared" si="88"/>
        <v>0</v>
      </c>
      <c r="CX532" s="16"/>
      <c r="CY532" s="16"/>
      <c r="CZ532" s="16"/>
    </row>
    <row r="533" spans="1:108" ht="15" customHeight="1" x14ac:dyDescent="0.2">
      <c r="A533" s="1">
        <v>8905036807</v>
      </c>
      <c r="B533" s="1">
        <v>890503680</v>
      </c>
      <c r="C533" s="9">
        <v>217754377</v>
      </c>
      <c r="D533" s="10" t="s">
        <v>768</v>
      </c>
      <c r="E533" s="42" t="s">
        <v>1786</v>
      </c>
      <c r="F533" s="21"/>
      <c r="G533" s="50"/>
      <c r="H533" s="21"/>
      <c r="I533" s="50"/>
      <c r="J533" s="21"/>
      <c r="K533" s="21"/>
      <c r="L533" s="50"/>
      <c r="M533" s="51"/>
      <c r="N533" s="21"/>
      <c r="O533" s="50"/>
      <c r="P533" s="21"/>
      <c r="Q533" s="50"/>
      <c r="R533" s="21"/>
      <c r="S533" s="21"/>
      <c r="T533" s="50"/>
      <c r="U533" s="51">
        <f t="shared" si="82"/>
        <v>0</v>
      </c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>
        <v>40051040</v>
      </c>
      <c r="AZ533" s="51"/>
      <c r="BA533" s="51">
        <f>VLOOKUP(B533,[1]Hoja3!J$3:K$674,2,0)</f>
        <v>82988126</v>
      </c>
      <c r="BB533" s="51"/>
      <c r="BC533" s="52">
        <f t="shared" si="85"/>
        <v>123039166</v>
      </c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>
        <v>8010208</v>
      </c>
      <c r="BO533" s="51"/>
      <c r="BP533" s="52">
        <v>131049374</v>
      </c>
      <c r="BQ533" s="52"/>
      <c r="BR533" s="52"/>
      <c r="BS533" s="52"/>
      <c r="BT533" s="52"/>
      <c r="BU533" s="52"/>
      <c r="BV533" s="52"/>
      <c r="BW533" s="52"/>
      <c r="BX533" s="52"/>
      <c r="BY533" s="52"/>
      <c r="BZ533" s="52"/>
      <c r="CA533" s="52"/>
      <c r="CB533" s="52"/>
      <c r="CC533" s="52">
        <v>8010208</v>
      </c>
      <c r="CD533" s="52"/>
      <c r="CE533" s="52"/>
      <c r="CF533" s="52"/>
      <c r="CG533" s="52">
        <f t="shared" si="86"/>
        <v>139059582</v>
      </c>
      <c r="CH533" s="52"/>
      <c r="CI533" s="52"/>
      <c r="CJ533" s="52"/>
      <c r="CK533" s="52"/>
      <c r="CL533" s="52"/>
      <c r="CM533" s="52"/>
      <c r="CN533" s="52"/>
      <c r="CO533" s="52"/>
      <c r="CP533" s="52"/>
      <c r="CQ533" s="52">
        <v>8010208</v>
      </c>
      <c r="CR533" s="52"/>
      <c r="CS533" s="52">
        <f t="shared" si="83"/>
        <v>147069790</v>
      </c>
      <c r="CT533" s="53">
        <v>64081664</v>
      </c>
      <c r="CU533" s="53">
        <f t="shared" si="84"/>
        <v>82988126</v>
      </c>
      <c r="CV533" s="54">
        <f t="shared" si="87"/>
        <v>147069790</v>
      </c>
      <c r="CW533" s="55">
        <f t="shared" si="88"/>
        <v>0</v>
      </c>
      <c r="CX533" s="16"/>
      <c r="CY533" s="16"/>
      <c r="CZ533" s="16"/>
    </row>
    <row r="534" spans="1:108" ht="15" customHeight="1" x14ac:dyDescent="0.2">
      <c r="A534" s="1">
        <v>8000992068</v>
      </c>
      <c r="B534" s="1">
        <v>800099206</v>
      </c>
      <c r="C534" s="9">
        <v>217715377</v>
      </c>
      <c r="D534" s="10" t="s">
        <v>261</v>
      </c>
      <c r="E534" s="42" t="s">
        <v>1295</v>
      </c>
      <c r="F534" s="21"/>
      <c r="G534" s="50"/>
      <c r="H534" s="21"/>
      <c r="I534" s="50"/>
      <c r="J534" s="21"/>
      <c r="K534" s="21"/>
      <c r="L534" s="50"/>
      <c r="M534" s="51"/>
      <c r="N534" s="21"/>
      <c r="O534" s="50"/>
      <c r="P534" s="21"/>
      <c r="Q534" s="50"/>
      <c r="R534" s="21"/>
      <c r="S534" s="21"/>
      <c r="T534" s="50"/>
      <c r="U534" s="51">
        <f t="shared" si="82"/>
        <v>0</v>
      </c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>
        <v>33827290</v>
      </c>
      <c r="AZ534" s="51"/>
      <c r="BA534" s="51">
        <f>VLOOKUP(B534,[1]Hoja3!J$3:K$674,2,0)</f>
        <v>39983957</v>
      </c>
      <c r="BB534" s="51"/>
      <c r="BC534" s="52">
        <f t="shared" si="85"/>
        <v>73811247</v>
      </c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>
        <v>6765458</v>
      </c>
      <c r="BO534" s="51"/>
      <c r="BP534" s="52">
        <v>80576705</v>
      </c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  <c r="CA534" s="52"/>
      <c r="CB534" s="52"/>
      <c r="CC534" s="52">
        <v>6765458</v>
      </c>
      <c r="CD534" s="52"/>
      <c r="CE534" s="52"/>
      <c r="CF534" s="52"/>
      <c r="CG534" s="52">
        <f t="shared" si="86"/>
        <v>87342163</v>
      </c>
      <c r="CH534" s="52"/>
      <c r="CI534" s="52"/>
      <c r="CJ534" s="52"/>
      <c r="CK534" s="52"/>
      <c r="CL534" s="52"/>
      <c r="CM534" s="52"/>
      <c r="CN534" s="52"/>
      <c r="CO534" s="52"/>
      <c r="CP534" s="52"/>
      <c r="CQ534" s="52">
        <v>6765458</v>
      </c>
      <c r="CR534" s="52"/>
      <c r="CS534" s="52">
        <f t="shared" si="83"/>
        <v>94107621</v>
      </c>
      <c r="CT534" s="53">
        <v>54123664</v>
      </c>
      <c r="CU534" s="53">
        <f t="shared" si="84"/>
        <v>39983957</v>
      </c>
      <c r="CV534" s="54">
        <f t="shared" si="87"/>
        <v>94107621</v>
      </c>
      <c r="CW534" s="55">
        <f t="shared" si="88"/>
        <v>0</v>
      </c>
      <c r="CX534" s="16"/>
      <c r="CY534" s="8"/>
      <c r="CZ534" s="8"/>
      <c r="DA534" s="8"/>
      <c r="DB534" s="8"/>
      <c r="DC534" s="8"/>
      <c r="DD534" s="8"/>
    </row>
    <row r="535" spans="1:108" ht="15" customHeight="1" x14ac:dyDescent="0.2">
      <c r="A535" s="1">
        <v>8902107047</v>
      </c>
      <c r="B535" s="1">
        <v>890210704</v>
      </c>
      <c r="C535" s="9">
        <v>218568385</v>
      </c>
      <c r="D535" s="10" t="s">
        <v>851</v>
      </c>
      <c r="E535" s="42" t="s">
        <v>1865</v>
      </c>
      <c r="F535" s="21"/>
      <c r="G535" s="50"/>
      <c r="H535" s="21"/>
      <c r="I535" s="50"/>
      <c r="J535" s="21"/>
      <c r="K535" s="21"/>
      <c r="L535" s="50"/>
      <c r="M535" s="51"/>
      <c r="N535" s="21"/>
      <c r="O535" s="50"/>
      <c r="P535" s="21"/>
      <c r="Q535" s="50"/>
      <c r="R535" s="21"/>
      <c r="S535" s="21"/>
      <c r="T535" s="50"/>
      <c r="U535" s="51">
        <f t="shared" si="82"/>
        <v>0</v>
      </c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>
        <f>VLOOKUP(B535,[1]Hoja3!J$3:K$674,2,0)</f>
        <v>195830741</v>
      </c>
      <c r="BB535" s="51"/>
      <c r="BC535" s="52">
        <f t="shared" si="85"/>
        <v>195830741</v>
      </c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>
        <v>17008957</v>
      </c>
      <c r="BO535" s="51"/>
      <c r="BP535" s="52">
        <v>212839698</v>
      </c>
      <c r="BQ535" s="52"/>
      <c r="BR535" s="52"/>
      <c r="BS535" s="52"/>
      <c r="BT535" s="52"/>
      <c r="BU535" s="52"/>
      <c r="BV535" s="52"/>
      <c r="BW535" s="52"/>
      <c r="BX535" s="52"/>
      <c r="BY535" s="52"/>
      <c r="BZ535" s="52"/>
      <c r="CA535" s="52"/>
      <c r="CB535" s="52"/>
      <c r="CC535" s="52">
        <v>17008957</v>
      </c>
      <c r="CD535" s="52">
        <v>85044785</v>
      </c>
      <c r="CE535" s="52"/>
      <c r="CF535" s="52"/>
      <c r="CG535" s="52">
        <f t="shared" si="86"/>
        <v>314893440</v>
      </c>
      <c r="CH535" s="52"/>
      <c r="CI535" s="52"/>
      <c r="CJ535" s="52"/>
      <c r="CK535" s="52"/>
      <c r="CL535" s="52"/>
      <c r="CM535" s="52"/>
      <c r="CN535" s="52"/>
      <c r="CO535" s="52"/>
      <c r="CP535" s="52"/>
      <c r="CQ535" s="52">
        <v>17008957</v>
      </c>
      <c r="CR535" s="52"/>
      <c r="CS535" s="52">
        <f t="shared" si="83"/>
        <v>331902397</v>
      </c>
      <c r="CT535" s="53">
        <v>136071656</v>
      </c>
      <c r="CU535" s="53">
        <f t="shared" si="84"/>
        <v>195830741</v>
      </c>
      <c r="CV535" s="54">
        <f t="shared" si="87"/>
        <v>331902397</v>
      </c>
      <c r="CW535" s="55">
        <f t="shared" si="88"/>
        <v>0</v>
      </c>
      <c r="CX535" s="16"/>
      <c r="CY535" s="16"/>
      <c r="CZ535" s="16"/>
    </row>
    <row r="536" spans="1:108" ht="15" customHeight="1" x14ac:dyDescent="0.2">
      <c r="A536" s="1">
        <v>8902061107</v>
      </c>
      <c r="B536" s="1">
        <v>890206110</v>
      </c>
      <c r="C536" s="9">
        <v>210668406</v>
      </c>
      <c r="D536" s="10" t="s">
        <v>853</v>
      </c>
      <c r="E536" s="42" t="s">
        <v>1867</v>
      </c>
      <c r="F536" s="21"/>
      <c r="G536" s="50"/>
      <c r="H536" s="21"/>
      <c r="I536" s="50"/>
      <c r="J536" s="21"/>
      <c r="K536" s="21"/>
      <c r="L536" s="50"/>
      <c r="M536" s="51"/>
      <c r="N536" s="21"/>
      <c r="O536" s="50"/>
      <c r="P536" s="21"/>
      <c r="Q536" s="50"/>
      <c r="R536" s="21"/>
      <c r="S536" s="21"/>
      <c r="T536" s="50"/>
      <c r="U536" s="51">
        <f t="shared" si="82"/>
        <v>0</v>
      </c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>
        <v>181981915</v>
      </c>
      <c r="AZ536" s="51"/>
      <c r="BA536" s="51">
        <f>VLOOKUP(B536,[1]Hoja3!J$3:K$674,2,0)</f>
        <v>537306927</v>
      </c>
      <c r="BB536" s="51"/>
      <c r="BC536" s="52">
        <f t="shared" si="85"/>
        <v>719288842</v>
      </c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>
        <v>36396383</v>
      </c>
      <c r="BO536" s="51"/>
      <c r="BP536" s="52">
        <v>755685225</v>
      </c>
      <c r="BQ536" s="52"/>
      <c r="BR536" s="52"/>
      <c r="BS536" s="52"/>
      <c r="BT536" s="52"/>
      <c r="BU536" s="52"/>
      <c r="BV536" s="52"/>
      <c r="BW536" s="52"/>
      <c r="BX536" s="52"/>
      <c r="BY536" s="52"/>
      <c r="BZ536" s="52"/>
      <c r="CA536" s="52"/>
      <c r="CB536" s="52"/>
      <c r="CC536" s="52">
        <v>36396383</v>
      </c>
      <c r="CD536" s="52"/>
      <c r="CE536" s="52"/>
      <c r="CF536" s="52"/>
      <c r="CG536" s="52">
        <f t="shared" si="86"/>
        <v>792081608</v>
      </c>
      <c r="CH536" s="52"/>
      <c r="CI536" s="52"/>
      <c r="CJ536" s="52"/>
      <c r="CK536" s="52"/>
      <c r="CL536" s="52"/>
      <c r="CM536" s="52"/>
      <c r="CN536" s="52"/>
      <c r="CO536" s="52"/>
      <c r="CP536" s="52"/>
      <c r="CQ536" s="52">
        <v>36396383</v>
      </c>
      <c r="CR536" s="52"/>
      <c r="CS536" s="52">
        <f t="shared" si="83"/>
        <v>828477991</v>
      </c>
      <c r="CT536" s="53">
        <v>291171064</v>
      </c>
      <c r="CU536" s="53">
        <f t="shared" si="84"/>
        <v>537306927</v>
      </c>
      <c r="CV536" s="54">
        <f t="shared" si="87"/>
        <v>828477991</v>
      </c>
      <c r="CW536" s="55">
        <f t="shared" si="88"/>
        <v>0</v>
      </c>
      <c r="CX536" s="16"/>
      <c r="CY536" s="16"/>
      <c r="CZ536" s="16"/>
    </row>
    <row r="537" spans="1:108" ht="15" customHeight="1" x14ac:dyDescent="0.2">
      <c r="A537" s="1">
        <v>8000191115</v>
      </c>
      <c r="B537" s="1">
        <v>800019111</v>
      </c>
      <c r="C537" s="9">
        <v>210552405</v>
      </c>
      <c r="D537" s="10" t="s">
        <v>722</v>
      </c>
      <c r="E537" s="42" t="s">
        <v>1744</v>
      </c>
      <c r="F537" s="21"/>
      <c r="G537" s="50"/>
      <c r="H537" s="21"/>
      <c r="I537" s="50"/>
      <c r="J537" s="21"/>
      <c r="K537" s="21"/>
      <c r="L537" s="50"/>
      <c r="M537" s="51"/>
      <c r="N537" s="21"/>
      <c r="O537" s="50"/>
      <c r="P537" s="21"/>
      <c r="Q537" s="50"/>
      <c r="R537" s="21"/>
      <c r="S537" s="21"/>
      <c r="T537" s="50"/>
      <c r="U537" s="51">
        <f t="shared" si="82"/>
        <v>0</v>
      </c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>
        <v>30576476</v>
      </c>
      <c r="AN537" s="51">
        <f t="shared" ref="AN537:AN542" si="89">SUBTOTAL(9,AC537:AM537)</f>
        <v>30576476</v>
      </c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>
        <v>92554180</v>
      </c>
      <c r="AZ537" s="51"/>
      <c r="BA537" s="51">
        <f>VLOOKUP(B537,[1]Hoja3!J$3:K$674,2,0)</f>
        <v>124291612</v>
      </c>
      <c r="BB537" s="51"/>
      <c r="BC537" s="52">
        <f t="shared" si="85"/>
        <v>247422268</v>
      </c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>
        <v>18510836</v>
      </c>
      <c r="BO537" s="51"/>
      <c r="BP537" s="52">
        <v>265933104</v>
      </c>
      <c r="BQ537" s="52"/>
      <c r="BR537" s="52"/>
      <c r="BS537" s="52"/>
      <c r="BT537" s="52"/>
      <c r="BU537" s="52"/>
      <c r="BV537" s="52"/>
      <c r="BW537" s="52"/>
      <c r="BX537" s="52"/>
      <c r="BY537" s="52"/>
      <c r="BZ537" s="52"/>
      <c r="CA537" s="52"/>
      <c r="CB537" s="52"/>
      <c r="CC537" s="52">
        <v>18510836</v>
      </c>
      <c r="CD537" s="52"/>
      <c r="CE537" s="52"/>
      <c r="CF537" s="52"/>
      <c r="CG537" s="52">
        <f t="shared" si="86"/>
        <v>284443940</v>
      </c>
      <c r="CH537" s="52"/>
      <c r="CI537" s="52"/>
      <c r="CJ537" s="52"/>
      <c r="CK537" s="52"/>
      <c r="CL537" s="52"/>
      <c r="CM537" s="52"/>
      <c r="CN537" s="52"/>
      <c r="CO537" s="52"/>
      <c r="CP537" s="52"/>
      <c r="CQ537" s="52">
        <v>18510836</v>
      </c>
      <c r="CR537" s="52"/>
      <c r="CS537" s="52">
        <f t="shared" si="83"/>
        <v>302954776</v>
      </c>
      <c r="CT537" s="53">
        <v>148086688</v>
      </c>
      <c r="CU537" s="53">
        <f t="shared" si="84"/>
        <v>154868088</v>
      </c>
      <c r="CV537" s="54">
        <f t="shared" si="87"/>
        <v>302954776</v>
      </c>
      <c r="CW537" s="55">
        <f t="shared" si="88"/>
        <v>0</v>
      </c>
      <c r="CX537" s="16"/>
      <c r="CY537" s="16"/>
      <c r="CZ537" s="16"/>
    </row>
    <row r="538" spans="1:108" ht="15" customHeight="1" x14ac:dyDescent="0.2">
      <c r="A538" s="1">
        <v>8920992428</v>
      </c>
      <c r="B538" s="1">
        <v>892099242</v>
      </c>
      <c r="C538" s="9">
        <v>210050400</v>
      </c>
      <c r="D538" s="10" t="s">
        <v>681</v>
      </c>
      <c r="E538" s="42" t="s">
        <v>1702</v>
      </c>
      <c r="F538" s="21"/>
      <c r="G538" s="50"/>
      <c r="H538" s="21"/>
      <c r="I538" s="50"/>
      <c r="J538" s="21"/>
      <c r="K538" s="21"/>
      <c r="L538" s="50"/>
      <c r="M538" s="51"/>
      <c r="N538" s="21"/>
      <c r="O538" s="50"/>
      <c r="P538" s="21"/>
      <c r="Q538" s="50"/>
      <c r="R538" s="21"/>
      <c r="S538" s="21"/>
      <c r="T538" s="50"/>
      <c r="U538" s="51">
        <f t="shared" si="82"/>
        <v>0</v>
      </c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>
        <v>90932870</v>
      </c>
      <c r="AN538" s="51">
        <f t="shared" si="89"/>
        <v>90932870</v>
      </c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>
        <v>67095190</v>
      </c>
      <c r="AZ538" s="51"/>
      <c r="BA538" s="51">
        <f>VLOOKUP(B538,[1]Hoja3!J$3:K$674,2,0)</f>
        <v>87776468</v>
      </c>
      <c r="BB538" s="51"/>
      <c r="BC538" s="52">
        <f t="shared" si="85"/>
        <v>245804528</v>
      </c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>
        <v>13419038</v>
      </c>
      <c r="BO538" s="51"/>
      <c r="BP538" s="52">
        <v>259223566</v>
      </c>
      <c r="BQ538" s="52"/>
      <c r="BR538" s="52"/>
      <c r="BS538" s="52"/>
      <c r="BT538" s="52"/>
      <c r="BU538" s="52"/>
      <c r="BV538" s="52"/>
      <c r="BW538" s="52"/>
      <c r="BX538" s="52"/>
      <c r="BY538" s="52"/>
      <c r="BZ538" s="52"/>
      <c r="CA538" s="52"/>
      <c r="CB538" s="52"/>
      <c r="CC538" s="52">
        <v>13419038</v>
      </c>
      <c r="CD538" s="52"/>
      <c r="CE538" s="52"/>
      <c r="CF538" s="52"/>
      <c r="CG538" s="52">
        <f t="shared" si="86"/>
        <v>272642604</v>
      </c>
      <c r="CH538" s="52"/>
      <c r="CI538" s="52"/>
      <c r="CJ538" s="52"/>
      <c r="CK538" s="52"/>
      <c r="CL538" s="52"/>
      <c r="CM538" s="52"/>
      <c r="CN538" s="52"/>
      <c r="CO538" s="52"/>
      <c r="CP538" s="52"/>
      <c r="CQ538" s="52">
        <v>13419038</v>
      </c>
      <c r="CR538" s="52"/>
      <c r="CS538" s="52">
        <f t="shared" si="83"/>
        <v>286061642</v>
      </c>
      <c r="CT538" s="53">
        <v>107352304</v>
      </c>
      <c r="CU538" s="53">
        <f t="shared" si="84"/>
        <v>178709338</v>
      </c>
      <c r="CV538" s="54">
        <f t="shared" si="87"/>
        <v>286061642</v>
      </c>
      <c r="CW538" s="55">
        <f t="shared" si="88"/>
        <v>0</v>
      </c>
      <c r="CX538" s="16"/>
      <c r="CY538" s="16"/>
      <c r="CZ538" s="16"/>
    </row>
    <row r="539" spans="1:108" ht="15" customHeight="1" x14ac:dyDescent="0.2">
      <c r="A539" s="1">
        <v>8999993305</v>
      </c>
      <c r="B539" s="1">
        <v>899999330</v>
      </c>
      <c r="C539" s="9">
        <v>210725407</v>
      </c>
      <c r="D539" s="10" t="s">
        <v>509</v>
      </c>
      <c r="E539" s="42" t="s">
        <v>1534</v>
      </c>
      <c r="F539" s="21"/>
      <c r="G539" s="50"/>
      <c r="H539" s="21"/>
      <c r="I539" s="50"/>
      <c r="J539" s="21"/>
      <c r="K539" s="21"/>
      <c r="L539" s="50"/>
      <c r="M539" s="51"/>
      <c r="N539" s="21"/>
      <c r="O539" s="50"/>
      <c r="P539" s="21"/>
      <c r="Q539" s="50"/>
      <c r="R539" s="21"/>
      <c r="S539" s="21"/>
      <c r="T539" s="50"/>
      <c r="U539" s="51">
        <f t="shared" si="82"/>
        <v>0</v>
      </c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>
        <v>161572342</v>
      </c>
      <c r="AN539" s="51">
        <f t="shared" si="89"/>
        <v>161572342</v>
      </c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2">
        <f t="shared" si="85"/>
        <v>161572342</v>
      </c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>
        <v>0</v>
      </c>
      <c r="BO539" s="51"/>
      <c r="BP539" s="52">
        <v>161572342</v>
      </c>
      <c r="BQ539" s="52"/>
      <c r="BR539" s="52"/>
      <c r="BS539" s="52"/>
      <c r="BT539" s="52"/>
      <c r="BU539" s="52"/>
      <c r="BV539" s="52"/>
      <c r="BW539" s="52"/>
      <c r="BX539" s="52"/>
      <c r="BY539" s="52"/>
      <c r="BZ539" s="52"/>
      <c r="CA539" s="52"/>
      <c r="CB539" s="52"/>
      <c r="CC539" s="52">
        <v>0</v>
      </c>
      <c r="CD539" s="52"/>
      <c r="CE539" s="52"/>
      <c r="CF539" s="52"/>
      <c r="CG539" s="52">
        <f t="shared" si="86"/>
        <v>161572342</v>
      </c>
      <c r="CH539" s="52"/>
      <c r="CI539" s="52"/>
      <c r="CJ539" s="52"/>
      <c r="CK539" s="52"/>
      <c r="CL539" s="52"/>
      <c r="CM539" s="52"/>
      <c r="CN539" s="52"/>
      <c r="CO539" s="52"/>
      <c r="CP539" s="52"/>
      <c r="CQ539" s="52">
        <v>0</v>
      </c>
      <c r="CR539" s="52"/>
      <c r="CS539" s="52">
        <f t="shared" si="83"/>
        <v>161572342</v>
      </c>
      <c r="CT539" s="53"/>
      <c r="CU539" s="53">
        <f t="shared" si="84"/>
        <v>161572342</v>
      </c>
      <c r="CV539" s="54">
        <f t="shared" si="87"/>
        <v>161572342</v>
      </c>
      <c r="CW539" s="55">
        <f t="shared" si="88"/>
        <v>0</v>
      </c>
      <c r="CX539" s="16"/>
      <c r="CY539" s="16"/>
      <c r="CZ539" s="16"/>
    </row>
    <row r="540" spans="1:108" ht="15" customHeight="1" x14ac:dyDescent="0.2">
      <c r="A540" s="1">
        <v>8907020342</v>
      </c>
      <c r="B540" s="1">
        <v>890702034</v>
      </c>
      <c r="C540" s="9">
        <v>210873408</v>
      </c>
      <c r="D540" s="10" t="s">
        <v>2223</v>
      </c>
      <c r="E540" s="42" t="s">
        <v>1949</v>
      </c>
      <c r="F540" s="21"/>
      <c r="G540" s="50"/>
      <c r="H540" s="21"/>
      <c r="I540" s="50"/>
      <c r="J540" s="21"/>
      <c r="K540" s="21"/>
      <c r="L540" s="50"/>
      <c r="M540" s="51"/>
      <c r="N540" s="21"/>
      <c r="O540" s="50"/>
      <c r="P540" s="21"/>
      <c r="Q540" s="50"/>
      <c r="R540" s="21"/>
      <c r="S540" s="21"/>
      <c r="T540" s="50"/>
      <c r="U540" s="51">
        <f t="shared" si="82"/>
        <v>0</v>
      </c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>
        <v>239168401</v>
      </c>
      <c r="AN540" s="51">
        <f t="shared" si="89"/>
        <v>239168401</v>
      </c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>
        <v>121392665</v>
      </c>
      <c r="AZ540" s="51"/>
      <c r="BA540" s="51"/>
      <c r="BB540" s="51"/>
      <c r="BC540" s="52">
        <f t="shared" si="85"/>
        <v>360561066</v>
      </c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>
        <v>24278533</v>
      </c>
      <c r="BO540" s="51"/>
      <c r="BP540" s="52">
        <v>384839599</v>
      </c>
      <c r="BQ540" s="52"/>
      <c r="BR540" s="52"/>
      <c r="BS540" s="52"/>
      <c r="BT540" s="52"/>
      <c r="BU540" s="52"/>
      <c r="BV540" s="52"/>
      <c r="BW540" s="52"/>
      <c r="BX540" s="52"/>
      <c r="BY540" s="52"/>
      <c r="BZ540" s="52"/>
      <c r="CA540" s="52"/>
      <c r="CB540" s="52"/>
      <c r="CC540" s="52">
        <v>24278533</v>
      </c>
      <c r="CD540" s="52"/>
      <c r="CE540" s="52"/>
      <c r="CF540" s="52"/>
      <c r="CG540" s="52">
        <f t="shared" si="86"/>
        <v>409118132</v>
      </c>
      <c r="CH540" s="52"/>
      <c r="CI540" s="52"/>
      <c r="CJ540" s="52"/>
      <c r="CK540" s="52"/>
      <c r="CL540" s="52"/>
      <c r="CM540" s="52"/>
      <c r="CN540" s="52"/>
      <c r="CO540" s="52"/>
      <c r="CP540" s="52"/>
      <c r="CQ540" s="52">
        <v>24278533</v>
      </c>
      <c r="CR540" s="52"/>
      <c r="CS540" s="52">
        <f t="shared" si="83"/>
        <v>433396665</v>
      </c>
      <c r="CT540" s="53">
        <v>194228264</v>
      </c>
      <c r="CU540" s="53">
        <f t="shared" si="84"/>
        <v>239168401</v>
      </c>
      <c r="CV540" s="54">
        <f t="shared" si="87"/>
        <v>433396665</v>
      </c>
      <c r="CW540" s="55">
        <f t="shared" si="88"/>
        <v>0</v>
      </c>
      <c r="CX540" s="16"/>
      <c r="CY540" s="16"/>
      <c r="CZ540" s="16"/>
    </row>
    <row r="541" spans="1:108" ht="15" customHeight="1" x14ac:dyDescent="0.2">
      <c r="A541" s="1">
        <v>8999993029</v>
      </c>
      <c r="B541" s="1">
        <v>899999302</v>
      </c>
      <c r="C541" s="9">
        <v>210191001</v>
      </c>
      <c r="D541" s="10" t="s">
        <v>988</v>
      </c>
      <c r="E541" s="42" t="s">
        <v>2076</v>
      </c>
      <c r="F541" s="21"/>
      <c r="G541" s="50"/>
      <c r="H541" s="21"/>
      <c r="I541" s="50"/>
      <c r="J541" s="21"/>
      <c r="K541" s="21"/>
      <c r="L541" s="50"/>
      <c r="M541" s="51"/>
      <c r="N541" s="21"/>
      <c r="O541" s="50"/>
      <c r="P541" s="21"/>
      <c r="Q541" s="50"/>
      <c r="R541" s="21"/>
      <c r="S541" s="21"/>
      <c r="T541" s="50"/>
      <c r="U541" s="51">
        <f t="shared" si="82"/>
        <v>0</v>
      </c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>
        <v>977647135</v>
      </c>
      <c r="AN541" s="51">
        <f t="shared" si="89"/>
        <v>977647135</v>
      </c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>
        <v>380238385</v>
      </c>
      <c r="AZ541" s="51"/>
      <c r="BA541" s="51"/>
      <c r="BB541" s="51">
        <f>VLOOKUP(B541,'[2]anuladas en mayo gratuidad}'!K$2:L$55,2,0)</f>
        <v>110903490</v>
      </c>
      <c r="BC541" s="52">
        <f t="shared" si="85"/>
        <v>1246982030</v>
      </c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>
        <v>76047677</v>
      </c>
      <c r="BO541" s="51"/>
      <c r="BP541" s="52">
        <v>1323029707</v>
      </c>
      <c r="BQ541" s="52"/>
      <c r="BR541" s="52"/>
      <c r="BS541" s="52"/>
      <c r="BT541" s="52"/>
      <c r="BU541" s="52"/>
      <c r="BV541" s="52"/>
      <c r="BW541" s="52"/>
      <c r="BX541" s="52"/>
      <c r="BY541" s="52"/>
      <c r="BZ541" s="52"/>
      <c r="CA541" s="52"/>
      <c r="CB541" s="52"/>
      <c r="CC541" s="52">
        <v>76047677</v>
      </c>
      <c r="CD541" s="52"/>
      <c r="CE541" s="52">
        <v>110903490</v>
      </c>
      <c r="CF541" s="52"/>
      <c r="CG541" s="52">
        <f t="shared" si="86"/>
        <v>1509980874</v>
      </c>
      <c r="CH541" s="52"/>
      <c r="CI541" s="52"/>
      <c r="CJ541" s="52"/>
      <c r="CK541" s="52"/>
      <c r="CL541" s="52"/>
      <c r="CM541" s="52"/>
      <c r="CN541" s="52"/>
      <c r="CO541" s="52"/>
      <c r="CP541" s="52"/>
      <c r="CQ541" s="52">
        <v>76047677</v>
      </c>
      <c r="CR541" s="52"/>
      <c r="CS541" s="52">
        <f t="shared" si="83"/>
        <v>1586028551</v>
      </c>
      <c r="CT541" s="53">
        <v>608381416</v>
      </c>
      <c r="CU541" s="53">
        <f t="shared" si="84"/>
        <v>977647135</v>
      </c>
      <c r="CV541" s="54">
        <f t="shared" si="87"/>
        <v>1586028551</v>
      </c>
      <c r="CW541" s="55">
        <f t="shared" si="88"/>
        <v>0</v>
      </c>
      <c r="CX541" s="16"/>
      <c r="CY541" s="16"/>
      <c r="CZ541" s="16"/>
    </row>
    <row r="542" spans="1:108" ht="15" customHeight="1" x14ac:dyDescent="0.2">
      <c r="A542" s="1">
        <v>8001000610</v>
      </c>
      <c r="B542" s="1">
        <v>800100061</v>
      </c>
      <c r="C542" s="9">
        <v>211173411</v>
      </c>
      <c r="D542" s="10" t="s">
        <v>2224</v>
      </c>
      <c r="E542" s="42" t="s">
        <v>1950</v>
      </c>
      <c r="F542" s="21"/>
      <c r="G542" s="50"/>
      <c r="H542" s="21"/>
      <c r="I542" s="50"/>
      <c r="J542" s="21"/>
      <c r="K542" s="21"/>
      <c r="L542" s="50"/>
      <c r="M542" s="51"/>
      <c r="N542" s="21"/>
      <c r="O542" s="50"/>
      <c r="P542" s="21"/>
      <c r="Q542" s="50"/>
      <c r="R542" s="21"/>
      <c r="S542" s="21"/>
      <c r="T542" s="50"/>
      <c r="U542" s="51">
        <f t="shared" si="82"/>
        <v>0</v>
      </c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>
        <v>577956022</v>
      </c>
      <c r="AN542" s="51">
        <f t="shared" si="89"/>
        <v>577956022</v>
      </c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>
        <v>274079460</v>
      </c>
      <c r="AZ542" s="51"/>
      <c r="BA542" s="51"/>
      <c r="BB542" s="51"/>
      <c r="BC542" s="52">
        <f t="shared" si="85"/>
        <v>852035482</v>
      </c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>
        <v>54815892</v>
      </c>
      <c r="BO542" s="51"/>
      <c r="BP542" s="52">
        <v>906851374</v>
      </c>
      <c r="BQ542" s="52"/>
      <c r="BR542" s="52"/>
      <c r="BS542" s="52"/>
      <c r="BT542" s="52"/>
      <c r="BU542" s="52"/>
      <c r="BV542" s="52"/>
      <c r="BW542" s="52"/>
      <c r="BX542" s="52"/>
      <c r="BY542" s="52"/>
      <c r="BZ542" s="52"/>
      <c r="CA542" s="52"/>
      <c r="CB542" s="52"/>
      <c r="CC542" s="52">
        <v>54815892</v>
      </c>
      <c r="CD542" s="52"/>
      <c r="CE542" s="52"/>
      <c r="CF542" s="52"/>
      <c r="CG542" s="52">
        <f t="shared" si="86"/>
        <v>961667266</v>
      </c>
      <c r="CH542" s="52"/>
      <c r="CI542" s="52"/>
      <c r="CJ542" s="52"/>
      <c r="CK542" s="52"/>
      <c r="CL542" s="52"/>
      <c r="CM542" s="52"/>
      <c r="CN542" s="52"/>
      <c r="CO542" s="52"/>
      <c r="CP542" s="52"/>
      <c r="CQ542" s="52">
        <v>54815892</v>
      </c>
      <c r="CR542" s="52"/>
      <c r="CS542" s="52">
        <f t="shared" si="83"/>
        <v>1016483158</v>
      </c>
      <c r="CT542" s="53">
        <v>438527136</v>
      </c>
      <c r="CU542" s="53">
        <f t="shared" si="84"/>
        <v>577956022</v>
      </c>
      <c r="CV542" s="54">
        <f t="shared" si="87"/>
        <v>1016483158</v>
      </c>
      <c r="CW542" s="55">
        <f t="shared" si="88"/>
        <v>0</v>
      </c>
      <c r="CX542" s="16"/>
      <c r="CY542" s="16"/>
      <c r="CZ542" s="16"/>
    </row>
    <row r="543" spans="1:108" ht="15" customHeight="1" x14ac:dyDescent="0.2">
      <c r="A543" s="1">
        <v>8909836726</v>
      </c>
      <c r="B543" s="1">
        <v>890983672</v>
      </c>
      <c r="C543" s="9">
        <v>211105411</v>
      </c>
      <c r="D543" s="10" t="s">
        <v>105</v>
      </c>
      <c r="E543" s="42" t="s">
        <v>1136</v>
      </c>
      <c r="F543" s="21"/>
      <c r="G543" s="50"/>
      <c r="H543" s="21"/>
      <c r="I543" s="50"/>
      <c r="J543" s="21"/>
      <c r="K543" s="21"/>
      <c r="L543" s="50"/>
      <c r="M543" s="51"/>
      <c r="N543" s="21"/>
      <c r="O543" s="50"/>
      <c r="P543" s="21"/>
      <c r="Q543" s="50"/>
      <c r="R543" s="21"/>
      <c r="S543" s="21"/>
      <c r="T543" s="50"/>
      <c r="U543" s="51">
        <f t="shared" si="82"/>
        <v>0</v>
      </c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>
        <f>VLOOKUP(B543,[1]Hoja3!J$3:K$674,2,0)</f>
        <v>160909022</v>
      </c>
      <c r="BB543" s="51"/>
      <c r="BC543" s="52">
        <f t="shared" si="85"/>
        <v>160909022</v>
      </c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>
        <v>13290945</v>
      </c>
      <c r="BO543" s="51"/>
      <c r="BP543" s="52">
        <v>174199967</v>
      </c>
      <c r="BQ543" s="52"/>
      <c r="BR543" s="52"/>
      <c r="BS543" s="52"/>
      <c r="BT543" s="52"/>
      <c r="BU543" s="52"/>
      <c r="BV543" s="52"/>
      <c r="BW543" s="52"/>
      <c r="BX543" s="52"/>
      <c r="BY543" s="52"/>
      <c r="BZ543" s="52"/>
      <c r="CA543" s="52"/>
      <c r="CB543" s="52"/>
      <c r="CC543" s="52">
        <v>13290945</v>
      </c>
      <c r="CD543" s="52">
        <v>66454725</v>
      </c>
      <c r="CE543" s="52"/>
      <c r="CF543" s="52"/>
      <c r="CG543" s="52">
        <f t="shared" si="86"/>
        <v>253945637</v>
      </c>
      <c r="CH543" s="52"/>
      <c r="CI543" s="52"/>
      <c r="CJ543" s="52"/>
      <c r="CK543" s="52"/>
      <c r="CL543" s="52"/>
      <c r="CM543" s="52"/>
      <c r="CN543" s="52"/>
      <c r="CO543" s="52"/>
      <c r="CP543" s="52"/>
      <c r="CQ543" s="52">
        <v>13290945</v>
      </c>
      <c r="CR543" s="52"/>
      <c r="CS543" s="52">
        <f t="shared" si="83"/>
        <v>267236582</v>
      </c>
      <c r="CT543" s="53">
        <v>106327560</v>
      </c>
      <c r="CU543" s="53">
        <f t="shared" si="84"/>
        <v>160909022</v>
      </c>
      <c r="CV543" s="54">
        <f t="shared" si="87"/>
        <v>267236582</v>
      </c>
      <c r="CW543" s="55">
        <f t="shared" si="88"/>
        <v>0</v>
      </c>
      <c r="CX543" s="16"/>
      <c r="CY543" s="16"/>
      <c r="CZ543" s="16"/>
    </row>
    <row r="544" spans="1:108" ht="15" customHeight="1" x14ac:dyDescent="0.2">
      <c r="A544" s="1">
        <v>8000991052</v>
      </c>
      <c r="B544" s="1">
        <v>800099105</v>
      </c>
      <c r="C544" s="9">
        <v>211152411</v>
      </c>
      <c r="D544" s="10" t="s">
        <v>723</v>
      </c>
      <c r="E544" s="42" t="s">
        <v>1745</v>
      </c>
      <c r="F544" s="21"/>
      <c r="G544" s="50"/>
      <c r="H544" s="21"/>
      <c r="I544" s="50"/>
      <c r="J544" s="21"/>
      <c r="K544" s="21"/>
      <c r="L544" s="50"/>
      <c r="M544" s="51"/>
      <c r="N544" s="21"/>
      <c r="O544" s="50"/>
      <c r="P544" s="21"/>
      <c r="Q544" s="50"/>
      <c r="R544" s="21"/>
      <c r="S544" s="21"/>
      <c r="T544" s="50"/>
      <c r="U544" s="51">
        <f t="shared" si="82"/>
        <v>0</v>
      </c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>
        <v>83783645</v>
      </c>
      <c r="AZ544" s="51"/>
      <c r="BA544" s="51">
        <f>VLOOKUP(B544,[1]Hoja3!J$3:K$674,2,0)</f>
        <v>125289250</v>
      </c>
      <c r="BB544" s="51"/>
      <c r="BC544" s="52">
        <f t="shared" si="85"/>
        <v>209072895</v>
      </c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>
        <v>16756729</v>
      </c>
      <c r="BO544" s="51"/>
      <c r="BP544" s="52">
        <v>225829624</v>
      </c>
      <c r="BQ544" s="52"/>
      <c r="BR544" s="52"/>
      <c r="BS544" s="52"/>
      <c r="BT544" s="52"/>
      <c r="BU544" s="52"/>
      <c r="BV544" s="52"/>
      <c r="BW544" s="52"/>
      <c r="BX544" s="52"/>
      <c r="BY544" s="52"/>
      <c r="BZ544" s="52"/>
      <c r="CA544" s="52"/>
      <c r="CB544" s="52"/>
      <c r="CC544" s="52">
        <v>16756729</v>
      </c>
      <c r="CD544" s="52"/>
      <c r="CE544" s="52"/>
      <c r="CF544" s="52"/>
      <c r="CG544" s="52">
        <f t="shared" si="86"/>
        <v>242586353</v>
      </c>
      <c r="CH544" s="52"/>
      <c r="CI544" s="52"/>
      <c r="CJ544" s="52"/>
      <c r="CK544" s="52"/>
      <c r="CL544" s="52"/>
      <c r="CM544" s="52"/>
      <c r="CN544" s="52"/>
      <c r="CO544" s="52"/>
      <c r="CP544" s="52"/>
      <c r="CQ544" s="52">
        <v>16756729</v>
      </c>
      <c r="CR544" s="52"/>
      <c r="CS544" s="52">
        <f t="shared" si="83"/>
        <v>259343082</v>
      </c>
      <c r="CT544" s="53">
        <v>134053832</v>
      </c>
      <c r="CU544" s="53">
        <f t="shared" si="84"/>
        <v>125289250</v>
      </c>
      <c r="CV544" s="54">
        <f t="shared" si="87"/>
        <v>259343082</v>
      </c>
      <c r="CW544" s="55">
        <f t="shared" si="88"/>
        <v>0</v>
      </c>
      <c r="CX544" s="16"/>
      <c r="CY544" s="16"/>
      <c r="CZ544" s="16"/>
    </row>
    <row r="545" spans="1:108" ht="15" customHeight="1" x14ac:dyDescent="0.2">
      <c r="A545" s="1">
        <v>8180000022</v>
      </c>
      <c r="B545" s="1">
        <v>818000002</v>
      </c>
      <c r="C545" s="9">
        <v>215027250</v>
      </c>
      <c r="D545" s="10" t="s">
        <v>2117</v>
      </c>
      <c r="E545" s="42" t="s">
        <v>1599</v>
      </c>
      <c r="F545" s="21"/>
      <c r="G545" s="50"/>
      <c r="H545" s="21"/>
      <c r="I545" s="50"/>
      <c r="J545" s="21"/>
      <c r="K545" s="21"/>
      <c r="L545" s="50"/>
      <c r="M545" s="51"/>
      <c r="N545" s="21"/>
      <c r="O545" s="50"/>
      <c r="P545" s="21"/>
      <c r="Q545" s="50"/>
      <c r="R545" s="21"/>
      <c r="S545" s="21"/>
      <c r="T545" s="50"/>
      <c r="U545" s="51">
        <f t="shared" si="82"/>
        <v>0</v>
      </c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>
        <v>100979915</v>
      </c>
      <c r="AN545" s="51">
        <f>SUBTOTAL(9,AC545:AM545)</f>
        <v>100979915</v>
      </c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>
        <v>202134360</v>
      </c>
      <c r="AZ545" s="51"/>
      <c r="BA545" s="51"/>
      <c r="BB545" s="51"/>
      <c r="BC545" s="52">
        <f t="shared" si="85"/>
        <v>303114275</v>
      </c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>
        <v>40426872</v>
      </c>
      <c r="BO545" s="51"/>
      <c r="BP545" s="52">
        <v>343541147</v>
      </c>
      <c r="BQ545" s="52"/>
      <c r="BR545" s="52"/>
      <c r="BS545" s="52"/>
      <c r="BT545" s="52"/>
      <c r="BU545" s="52"/>
      <c r="BV545" s="52"/>
      <c r="BW545" s="52"/>
      <c r="BX545" s="52"/>
      <c r="BY545" s="52"/>
      <c r="BZ545" s="52"/>
      <c r="CA545" s="52"/>
      <c r="CB545" s="52"/>
      <c r="CC545" s="52">
        <v>40426872</v>
      </c>
      <c r="CD545" s="52"/>
      <c r="CE545" s="52"/>
      <c r="CF545" s="52"/>
      <c r="CG545" s="52">
        <f t="shared" si="86"/>
        <v>383968019</v>
      </c>
      <c r="CH545" s="52"/>
      <c r="CI545" s="52"/>
      <c r="CJ545" s="52"/>
      <c r="CK545" s="52"/>
      <c r="CL545" s="52"/>
      <c r="CM545" s="52"/>
      <c r="CN545" s="52"/>
      <c r="CO545" s="52"/>
      <c r="CP545" s="52"/>
      <c r="CQ545" s="52">
        <v>40426872</v>
      </c>
      <c r="CR545" s="52"/>
      <c r="CS545" s="52">
        <f t="shared" si="83"/>
        <v>424394891</v>
      </c>
      <c r="CT545" s="53">
        <v>323414976</v>
      </c>
      <c r="CU545" s="53">
        <f t="shared" si="84"/>
        <v>100979915</v>
      </c>
      <c r="CV545" s="54">
        <f t="shared" si="87"/>
        <v>424394891</v>
      </c>
      <c r="CW545" s="55">
        <f t="shared" si="88"/>
        <v>0</v>
      </c>
      <c r="CX545" s="16"/>
      <c r="CY545" s="16"/>
      <c r="CZ545" s="16"/>
    </row>
    <row r="546" spans="1:108" ht="15" customHeight="1" x14ac:dyDescent="0.2">
      <c r="A546" s="1">
        <v>8916802812</v>
      </c>
      <c r="B546" s="1">
        <v>891680281</v>
      </c>
      <c r="C546" s="9">
        <v>211327413</v>
      </c>
      <c r="D546" s="10" t="s">
        <v>581</v>
      </c>
      <c r="E546" s="42" t="s">
        <v>1602</v>
      </c>
      <c r="F546" s="21"/>
      <c r="G546" s="50"/>
      <c r="H546" s="21"/>
      <c r="I546" s="50"/>
      <c r="J546" s="21"/>
      <c r="K546" s="21"/>
      <c r="L546" s="50"/>
      <c r="M546" s="51"/>
      <c r="N546" s="21"/>
      <c r="O546" s="50"/>
      <c r="P546" s="21"/>
      <c r="Q546" s="50"/>
      <c r="R546" s="21"/>
      <c r="S546" s="21"/>
      <c r="T546" s="50"/>
      <c r="U546" s="51">
        <f t="shared" si="82"/>
        <v>0</v>
      </c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>
        <v>121690083</v>
      </c>
      <c r="AN546" s="51">
        <f>SUBTOTAL(9,AC546:AM546)</f>
        <v>121690083</v>
      </c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>
        <v>168119975</v>
      </c>
      <c r="AZ546" s="51"/>
      <c r="BA546" s="51"/>
      <c r="BB546" s="51"/>
      <c r="BC546" s="52">
        <f t="shared" si="85"/>
        <v>289810058</v>
      </c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>
        <v>33623995</v>
      </c>
      <c r="BO546" s="51"/>
      <c r="BP546" s="52">
        <v>323434053</v>
      </c>
      <c r="BQ546" s="52"/>
      <c r="BR546" s="52"/>
      <c r="BS546" s="52"/>
      <c r="BT546" s="52"/>
      <c r="BU546" s="52"/>
      <c r="BV546" s="52"/>
      <c r="BW546" s="52"/>
      <c r="BX546" s="52"/>
      <c r="BY546" s="52"/>
      <c r="BZ546" s="52"/>
      <c r="CA546" s="52"/>
      <c r="CB546" s="52"/>
      <c r="CC546" s="52">
        <v>33623995</v>
      </c>
      <c r="CD546" s="52"/>
      <c r="CE546" s="52"/>
      <c r="CF546" s="52"/>
      <c r="CG546" s="52">
        <f t="shared" si="86"/>
        <v>357058048</v>
      </c>
      <c r="CH546" s="52"/>
      <c r="CI546" s="52"/>
      <c r="CJ546" s="52"/>
      <c r="CK546" s="52"/>
      <c r="CL546" s="52"/>
      <c r="CM546" s="52"/>
      <c r="CN546" s="52"/>
      <c r="CO546" s="52"/>
      <c r="CP546" s="52"/>
      <c r="CQ546" s="52">
        <v>33623995</v>
      </c>
      <c r="CR546" s="52"/>
      <c r="CS546" s="52">
        <f t="shared" si="83"/>
        <v>390682043</v>
      </c>
      <c r="CT546" s="53">
        <v>268991960</v>
      </c>
      <c r="CU546" s="53">
        <f t="shared" si="84"/>
        <v>121690083</v>
      </c>
      <c r="CV546" s="54">
        <f t="shared" si="87"/>
        <v>390682043</v>
      </c>
      <c r="CW546" s="55">
        <f t="shared" si="88"/>
        <v>0</v>
      </c>
      <c r="CX546" s="16"/>
      <c r="CY546" s="16"/>
      <c r="CZ546" s="16"/>
    </row>
    <row r="547" spans="1:108" ht="15" customHeight="1" x14ac:dyDescent="0.2">
      <c r="A547" s="1">
        <v>8000511689</v>
      </c>
      <c r="B547" s="1">
        <v>800051168</v>
      </c>
      <c r="C547" s="9">
        <v>211819418</v>
      </c>
      <c r="D547" s="10" t="s">
        <v>390</v>
      </c>
      <c r="E547" s="42" t="s">
        <v>1419</v>
      </c>
      <c r="F547" s="21"/>
      <c r="G547" s="50"/>
      <c r="H547" s="21"/>
      <c r="I547" s="50"/>
      <c r="J547" s="21"/>
      <c r="K547" s="21"/>
      <c r="L547" s="50"/>
      <c r="M547" s="51"/>
      <c r="N547" s="21"/>
      <c r="O547" s="50"/>
      <c r="P547" s="21"/>
      <c r="Q547" s="50"/>
      <c r="R547" s="21"/>
      <c r="S547" s="21"/>
      <c r="T547" s="50"/>
      <c r="U547" s="51">
        <f t="shared" si="82"/>
        <v>0</v>
      </c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>
        <v>246438845</v>
      </c>
      <c r="AZ547" s="51"/>
      <c r="BA547" s="51">
        <f>VLOOKUP(B547,[1]Hoja3!J$3:K$674,2,0)</f>
        <v>189066276</v>
      </c>
      <c r="BB547" s="51"/>
      <c r="BC547" s="52">
        <f t="shared" si="85"/>
        <v>435505121</v>
      </c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>
        <v>49287769</v>
      </c>
      <c r="BO547" s="51"/>
      <c r="BP547" s="52">
        <v>484792890</v>
      </c>
      <c r="BQ547" s="52"/>
      <c r="BR547" s="52"/>
      <c r="BS547" s="52"/>
      <c r="BT547" s="52"/>
      <c r="BU547" s="52"/>
      <c r="BV547" s="52"/>
      <c r="BW547" s="52"/>
      <c r="BX547" s="52"/>
      <c r="BY547" s="52"/>
      <c r="BZ547" s="52"/>
      <c r="CA547" s="52"/>
      <c r="CB547" s="52"/>
      <c r="CC547" s="52">
        <v>49287769</v>
      </c>
      <c r="CD547" s="52"/>
      <c r="CE547" s="52"/>
      <c r="CF547" s="52"/>
      <c r="CG547" s="52">
        <f t="shared" si="86"/>
        <v>534080659</v>
      </c>
      <c r="CH547" s="52"/>
      <c r="CI547" s="52"/>
      <c r="CJ547" s="52"/>
      <c r="CK547" s="52"/>
      <c r="CL547" s="52"/>
      <c r="CM547" s="52"/>
      <c r="CN547" s="52"/>
      <c r="CO547" s="52"/>
      <c r="CP547" s="52"/>
      <c r="CQ547" s="52">
        <v>49287769</v>
      </c>
      <c r="CR547" s="52"/>
      <c r="CS547" s="52">
        <f t="shared" si="83"/>
        <v>583368428</v>
      </c>
      <c r="CT547" s="53">
        <v>394302152</v>
      </c>
      <c r="CU547" s="53">
        <f t="shared" si="84"/>
        <v>189066276</v>
      </c>
      <c r="CV547" s="54">
        <f t="shared" si="87"/>
        <v>583368428</v>
      </c>
      <c r="CW547" s="55">
        <f t="shared" si="88"/>
        <v>0</v>
      </c>
      <c r="CX547" s="16"/>
      <c r="CY547" s="16"/>
      <c r="CZ547" s="16"/>
    </row>
    <row r="548" spans="1:108" ht="15" customHeight="1" x14ac:dyDescent="0.2">
      <c r="A548" s="1">
        <v>8000967588</v>
      </c>
      <c r="B548" s="1">
        <v>800096758</v>
      </c>
      <c r="C548" s="9">
        <v>211723417</v>
      </c>
      <c r="D548" s="10" t="s">
        <v>2170</v>
      </c>
      <c r="E548" s="43" t="s">
        <v>1017</v>
      </c>
      <c r="F548" s="21"/>
      <c r="G548" s="50"/>
      <c r="H548" s="21"/>
      <c r="I548" s="50">
        <f>4571586418+58582647</f>
        <v>4630169065</v>
      </c>
      <c r="J548" s="21">
        <v>317568720</v>
      </c>
      <c r="K548" s="21">
        <v>656686333</v>
      </c>
      <c r="L548" s="50"/>
      <c r="M548" s="52">
        <f>SUM(F548:L548)</f>
        <v>5604424118</v>
      </c>
      <c r="N548" s="21"/>
      <c r="O548" s="50"/>
      <c r="P548" s="21"/>
      <c r="Q548" s="50">
        <f>4696407836+541689000+26628476</f>
        <v>5264725312</v>
      </c>
      <c r="R548" s="21">
        <v>317966005</v>
      </c>
      <c r="S548" s="21">
        <f>339117613+317966005</f>
        <v>657083618</v>
      </c>
      <c r="T548" s="50"/>
      <c r="U548" s="51">
        <f t="shared" si="82"/>
        <v>11844199053</v>
      </c>
      <c r="V548" s="51"/>
      <c r="W548" s="51"/>
      <c r="X548" s="51"/>
      <c r="Y548" s="51">
        <v>6285110322</v>
      </c>
      <c r="Z548" s="51">
        <v>300232308</v>
      </c>
      <c r="AA548" s="51">
        <v>701925927</v>
      </c>
      <c r="AB548" s="51"/>
      <c r="AC548" s="51">
        <f t="shared" ref="AC548:AC573" si="90">SUM(U548:AB548)</f>
        <v>19131467610</v>
      </c>
      <c r="AD548" s="51"/>
      <c r="AE548" s="51"/>
      <c r="AF548" s="51"/>
      <c r="AG548" s="51"/>
      <c r="AH548" s="51">
        <v>4873488625</v>
      </c>
      <c r="AI548" s="51">
        <v>393863890</v>
      </c>
      <c r="AJ548" s="51">
        <v>321806378</v>
      </c>
      <c r="AK548" s="51">
        <v>811063423</v>
      </c>
      <c r="AL548" s="51"/>
      <c r="AM548" s="51">
        <v>1962372115</v>
      </c>
      <c r="AN548" s="51">
        <f>SUBTOTAL(9,AC548:AM548)</f>
        <v>27494062041</v>
      </c>
      <c r="AO548" s="51"/>
      <c r="AP548" s="51"/>
      <c r="AQ548" s="51">
        <v>1191248480</v>
      </c>
      <c r="AR548" s="51"/>
      <c r="AS548" s="51"/>
      <c r="AT548" s="51">
        <v>4873488625</v>
      </c>
      <c r="AU548" s="51"/>
      <c r="AV548" s="51">
        <v>321806378</v>
      </c>
      <c r="AW548" s="51">
        <v>549307927</v>
      </c>
      <c r="AX548" s="51"/>
      <c r="AY548" s="51"/>
      <c r="AZ548" s="51"/>
      <c r="BA548" s="51"/>
      <c r="BB548" s="51"/>
      <c r="BC548" s="52">
        <f t="shared" si="85"/>
        <v>34429913451</v>
      </c>
      <c r="BD548" s="51"/>
      <c r="BE548" s="51"/>
      <c r="BF548" s="51">
        <v>238249696</v>
      </c>
      <c r="BG548" s="51"/>
      <c r="BH548" s="51"/>
      <c r="BI548" s="51">
        <v>5071463188</v>
      </c>
      <c r="BJ548" s="51">
        <v>305167956</v>
      </c>
      <c r="BK548" s="51">
        <v>317999339</v>
      </c>
      <c r="BL548" s="51">
        <v>637734479</v>
      </c>
      <c r="BM548" s="51"/>
      <c r="BN548" s="51"/>
      <c r="BO548" s="51"/>
      <c r="BP548" s="52">
        <v>41000528109</v>
      </c>
      <c r="BQ548" s="52"/>
      <c r="BR548" s="52"/>
      <c r="BS548" s="52">
        <v>238249696</v>
      </c>
      <c r="BT548" s="52"/>
      <c r="BU548" s="52"/>
      <c r="BV548" s="52"/>
      <c r="BW548" s="52">
        <v>5152759212</v>
      </c>
      <c r="BX548" s="52"/>
      <c r="BY548" s="52">
        <v>2270125000</v>
      </c>
      <c r="BZ548" s="52">
        <v>323611147</v>
      </c>
      <c r="CA548" s="52">
        <v>876140409</v>
      </c>
      <c r="CB548" s="52"/>
      <c r="CC548" s="52"/>
      <c r="CD548" s="52"/>
      <c r="CE548" s="52"/>
      <c r="CF548" s="52"/>
      <c r="CG548" s="52">
        <f t="shared" si="86"/>
        <v>49861413573</v>
      </c>
      <c r="CH548" s="52"/>
      <c r="CI548" s="52"/>
      <c r="CJ548" s="52">
        <v>238249696</v>
      </c>
      <c r="CK548" s="52"/>
      <c r="CL548" s="52">
        <v>4939535605</v>
      </c>
      <c r="CM548" s="52">
        <v>0</v>
      </c>
      <c r="CN548" s="52">
        <v>318494629</v>
      </c>
      <c r="CO548" s="52">
        <v>594741128</v>
      </c>
      <c r="CP548" s="52"/>
      <c r="CQ548" s="52"/>
      <c r="CR548" s="52"/>
      <c r="CS548" s="52">
        <f t="shared" si="83"/>
        <v>55952434631</v>
      </c>
      <c r="CT548" s="53">
        <v>53990062516</v>
      </c>
      <c r="CU548" s="53">
        <f t="shared" si="84"/>
        <v>1962372115</v>
      </c>
      <c r="CV548" s="54">
        <f t="shared" si="87"/>
        <v>55952434631</v>
      </c>
      <c r="CW548" s="55">
        <f t="shared" si="88"/>
        <v>0</v>
      </c>
      <c r="CX548" s="16"/>
      <c r="CY548" s="16"/>
      <c r="CZ548" s="16"/>
    </row>
    <row r="549" spans="1:108" ht="15" customHeight="1" x14ac:dyDescent="0.2">
      <c r="A549" s="1">
        <v>8000191122</v>
      </c>
      <c r="B549" s="1">
        <v>800019112</v>
      </c>
      <c r="C549" s="9">
        <v>211852418</v>
      </c>
      <c r="D549" s="10" t="s">
        <v>724</v>
      </c>
      <c r="E549" s="42" t="s">
        <v>1746</v>
      </c>
      <c r="F549" s="21"/>
      <c r="G549" s="50"/>
      <c r="H549" s="21"/>
      <c r="I549" s="50"/>
      <c r="J549" s="21"/>
      <c r="K549" s="21"/>
      <c r="L549" s="50"/>
      <c r="M549" s="51"/>
      <c r="N549" s="21"/>
      <c r="O549" s="50"/>
      <c r="P549" s="21"/>
      <c r="Q549" s="50"/>
      <c r="R549" s="21"/>
      <c r="S549" s="21"/>
      <c r="T549" s="50"/>
      <c r="U549" s="51">
        <f t="shared" si="82"/>
        <v>0</v>
      </c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>
        <v>13461006</v>
      </c>
      <c r="AN549" s="51">
        <f>SUBTOTAL(9,AC549:AM549)</f>
        <v>13461006</v>
      </c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>
        <v>100749990</v>
      </c>
      <c r="AZ549" s="51"/>
      <c r="BA549" s="51">
        <f>VLOOKUP(B549,[1]Hoja3!J$3:K$674,2,0)</f>
        <v>138661719</v>
      </c>
      <c r="BB549" s="51"/>
      <c r="BC549" s="52">
        <f t="shared" si="85"/>
        <v>252872715</v>
      </c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>
        <v>20149998</v>
      </c>
      <c r="BO549" s="51"/>
      <c r="BP549" s="52">
        <v>273022713</v>
      </c>
      <c r="BQ549" s="52"/>
      <c r="BR549" s="52"/>
      <c r="BS549" s="52"/>
      <c r="BT549" s="52"/>
      <c r="BU549" s="52"/>
      <c r="BV549" s="52"/>
      <c r="BW549" s="52"/>
      <c r="BX549" s="52"/>
      <c r="BY549" s="52"/>
      <c r="BZ549" s="52"/>
      <c r="CA549" s="52"/>
      <c r="CB549" s="52"/>
      <c r="CC549" s="52">
        <v>20149998</v>
      </c>
      <c r="CD549" s="52"/>
      <c r="CE549" s="52"/>
      <c r="CF549" s="52"/>
      <c r="CG549" s="52">
        <f t="shared" si="86"/>
        <v>293172711</v>
      </c>
      <c r="CH549" s="52"/>
      <c r="CI549" s="52"/>
      <c r="CJ549" s="52"/>
      <c r="CK549" s="52"/>
      <c r="CL549" s="52"/>
      <c r="CM549" s="52"/>
      <c r="CN549" s="52"/>
      <c r="CO549" s="52"/>
      <c r="CP549" s="52"/>
      <c r="CQ549" s="52">
        <v>20149998</v>
      </c>
      <c r="CR549" s="52"/>
      <c r="CS549" s="52">
        <f t="shared" si="83"/>
        <v>313322709</v>
      </c>
      <c r="CT549" s="53">
        <v>161199984</v>
      </c>
      <c r="CU549" s="53">
        <f t="shared" si="84"/>
        <v>152122725</v>
      </c>
      <c r="CV549" s="54">
        <f t="shared" si="87"/>
        <v>313322709</v>
      </c>
      <c r="CW549" s="55">
        <f t="shared" si="88"/>
        <v>0</v>
      </c>
      <c r="CX549" s="16"/>
      <c r="CY549" s="16"/>
      <c r="CZ549" s="16"/>
    </row>
    <row r="550" spans="1:108" ht="15" customHeight="1" x14ac:dyDescent="0.2">
      <c r="A550" s="1">
        <v>8000967610</v>
      </c>
      <c r="B550" s="1">
        <v>800096761</v>
      </c>
      <c r="C550" s="9">
        <v>211923419</v>
      </c>
      <c r="D550" s="10" t="s">
        <v>446</v>
      </c>
      <c r="E550" s="42" t="s">
        <v>1473</v>
      </c>
      <c r="F550" s="21"/>
      <c r="G550" s="50"/>
      <c r="H550" s="21"/>
      <c r="I550" s="50"/>
      <c r="J550" s="21"/>
      <c r="K550" s="21"/>
      <c r="L550" s="50"/>
      <c r="M550" s="51"/>
      <c r="N550" s="21"/>
      <c r="O550" s="50"/>
      <c r="P550" s="21"/>
      <c r="Q550" s="50"/>
      <c r="R550" s="21"/>
      <c r="S550" s="21"/>
      <c r="T550" s="50"/>
      <c r="U550" s="51">
        <f t="shared" si="82"/>
        <v>0</v>
      </c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>
        <v>177118421</v>
      </c>
      <c r="AN550" s="51">
        <f>SUBTOTAL(9,AC550:AM550)</f>
        <v>177118421</v>
      </c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>
        <v>255666695</v>
      </c>
      <c r="AZ550" s="51"/>
      <c r="BA550" s="51"/>
      <c r="BB550" s="51"/>
      <c r="BC550" s="52">
        <f t="shared" si="85"/>
        <v>432785116</v>
      </c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>
        <v>51133339</v>
      </c>
      <c r="BO550" s="51"/>
      <c r="BP550" s="52">
        <v>483918455</v>
      </c>
      <c r="BQ550" s="52"/>
      <c r="BR550" s="52"/>
      <c r="BS550" s="52"/>
      <c r="BT550" s="52"/>
      <c r="BU550" s="52"/>
      <c r="BV550" s="52"/>
      <c r="BW550" s="52"/>
      <c r="BX550" s="52"/>
      <c r="BY550" s="52"/>
      <c r="BZ550" s="52"/>
      <c r="CA550" s="52"/>
      <c r="CB550" s="52"/>
      <c r="CC550" s="52">
        <v>51133339</v>
      </c>
      <c r="CD550" s="52"/>
      <c r="CE550" s="52"/>
      <c r="CF550" s="52"/>
      <c r="CG550" s="52">
        <f t="shared" si="86"/>
        <v>535051794</v>
      </c>
      <c r="CH550" s="52"/>
      <c r="CI550" s="52"/>
      <c r="CJ550" s="52"/>
      <c r="CK550" s="52"/>
      <c r="CL550" s="52"/>
      <c r="CM550" s="52"/>
      <c r="CN550" s="52"/>
      <c r="CO550" s="52"/>
      <c r="CP550" s="52"/>
      <c r="CQ550" s="52">
        <v>51133339</v>
      </c>
      <c r="CR550" s="52"/>
      <c r="CS550" s="52">
        <f t="shared" si="83"/>
        <v>586185133</v>
      </c>
      <c r="CT550" s="53">
        <v>409066712</v>
      </c>
      <c r="CU550" s="53">
        <f t="shared" si="84"/>
        <v>177118421</v>
      </c>
      <c r="CV550" s="54">
        <f t="shared" si="87"/>
        <v>586185133</v>
      </c>
      <c r="CW550" s="55">
        <f t="shared" si="88"/>
        <v>0</v>
      </c>
      <c r="CX550" s="16"/>
      <c r="CY550" s="16"/>
      <c r="CZ550" s="16"/>
    </row>
    <row r="551" spans="1:108" ht="15" customHeight="1" x14ac:dyDescent="0.2">
      <c r="A551" s="1">
        <v>8922012876</v>
      </c>
      <c r="B551" s="1">
        <v>892201287</v>
      </c>
      <c r="C551" s="9">
        <v>211870418</v>
      </c>
      <c r="D551" s="10" t="s">
        <v>900</v>
      </c>
      <c r="E551" s="42" t="s">
        <v>1913</v>
      </c>
      <c r="F551" s="21"/>
      <c r="G551" s="50"/>
      <c r="H551" s="21"/>
      <c r="I551" s="50"/>
      <c r="J551" s="21"/>
      <c r="K551" s="21"/>
      <c r="L551" s="50"/>
      <c r="M551" s="51"/>
      <c r="N551" s="21"/>
      <c r="O551" s="50"/>
      <c r="P551" s="21"/>
      <c r="Q551" s="50"/>
      <c r="R551" s="21"/>
      <c r="S551" s="21"/>
      <c r="T551" s="50"/>
      <c r="U551" s="51">
        <f t="shared" si="82"/>
        <v>0</v>
      </c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>
        <v>207450380</v>
      </c>
      <c r="AZ551" s="51"/>
      <c r="BA551" s="51">
        <f>VLOOKUP(B551,[1]Hoja3!J$3:K$674,2,0)</f>
        <v>384548303</v>
      </c>
      <c r="BB551" s="51"/>
      <c r="BC551" s="52">
        <f t="shared" si="85"/>
        <v>591998683</v>
      </c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>
        <v>41490076</v>
      </c>
      <c r="BO551" s="51"/>
      <c r="BP551" s="52">
        <v>633488759</v>
      </c>
      <c r="BQ551" s="52"/>
      <c r="BR551" s="52"/>
      <c r="BS551" s="52"/>
      <c r="BT551" s="52"/>
      <c r="BU551" s="52"/>
      <c r="BV551" s="52"/>
      <c r="BW551" s="52"/>
      <c r="BX551" s="52"/>
      <c r="BY551" s="52"/>
      <c r="BZ551" s="52"/>
      <c r="CA551" s="52"/>
      <c r="CB551" s="52"/>
      <c r="CC551" s="52">
        <v>41490076</v>
      </c>
      <c r="CD551" s="52"/>
      <c r="CE551" s="52"/>
      <c r="CF551" s="52"/>
      <c r="CG551" s="52">
        <f t="shared" si="86"/>
        <v>674978835</v>
      </c>
      <c r="CH551" s="52"/>
      <c r="CI551" s="52"/>
      <c r="CJ551" s="52"/>
      <c r="CK551" s="52"/>
      <c r="CL551" s="52"/>
      <c r="CM551" s="52"/>
      <c r="CN551" s="52"/>
      <c r="CO551" s="52"/>
      <c r="CP551" s="52"/>
      <c r="CQ551" s="52">
        <v>41490076</v>
      </c>
      <c r="CR551" s="52"/>
      <c r="CS551" s="52">
        <f t="shared" si="83"/>
        <v>716468911</v>
      </c>
      <c r="CT551" s="53">
        <v>331920608</v>
      </c>
      <c r="CU551" s="53">
        <f t="shared" si="84"/>
        <v>384548303</v>
      </c>
      <c r="CV551" s="54">
        <f t="shared" si="87"/>
        <v>716468911</v>
      </c>
      <c r="CW551" s="55">
        <f t="shared" si="88"/>
        <v>0</v>
      </c>
      <c r="CX551" s="16"/>
      <c r="CY551" s="16"/>
      <c r="CZ551" s="16"/>
    </row>
    <row r="552" spans="1:108" ht="15" customHeight="1" x14ac:dyDescent="0.2">
      <c r="A552" s="1">
        <v>8000441135</v>
      </c>
      <c r="B552" s="1">
        <v>800044113</v>
      </c>
      <c r="C552" s="9">
        <v>210554405</v>
      </c>
      <c r="D552" s="10" t="s">
        <v>771</v>
      </c>
      <c r="E552" s="42" t="s">
        <v>2068</v>
      </c>
      <c r="F552" s="21"/>
      <c r="G552" s="50"/>
      <c r="H552" s="21"/>
      <c r="I552" s="50"/>
      <c r="J552" s="21"/>
      <c r="K552" s="21"/>
      <c r="L552" s="50"/>
      <c r="M552" s="51"/>
      <c r="N552" s="21"/>
      <c r="O552" s="50"/>
      <c r="P552" s="21"/>
      <c r="Q552" s="50"/>
      <c r="R552" s="21"/>
      <c r="S552" s="21"/>
      <c r="T552" s="50"/>
      <c r="U552" s="51">
        <f t="shared" si="82"/>
        <v>0</v>
      </c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>
        <v>657049565</v>
      </c>
      <c r="AN552" s="51">
        <f>SUBTOTAL(9,AC552:AM552)</f>
        <v>657049565</v>
      </c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>
        <v>313027230</v>
      </c>
      <c r="AZ552" s="51"/>
      <c r="BA552" s="51">
        <f>VLOOKUP(B552,[1]Hoja3!J$3:K$674,2,0)</f>
        <v>111089020</v>
      </c>
      <c r="BB552" s="51"/>
      <c r="BC552" s="52">
        <f t="shared" si="85"/>
        <v>1081165815</v>
      </c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>
        <v>62605446</v>
      </c>
      <c r="BO552" s="51"/>
      <c r="BP552" s="52">
        <v>1143771261</v>
      </c>
      <c r="BQ552" s="52"/>
      <c r="BR552" s="52"/>
      <c r="BS552" s="52"/>
      <c r="BT552" s="52"/>
      <c r="BU552" s="52"/>
      <c r="BV552" s="52"/>
      <c r="BW552" s="52"/>
      <c r="BX552" s="52"/>
      <c r="BY552" s="52"/>
      <c r="BZ552" s="52"/>
      <c r="CA552" s="52"/>
      <c r="CB552" s="52"/>
      <c r="CC552" s="52">
        <v>62605446</v>
      </c>
      <c r="CD552" s="52"/>
      <c r="CE552" s="52"/>
      <c r="CF552" s="52"/>
      <c r="CG552" s="52">
        <f t="shared" si="86"/>
        <v>1206376707</v>
      </c>
      <c r="CH552" s="52"/>
      <c r="CI552" s="52"/>
      <c r="CJ552" s="52"/>
      <c r="CK552" s="52"/>
      <c r="CL552" s="52"/>
      <c r="CM552" s="52"/>
      <c r="CN552" s="52"/>
      <c r="CO552" s="52"/>
      <c r="CP552" s="52"/>
      <c r="CQ552" s="52">
        <v>62605446</v>
      </c>
      <c r="CR552" s="52"/>
      <c r="CS552" s="52">
        <f t="shared" si="83"/>
        <v>1268982153</v>
      </c>
      <c r="CT552" s="53">
        <v>500843568</v>
      </c>
      <c r="CU552" s="53">
        <f t="shared" si="84"/>
        <v>768138585</v>
      </c>
      <c r="CV552" s="54">
        <f t="shared" si="87"/>
        <v>1268982153</v>
      </c>
      <c r="CW552" s="55">
        <f t="shared" si="88"/>
        <v>0</v>
      </c>
      <c r="CX552" s="16"/>
      <c r="CY552" s="16"/>
      <c r="CZ552" s="16"/>
    </row>
    <row r="553" spans="1:108" ht="15" customHeight="1" x14ac:dyDescent="0.2">
      <c r="A553" s="1">
        <v>8902045379</v>
      </c>
      <c r="B553" s="1">
        <v>890204537</v>
      </c>
      <c r="C553" s="9">
        <v>211868418</v>
      </c>
      <c r="D553" s="10" t="s">
        <v>854</v>
      </c>
      <c r="E553" s="42" t="s">
        <v>1868</v>
      </c>
      <c r="F553" s="21"/>
      <c r="G553" s="50"/>
      <c r="H553" s="21"/>
      <c r="I553" s="50"/>
      <c r="J553" s="21"/>
      <c r="K553" s="21"/>
      <c r="L553" s="50"/>
      <c r="M553" s="51"/>
      <c r="N553" s="21"/>
      <c r="O553" s="50"/>
      <c r="P553" s="21"/>
      <c r="Q553" s="50"/>
      <c r="R553" s="21"/>
      <c r="S553" s="21"/>
      <c r="T553" s="50"/>
      <c r="U553" s="51">
        <f t="shared" si="82"/>
        <v>0</v>
      </c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>
        <v>73012588</v>
      </c>
      <c r="AN553" s="51">
        <f>SUBTOTAL(9,AC553:AM553)</f>
        <v>73012588</v>
      </c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>
        <f>VLOOKUP(B553,[1]Hoja3!J$3:K$674,2,0)</f>
        <v>142945770</v>
      </c>
      <c r="BB553" s="51"/>
      <c r="BC553" s="52">
        <f t="shared" si="85"/>
        <v>215958358</v>
      </c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>
        <v>20246464</v>
      </c>
      <c r="BO553" s="51"/>
      <c r="BP553" s="52">
        <v>236204822</v>
      </c>
      <c r="BQ553" s="52"/>
      <c r="BR553" s="52"/>
      <c r="BS553" s="52"/>
      <c r="BT553" s="52"/>
      <c r="BU553" s="52"/>
      <c r="BV553" s="52"/>
      <c r="BW553" s="52"/>
      <c r="BX553" s="52"/>
      <c r="BY553" s="52"/>
      <c r="BZ553" s="52"/>
      <c r="CA553" s="52"/>
      <c r="CB553" s="52"/>
      <c r="CC553" s="52">
        <v>20246464</v>
      </c>
      <c r="CD553" s="52">
        <v>101232320</v>
      </c>
      <c r="CE553" s="52"/>
      <c r="CF553" s="52"/>
      <c r="CG553" s="52">
        <f t="shared" si="86"/>
        <v>357683606</v>
      </c>
      <c r="CH553" s="52"/>
      <c r="CI553" s="52"/>
      <c r="CJ553" s="52"/>
      <c r="CK553" s="52"/>
      <c r="CL553" s="52"/>
      <c r="CM553" s="52"/>
      <c r="CN553" s="52"/>
      <c r="CO553" s="52"/>
      <c r="CP553" s="52"/>
      <c r="CQ553" s="52">
        <v>20246464</v>
      </c>
      <c r="CR553" s="52"/>
      <c r="CS553" s="52">
        <f t="shared" si="83"/>
        <v>377930070</v>
      </c>
      <c r="CT553" s="53">
        <v>161971712</v>
      </c>
      <c r="CU553" s="53">
        <f t="shared" si="84"/>
        <v>215958358</v>
      </c>
      <c r="CV553" s="54">
        <f t="shared" si="87"/>
        <v>377930070</v>
      </c>
      <c r="CW553" s="55">
        <f t="shared" si="88"/>
        <v>0</v>
      </c>
      <c r="CX553" s="16"/>
      <c r="CY553" s="16"/>
      <c r="CZ553" s="16"/>
    </row>
    <row r="554" spans="1:108" ht="15" customHeight="1" x14ac:dyDescent="0.2">
      <c r="A554" s="1">
        <v>8905026114</v>
      </c>
      <c r="B554" s="1">
        <v>890502611</v>
      </c>
      <c r="C554" s="9">
        <v>211854418</v>
      </c>
      <c r="D554" s="10" t="s">
        <v>772</v>
      </c>
      <c r="E554" s="42" t="s">
        <v>1789</v>
      </c>
      <c r="F554" s="21"/>
      <c r="G554" s="50"/>
      <c r="H554" s="21"/>
      <c r="I554" s="50"/>
      <c r="J554" s="21"/>
      <c r="K554" s="21"/>
      <c r="L554" s="50"/>
      <c r="M554" s="51"/>
      <c r="N554" s="21"/>
      <c r="O554" s="50"/>
      <c r="P554" s="21"/>
      <c r="Q554" s="50"/>
      <c r="R554" s="21"/>
      <c r="S554" s="21"/>
      <c r="T554" s="50"/>
      <c r="U554" s="51">
        <f t="shared" si="82"/>
        <v>0</v>
      </c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>
        <v>23128590</v>
      </c>
      <c r="AZ554" s="51"/>
      <c r="BA554" s="51">
        <f>VLOOKUP(B554,[1]Hoja3!J$3:K$674,2,0)</f>
        <v>55326276</v>
      </c>
      <c r="BB554" s="51"/>
      <c r="BC554" s="52">
        <f t="shared" si="85"/>
        <v>78454866</v>
      </c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>
        <v>4625718</v>
      </c>
      <c r="BO554" s="51"/>
      <c r="BP554" s="52">
        <v>83080584</v>
      </c>
      <c r="BQ554" s="52"/>
      <c r="BR554" s="52"/>
      <c r="BS554" s="52"/>
      <c r="BT554" s="52"/>
      <c r="BU554" s="52"/>
      <c r="BV554" s="52"/>
      <c r="BW554" s="52"/>
      <c r="BX554" s="52"/>
      <c r="BY554" s="52"/>
      <c r="BZ554" s="52"/>
      <c r="CA554" s="52"/>
      <c r="CB554" s="52"/>
      <c r="CC554" s="52">
        <v>4625718</v>
      </c>
      <c r="CD554" s="52"/>
      <c r="CE554" s="52"/>
      <c r="CF554" s="52"/>
      <c r="CG554" s="52">
        <f t="shared" si="86"/>
        <v>87706302</v>
      </c>
      <c r="CH554" s="52"/>
      <c r="CI554" s="52"/>
      <c r="CJ554" s="52"/>
      <c r="CK554" s="52"/>
      <c r="CL554" s="52"/>
      <c r="CM554" s="52"/>
      <c r="CN554" s="52"/>
      <c r="CO554" s="52"/>
      <c r="CP554" s="52"/>
      <c r="CQ554" s="52">
        <v>4625718</v>
      </c>
      <c r="CR554" s="52"/>
      <c r="CS554" s="52">
        <f t="shared" si="83"/>
        <v>92332020</v>
      </c>
      <c r="CT554" s="53">
        <v>37005744</v>
      </c>
      <c r="CU554" s="53">
        <f t="shared" si="84"/>
        <v>55326276</v>
      </c>
      <c r="CV554" s="54">
        <f t="shared" si="87"/>
        <v>92332020</v>
      </c>
      <c r="CW554" s="55">
        <f t="shared" si="88"/>
        <v>0</v>
      </c>
      <c r="CX554" s="16"/>
      <c r="CY554" s="16"/>
      <c r="CZ554" s="16"/>
    </row>
    <row r="555" spans="1:108" ht="15" customHeight="1" x14ac:dyDescent="0.2">
      <c r="A555" s="1">
        <v>8901030034</v>
      </c>
      <c r="B555" s="1">
        <v>890103003</v>
      </c>
      <c r="C555" s="9">
        <v>212108421</v>
      </c>
      <c r="D555" s="10" t="s">
        <v>166</v>
      </c>
      <c r="E555" s="42" t="s">
        <v>1194</v>
      </c>
      <c r="F555" s="21"/>
      <c r="G555" s="50"/>
      <c r="H555" s="21"/>
      <c r="I555" s="50"/>
      <c r="J555" s="21"/>
      <c r="K555" s="21"/>
      <c r="L555" s="50"/>
      <c r="M555" s="51"/>
      <c r="N555" s="21"/>
      <c r="O555" s="50"/>
      <c r="P555" s="21"/>
      <c r="Q555" s="50"/>
      <c r="R555" s="21"/>
      <c r="S555" s="21"/>
      <c r="T555" s="50"/>
      <c r="U555" s="51">
        <f t="shared" si="82"/>
        <v>0</v>
      </c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>
        <v>107827870</v>
      </c>
      <c r="AN555" s="51">
        <f>SUBTOTAL(9,AC555:AM555)</f>
        <v>107827870</v>
      </c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>
        <v>256212935</v>
      </c>
      <c r="AZ555" s="51"/>
      <c r="BA555" s="51">
        <f>VLOOKUP(B555,[1]Hoja3!J$3:K$674,2,0)</f>
        <v>384295832</v>
      </c>
      <c r="BB555" s="51"/>
      <c r="BC555" s="52">
        <f t="shared" si="85"/>
        <v>748336637</v>
      </c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>
        <v>51242587</v>
      </c>
      <c r="BO555" s="51"/>
      <c r="BP555" s="52">
        <v>799579224</v>
      </c>
      <c r="BQ555" s="52"/>
      <c r="BR555" s="52"/>
      <c r="BS555" s="52"/>
      <c r="BT555" s="52"/>
      <c r="BU555" s="52"/>
      <c r="BV555" s="52"/>
      <c r="BW555" s="52"/>
      <c r="BX555" s="52"/>
      <c r="BY555" s="52"/>
      <c r="BZ555" s="52"/>
      <c r="CA555" s="52"/>
      <c r="CB555" s="52"/>
      <c r="CC555" s="52">
        <v>51242587</v>
      </c>
      <c r="CD555" s="52"/>
      <c r="CE555" s="52"/>
      <c r="CF555" s="52"/>
      <c r="CG555" s="52">
        <f t="shared" si="86"/>
        <v>850821811</v>
      </c>
      <c r="CH555" s="52"/>
      <c r="CI555" s="52"/>
      <c r="CJ555" s="52"/>
      <c r="CK555" s="52"/>
      <c r="CL555" s="52"/>
      <c r="CM555" s="52"/>
      <c r="CN555" s="52"/>
      <c r="CO555" s="52"/>
      <c r="CP555" s="52"/>
      <c r="CQ555" s="52">
        <v>51242587</v>
      </c>
      <c r="CR555" s="52"/>
      <c r="CS555" s="52">
        <f t="shared" si="83"/>
        <v>902064398</v>
      </c>
      <c r="CT555" s="53">
        <v>409940696</v>
      </c>
      <c r="CU555" s="53">
        <f t="shared" si="84"/>
        <v>492123702</v>
      </c>
      <c r="CV555" s="54">
        <f t="shared" si="87"/>
        <v>902064398</v>
      </c>
      <c r="CW555" s="55">
        <f t="shared" si="88"/>
        <v>0</v>
      </c>
      <c r="CX555" s="16"/>
      <c r="CY555" s="16"/>
      <c r="CZ555" s="16"/>
    </row>
    <row r="556" spans="1:108" ht="15" customHeight="1" x14ac:dyDescent="0.2">
      <c r="A556" s="1">
        <v>8918011291</v>
      </c>
      <c r="B556" s="1">
        <v>891801129</v>
      </c>
      <c r="C556" s="9">
        <v>212515425</v>
      </c>
      <c r="D556" s="10" t="s">
        <v>266</v>
      </c>
      <c r="E556" s="42" t="s">
        <v>1300</v>
      </c>
      <c r="F556" s="21"/>
      <c r="G556" s="50"/>
      <c r="H556" s="21"/>
      <c r="I556" s="50"/>
      <c r="J556" s="21"/>
      <c r="K556" s="21"/>
      <c r="L556" s="50"/>
      <c r="M556" s="51"/>
      <c r="N556" s="21"/>
      <c r="O556" s="50"/>
      <c r="P556" s="21"/>
      <c r="Q556" s="50"/>
      <c r="R556" s="21"/>
      <c r="S556" s="21"/>
      <c r="T556" s="50"/>
      <c r="U556" s="51">
        <f t="shared" si="82"/>
        <v>0</v>
      </c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>
        <v>30591405</v>
      </c>
      <c r="AZ556" s="51"/>
      <c r="BA556" s="51">
        <f>VLOOKUP(B556,[1]Hoja3!J$3:K$674,2,0)</f>
        <v>56240656</v>
      </c>
      <c r="BB556" s="51"/>
      <c r="BC556" s="52">
        <f t="shared" si="85"/>
        <v>86832061</v>
      </c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>
        <v>6118281</v>
      </c>
      <c r="BO556" s="51"/>
      <c r="BP556" s="52">
        <v>92950342</v>
      </c>
      <c r="BQ556" s="52"/>
      <c r="BR556" s="52"/>
      <c r="BS556" s="52"/>
      <c r="BT556" s="52"/>
      <c r="BU556" s="52"/>
      <c r="BV556" s="52"/>
      <c r="BW556" s="52"/>
      <c r="BX556" s="52"/>
      <c r="BY556" s="52"/>
      <c r="BZ556" s="52"/>
      <c r="CA556" s="52"/>
      <c r="CB556" s="52"/>
      <c r="CC556" s="52">
        <v>6118281</v>
      </c>
      <c r="CD556" s="52"/>
      <c r="CE556" s="52"/>
      <c r="CF556" s="52"/>
      <c r="CG556" s="52">
        <f t="shared" si="86"/>
        <v>99068623</v>
      </c>
      <c r="CH556" s="52"/>
      <c r="CI556" s="52"/>
      <c r="CJ556" s="52"/>
      <c r="CK556" s="52"/>
      <c r="CL556" s="52"/>
      <c r="CM556" s="52"/>
      <c r="CN556" s="52"/>
      <c r="CO556" s="52"/>
      <c r="CP556" s="52"/>
      <c r="CQ556" s="52">
        <v>6118281</v>
      </c>
      <c r="CR556" s="52"/>
      <c r="CS556" s="52">
        <f t="shared" si="83"/>
        <v>105186904</v>
      </c>
      <c r="CT556" s="53">
        <v>48946248</v>
      </c>
      <c r="CU556" s="53">
        <f t="shared" si="84"/>
        <v>56240656</v>
      </c>
      <c r="CV556" s="54">
        <f t="shared" si="87"/>
        <v>105186904</v>
      </c>
      <c r="CW556" s="55">
        <f t="shared" si="88"/>
        <v>0</v>
      </c>
      <c r="CX556" s="16"/>
      <c r="CY556" s="8"/>
      <c r="CZ556" s="8"/>
      <c r="DA556" s="8"/>
      <c r="DB556" s="8"/>
      <c r="DC556" s="8"/>
      <c r="DD556" s="8"/>
    </row>
    <row r="557" spans="1:108" ht="15" customHeight="1" x14ac:dyDescent="0.2">
      <c r="A557" s="1">
        <v>8902109471</v>
      </c>
      <c r="B557" s="1">
        <v>890210947</v>
      </c>
      <c r="C557" s="9">
        <v>212568425</v>
      </c>
      <c r="D557" s="10" t="s">
        <v>855</v>
      </c>
      <c r="E557" s="42" t="s">
        <v>1869</v>
      </c>
      <c r="F557" s="21"/>
      <c r="G557" s="50"/>
      <c r="H557" s="21"/>
      <c r="I557" s="50"/>
      <c r="J557" s="21"/>
      <c r="K557" s="21"/>
      <c r="L557" s="50"/>
      <c r="M557" s="51"/>
      <c r="N557" s="21"/>
      <c r="O557" s="50"/>
      <c r="P557" s="21"/>
      <c r="Q557" s="50"/>
      <c r="R557" s="21"/>
      <c r="S557" s="21"/>
      <c r="T557" s="50"/>
      <c r="U557" s="51">
        <f t="shared" si="82"/>
        <v>0</v>
      </c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>
        <v>21357595</v>
      </c>
      <c r="AZ557" s="51"/>
      <c r="BA557" s="51">
        <f>VLOOKUP(B557,[1]Hoja3!J$3:K$674,2,0)</f>
        <v>34360416</v>
      </c>
      <c r="BB557" s="51"/>
      <c r="BC557" s="52">
        <f t="shared" si="85"/>
        <v>55718011</v>
      </c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>
        <v>4271519</v>
      </c>
      <c r="BO557" s="51"/>
      <c r="BP557" s="52">
        <v>59989530</v>
      </c>
      <c r="BQ557" s="52"/>
      <c r="BR557" s="52"/>
      <c r="BS557" s="52"/>
      <c r="BT557" s="52"/>
      <c r="BU557" s="52"/>
      <c r="BV557" s="52"/>
      <c r="BW557" s="52"/>
      <c r="BX557" s="52"/>
      <c r="BY557" s="52"/>
      <c r="BZ557" s="52"/>
      <c r="CA557" s="52"/>
      <c r="CB557" s="52"/>
      <c r="CC557" s="52">
        <v>4271519</v>
      </c>
      <c r="CD557" s="52"/>
      <c r="CE557" s="52"/>
      <c r="CF557" s="52"/>
      <c r="CG557" s="52">
        <f t="shared" si="86"/>
        <v>64261049</v>
      </c>
      <c r="CH557" s="52"/>
      <c r="CI557" s="52"/>
      <c r="CJ557" s="52"/>
      <c r="CK557" s="52"/>
      <c r="CL557" s="52"/>
      <c r="CM557" s="52"/>
      <c r="CN557" s="52"/>
      <c r="CO557" s="52"/>
      <c r="CP557" s="52"/>
      <c r="CQ557" s="52">
        <v>4271519</v>
      </c>
      <c r="CR557" s="52"/>
      <c r="CS557" s="52">
        <f t="shared" si="83"/>
        <v>68532568</v>
      </c>
      <c r="CT557" s="53">
        <v>34172152</v>
      </c>
      <c r="CU557" s="53">
        <f t="shared" si="84"/>
        <v>34360416</v>
      </c>
      <c r="CV557" s="54">
        <f t="shared" si="87"/>
        <v>68532568</v>
      </c>
      <c r="CW557" s="55">
        <f t="shared" si="88"/>
        <v>0</v>
      </c>
      <c r="CX557" s="16"/>
      <c r="CY557" s="16"/>
      <c r="CZ557" s="16"/>
    </row>
    <row r="558" spans="1:108" ht="15" customHeight="1" x14ac:dyDescent="0.2">
      <c r="A558" s="1">
        <v>8909809583</v>
      </c>
      <c r="B558" s="1">
        <v>890980958</v>
      </c>
      <c r="C558" s="9">
        <v>212505425</v>
      </c>
      <c r="D558" s="10" t="s">
        <v>106</v>
      </c>
      <c r="E558" s="42" t="s">
        <v>1137</v>
      </c>
      <c r="F558" s="21"/>
      <c r="G558" s="50"/>
      <c r="H558" s="21"/>
      <c r="I558" s="50"/>
      <c r="J558" s="21"/>
      <c r="K558" s="21"/>
      <c r="L558" s="50"/>
      <c r="M558" s="51"/>
      <c r="N558" s="21"/>
      <c r="O558" s="50"/>
      <c r="P558" s="21"/>
      <c r="Q558" s="50"/>
      <c r="R558" s="21"/>
      <c r="S558" s="21"/>
      <c r="T558" s="50"/>
      <c r="U558" s="51">
        <f t="shared" si="82"/>
        <v>0</v>
      </c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>
        <v>58460695</v>
      </c>
      <c r="AZ558" s="51"/>
      <c r="BA558" s="51">
        <f>VLOOKUP(B558,[1]Hoja3!J$3:K$674,2,0)</f>
        <v>132891377</v>
      </c>
      <c r="BB558" s="51"/>
      <c r="BC558" s="52">
        <f t="shared" si="85"/>
        <v>191352072</v>
      </c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>
        <v>11692139</v>
      </c>
      <c r="BO558" s="51"/>
      <c r="BP558" s="52">
        <v>203044211</v>
      </c>
      <c r="BQ558" s="52"/>
      <c r="BR558" s="52"/>
      <c r="BS558" s="52"/>
      <c r="BT558" s="52"/>
      <c r="BU558" s="52"/>
      <c r="BV558" s="52"/>
      <c r="BW558" s="52"/>
      <c r="BX558" s="52"/>
      <c r="BY558" s="52"/>
      <c r="BZ558" s="52"/>
      <c r="CA558" s="52"/>
      <c r="CB558" s="52"/>
      <c r="CC558" s="52">
        <v>11692139</v>
      </c>
      <c r="CD558" s="52"/>
      <c r="CE558" s="52"/>
      <c r="CF558" s="52"/>
      <c r="CG558" s="52">
        <f t="shared" si="86"/>
        <v>214736350</v>
      </c>
      <c r="CH558" s="52"/>
      <c r="CI558" s="52"/>
      <c r="CJ558" s="52"/>
      <c r="CK558" s="52"/>
      <c r="CL558" s="52"/>
      <c r="CM558" s="52"/>
      <c r="CN558" s="52"/>
      <c r="CO558" s="52"/>
      <c r="CP558" s="52"/>
      <c r="CQ558" s="52">
        <v>11692139</v>
      </c>
      <c r="CR558" s="52"/>
      <c r="CS558" s="52">
        <f t="shared" si="83"/>
        <v>226428489</v>
      </c>
      <c r="CT558" s="53">
        <v>93537112</v>
      </c>
      <c r="CU558" s="53">
        <f t="shared" si="84"/>
        <v>132891377</v>
      </c>
      <c r="CV558" s="54">
        <f t="shared" si="87"/>
        <v>226428489</v>
      </c>
      <c r="CW558" s="55">
        <f t="shared" si="88"/>
        <v>0</v>
      </c>
      <c r="CX558" s="16"/>
      <c r="CY558" s="16"/>
      <c r="CZ558" s="16"/>
    </row>
    <row r="559" spans="1:108" ht="15" customHeight="1" x14ac:dyDescent="0.2">
      <c r="A559" s="1">
        <v>8999994011</v>
      </c>
      <c r="B559" s="1">
        <v>899999401</v>
      </c>
      <c r="C559" s="9">
        <v>212625426</v>
      </c>
      <c r="D559" s="10" t="s">
        <v>510</v>
      </c>
      <c r="E559" s="42" t="s">
        <v>1535</v>
      </c>
      <c r="F559" s="21"/>
      <c r="G559" s="50"/>
      <c r="H559" s="21"/>
      <c r="I559" s="50"/>
      <c r="J559" s="21"/>
      <c r="K559" s="21"/>
      <c r="L559" s="50"/>
      <c r="M559" s="51"/>
      <c r="N559" s="21"/>
      <c r="O559" s="50"/>
      <c r="P559" s="21"/>
      <c r="Q559" s="50"/>
      <c r="R559" s="21"/>
      <c r="S559" s="21"/>
      <c r="T559" s="50"/>
      <c r="U559" s="51">
        <f t="shared" si="82"/>
        <v>0</v>
      </c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>
        <v>86624163</v>
      </c>
      <c r="AN559" s="51">
        <f>SUBTOTAL(9,AC559:AM559)</f>
        <v>86624163</v>
      </c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>
        <v>46278190</v>
      </c>
      <c r="AZ559" s="51"/>
      <c r="BA559" s="51"/>
      <c r="BB559" s="51"/>
      <c r="BC559" s="52">
        <f t="shared" si="85"/>
        <v>132902353</v>
      </c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>
        <v>9255638</v>
      </c>
      <c r="BO559" s="51"/>
      <c r="BP559" s="52">
        <v>142157991</v>
      </c>
      <c r="BQ559" s="52"/>
      <c r="BR559" s="52"/>
      <c r="BS559" s="52"/>
      <c r="BT559" s="52"/>
      <c r="BU559" s="52"/>
      <c r="BV559" s="52"/>
      <c r="BW559" s="52"/>
      <c r="BX559" s="52"/>
      <c r="BY559" s="52"/>
      <c r="BZ559" s="52"/>
      <c r="CA559" s="52"/>
      <c r="CB559" s="52"/>
      <c r="CC559" s="52">
        <v>9255638</v>
      </c>
      <c r="CD559" s="52"/>
      <c r="CE559" s="52"/>
      <c r="CF559" s="52"/>
      <c r="CG559" s="52">
        <f t="shared" si="86"/>
        <v>151413629</v>
      </c>
      <c r="CH559" s="52"/>
      <c r="CI559" s="52"/>
      <c r="CJ559" s="52"/>
      <c r="CK559" s="52"/>
      <c r="CL559" s="52"/>
      <c r="CM559" s="52"/>
      <c r="CN559" s="52"/>
      <c r="CO559" s="52"/>
      <c r="CP559" s="52"/>
      <c r="CQ559" s="52">
        <v>9255638</v>
      </c>
      <c r="CR559" s="52"/>
      <c r="CS559" s="52">
        <f t="shared" si="83"/>
        <v>160669267</v>
      </c>
      <c r="CT559" s="53">
        <v>74045104</v>
      </c>
      <c r="CU559" s="53">
        <f t="shared" si="84"/>
        <v>86624163</v>
      </c>
      <c r="CV559" s="54">
        <f t="shared" si="87"/>
        <v>160669267</v>
      </c>
      <c r="CW559" s="55">
        <f t="shared" si="88"/>
        <v>0</v>
      </c>
      <c r="CX559" s="16"/>
      <c r="CY559" s="16"/>
      <c r="CZ559" s="16"/>
    </row>
    <row r="560" spans="1:108" ht="15" customHeight="1" x14ac:dyDescent="0.2">
      <c r="A560" s="1">
        <v>8999993258</v>
      </c>
      <c r="B560" s="1">
        <v>899999325</v>
      </c>
      <c r="C560" s="9">
        <v>213025430</v>
      </c>
      <c r="D560" s="10" t="s">
        <v>511</v>
      </c>
      <c r="E560" s="42" t="s">
        <v>1536</v>
      </c>
      <c r="F560" s="21"/>
      <c r="G560" s="50"/>
      <c r="H560" s="21"/>
      <c r="I560" s="50"/>
      <c r="J560" s="21"/>
      <c r="K560" s="21"/>
      <c r="L560" s="50"/>
      <c r="M560" s="51"/>
      <c r="N560" s="21"/>
      <c r="O560" s="50"/>
      <c r="P560" s="21"/>
      <c r="Q560" s="50"/>
      <c r="R560" s="21"/>
      <c r="S560" s="21"/>
      <c r="T560" s="50"/>
      <c r="U560" s="51">
        <f t="shared" si="82"/>
        <v>0</v>
      </c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>
        <v>727083005</v>
      </c>
      <c r="AN560" s="51">
        <f>SUBTOTAL(9,AC560:AM560)</f>
        <v>727083005</v>
      </c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2">
        <f t="shared" si="85"/>
        <v>727083005</v>
      </c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>
        <v>0</v>
      </c>
      <c r="BO560" s="51"/>
      <c r="BP560" s="52">
        <v>727083005</v>
      </c>
      <c r="BQ560" s="52"/>
      <c r="BR560" s="52"/>
      <c r="BS560" s="52"/>
      <c r="BT560" s="52"/>
      <c r="BU560" s="52"/>
      <c r="BV560" s="52"/>
      <c r="BW560" s="52"/>
      <c r="BX560" s="52"/>
      <c r="BY560" s="52"/>
      <c r="BZ560" s="52"/>
      <c r="CA560" s="52"/>
      <c r="CB560" s="52"/>
      <c r="CC560" s="52">
        <v>0</v>
      </c>
      <c r="CD560" s="52"/>
      <c r="CE560" s="52"/>
      <c r="CF560" s="52"/>
      <c r="CG560" s="52">
        <f t="shared" si="86"/>
        <v>727083005</v>
      </c>
      <c r="CH560" s="52"/>
      <c r="CI560" s="52"/>
      <c r="CJ560" s="52"/>
      <c r="CK560" s="52"/>
      <c r="CL560" s="52"/>
      <c r="CM560" s="52"/>
      <c r="CN560" s="52"/>
      <c r="CO560" s="52"/>
      <c r="CP560" s="52"/>
      <c r="CQ560" s="52">
        <v>472811912</v>
      </c>
      <c r="CR560" s="52"/>
      <c r="CS560" s="52">
        <f t="shared" si="83"/>
        <v>1199894917</v>
      </c>
      <c r="CT560" s="53">
        <v>472811912</v>
      </c>
      <c r="CU560" s="53">
        <f t="shared" si="84"/>
        <v>727083005</v>
      </c>
      <c r="CV560" s="54">
        <f t="shared" si="87"/>
        <v>1199894917</v>
      </c>
      <c r="CW560" s="55">
        <f t="shared" si="88"/>
        <v>0</v>
      </c>
      <c r="CX560" s="16"/>
      <c r="CY560" s="16"/>
      <c r="CZ560" s="16"/>
    </row>
    <row r="561" spans="1:108" ht="15" customHeight="1" x14ac:dyDescent="0.2">
      <c r="A561" s="1">
        <v>8000284322</v>
      </c>
      <c r="B561" s="1">
        <v>800028432</v>
      </c>
      <c r="C561" s="9">
        <v>213013430</v>
      </c>
      <c r="D561" s="10" t="s">
        <v>2171</v>
      </c>
      <c r="E561" s="43" t="s">
        <v>1010</v>
      </c>
      <c r="F561" s="21"/>
      <c r="G561" s="50"/>
      <c r="H561" s="21"/>
      <c r="I561" s="50">
        <f>3977763792+74422874</f>
        <v>4052186666</v>
      </c>
      <c r="J561" s="21">
        <v>298707968</v>
      </c>
      <c r="K561" s="21">
        <v>604896847</v>
      </c>
      <c r="L561" s="50"/>
      <c r="M561" s="52">
        <f>SUM(F561:L561)</f>
        <v>4955791481</v>
      </c>
      <c r="N561" s="21"/>
      <c r="O561" s="50"/>
      <c r="P561" s="21"/>
      <c r="Q561" s="50">
        <f>3924978757+85000000+33828579</f>
        <v>4043807336</v>
      </c>
      <c r="R561" s="21">
        <v>299002538</v>
      </c>
      <c r="S561" s="21">
        <f>306188879+299002538</f>
        <v>605191417</v>
      </c>
      <c r="T561" s="50"/>
      <c r="U561" s="51">
        <f t="shared" si="82"/>
        <v>9903792772</v>
      </c>
      <c r="V561" s="51"/>
      <c r="W561" s="51"/>
      <c r="X561" s="51"/>
      <c r="Y561" s="51">
        <v>6024188508</v>
      </c>
      <c r="Z561" s="51">
        <v>357979822</v>
      </c>
      <c r="AA561" s="51">
        <v>678638333</v>
      </c>
      <c r="AB561" s="51"/>
      <c r="AC561" s="51">
        <f t="shared" si="90"/>
        <v>16964599435</v>
      </c>
      <c r="AD561" s="51"/>
      <c r="AE561" s="51"/>
      <c r="AF561" s="51"/>
      <c r="AG561" s="51"/>
      <c r="AH561" s="51">
        <v>4185681064</v>
      </c>
      <c r="AI561" s="51">
        <v>466416359</v>
      </c>
      <c r="AJ561" s="51">
        <v>301438444</v>
      </c>
      <c r="AK561" s="51">
        <v>761056664</v>
      </c>
      <c r="AL561" s="51"/>
      <c r="AM561" s="51">
        <v>1973699512</v>
      </c>
      <c r="AN561" s="51">
        <f>SUBTOTAL(9,AC561:AM561)</f>
        <v>24652891478</v>
      </c>
      <c r="AO561" s="51"/>
      <c r="AP561" s="51"/>
      <c r="AQ561" s="51">
        <v>1138612905</v>
      </c>
      <c r="AR561" s="51"/>
      <c r="AS561" s="51"/>
      <c r="AT561" s="51">
        <v>4185681064</v>
      </c>
      <c r="AU561" s="51">
        <v>280000000</v>
      </c>
      <c r="AV561" s="51">
        <v>301438444</v>
      </c>
      <c r="AW561" s="51">
        <v>515715238</v>
      </c>
      <c r="AX561" s="51"/>
      <c r="AY561" s="51"/>
      <c r="AZ561" s="51">
        <v>375956829</v>
      </c>
      <c r="BA561" s="51">
        <f>VLOOKUP(B561,[1]Hoja3!J$3:K$674,2,0)</f>
        <v>292791519</v>
      </c>
      <c r="BB561" s="51">
        <f>VLOOKUP(B561,'[2]anuladas en mayo gratuidad}'!K$2:L$55,2,0)</f>
        <v>243386506</v>
      </c>
      <c r="BC561" s="52">
        <f t="shared" si="85"/>
        <v>31499700971</v>
      </c>
      <c r="BD561" s="51"/>
      <c r="BE561" s="51"/>
      <c r="BF561" s="51">
        <v>227722581</v>
      </c>
      <c r="BG561" s="51"/>
      <c r="BH561" s="51"/>
      <c r="BI561" s="51">
        <v>4196897342</v>
      </c>
      <c r="BJ561" s="51">
        <v>130431048</v>
      </c>
      <c r="BK561" s="51">
        <v>260795699</v>
      </c>
      <c r="BL561" s="51">
        <v>811830647</v>
      </c>
      <c r="BM561" s="51"/>
      <c r="BN561" s="51"/>
      <c r="BO561" s="51">
        <v>55212611</v>
      </c>
      <c r="BP561" s="52">
        <v>37182590899</v>
      </c>
      <c r="BQ561" s="52"/>
      <c r="BR561" s="52"/>
      <c r="BS561" s="52">
        <v>227722581</v>
      </c>
      <c r="BT561" s="52"/>
      <c r="BU561" s="52"/>
      <c r="BV561" s="52"/>
      <c r="BW561" s="52">
        <v>4240509762</v>
      </c>
      <c r="BX561" s="52"/>
      <c r="BY561" s="52">
        <v>2130600335</v>
      </c>
      <c r="BZ561" s="52">
        <v>307748911</v>
      </c>
      <c r="CA561" s="52">
        <v>813951447</v>
      </c>
      <c r="CB561" s="52"/>
      <c r="CC561" s="52"/>
      <c r="CD561" s="52"/>
      <c r="CE561" s="52"/>
      <c r="CF561" s="52"/>
      <c r="CG561" s="52">
        <f t="shared" si="86"/>
        <v>44903123935</v>
      </c>
      <c r="CH561" s="52"/>
      <c r="CI561" s="52"/>
      <c r="CJ561" s="52">
        <v>227722581</v>
      </c>
      <c r="CK561" s="52"/>
      <c r="CL561" s="52">
        <v>4269109463</v>
      </c>
      <c r="CM561" s="52">
        <v>260871841</v>
      </c>
      <c r="CN561" s="52">
        <v>307492888</v>
      </c>
      <c r="CO561" s="52">
        <v>567021004</v>
      </c>
      <c r="CP561" s="52"/>
      <c r="CQ561" s="52"/>
      <c r="CR561" s="52"/>
      <c r="CS561" s="52">
        <f t="shared" si="83"/>
        <v>50535341712</v>
      </c>
      <c r="CT561" s="53">
        <v>48457024576</v>
      </c>
      <c r="CU561" s="53">
        <f t="shared" si="84"/>
        <v>2078317136</v>
      </c>
      <c r="CV561" s="54">
        <f t="shared" si="87"/>
        <v>50535341712</v>
      </c>
      <c r="CW561" s="55">
        <f t="shared" si="88"/>
        <v>0</v>
      </c>
      <c r="CX561" s="16"/>
      <c r="CY561" s="16"/>
      <c r="CZ561" s="16"/>
    </row>
    <row r="562" spans="1:108" ht="15" customHeight="1" x14ac:dyDescent="0.2">
      <c r="A562" s="1">
        <v>8000991061</v>
      </c>
      <c r="B562" s="1">
        <v>800099106</v>
      </c>
      <c r="C562" s="9">
        <v>212752427</v>
      </c>
      <c r="D562" s="10" t="s">
        <v>725</v>
      </c>
      <c r="E562" s="42" t="s">
        <v>1747</v>
      </c>
      <c r="F562" s="21"/>
      <c r="G562" s="50"/>
      <c r="H562" s="21"/>
      <c r="I562" s="50"/>
      <c r="J562" s="21"/>
      <c r="K562" s="21"/>
      <c r="L562" s="50"/>
      <c r="M562" s="51"/>
      <c r="N562" s="21"/>
      <c r="O562" s="50"/>
      <c r="P562" s="21"/>
      <c r="Q562" s="50"/>
      <c r="R562" s="21"/>
      <c r="S562" s="21"/>
      <c r="T562" s="50"/>
      <c r="U562" s="51">
        <f t="shared" si="82"/>
        <v>0</v>
      </c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>
        <v>202671495</v>
      </c>
      <c r="AZ562" s="51"/>
      <c r="BA562" s="51">
        <f>VLOOKUP(B562,[1]Hoja3!J$3:K$674,2,0)</f>
        <v>197263000</v>
      </c>
      <c r="BB562" s="51"/>
      <c r="BC562" s="52">
        <f t="shared" si="85"/>
        <v>399934495</v>
      </c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>
        <v>40534299</v>
      </c>
      <c r="BO562" s="51"/>
      <c r="BP562" s="52">
        <v>440468794</v>
      </c>
      <c r="BQ562" s="52"/>
      <c r="BR562" s="52"/>
      <c r="BS562" s="52"/>
      <c r="BT562" s="52"/>
      <c r="BU562" s="52"/>
      <c r="BV562" s="52"/>
      <c r="BW562" s="52"/>
      <c r="BX562" s="52"/>
      <c r="BY562" s="52"/>
      <c r="BZ562" s="52"/>
      <c r="CA562" s="52"/>
      <c r="CB562" s="52"/>
      <c r="CC562" s="52">
        <v>40534299</v>
      </c>
      <c r="CD562" s="52"/>
      <c r="CE562" s="52"/>
      <c r="CF562" s="52"/>
      <c r="CG562" s="52">
        <f t="shared" si="86"/>
        <v>481003093</v>
      </c>
      <c r="CH562" s="52"/>
      <c r="CI562" s="52"/>
      <c r="CJ562" s="52"/>
      <c r="CK562" s="52"/>
      <c r="CL562" s="52"/>
      <c r="CM562" s="52"/>
      <c r="CN562" s="52"/>
      <c r="CO562" s="52"/>
      <c r="CP562" s="52"/>
      <c r="CQ562" s="52">
        <v>40534299</v>
      </c>
      <c r="CR562" s="52"/>
      <c r="CS562" s="52">
        <f t="shared" si="83"/>
        <v>521537392</v>
      </c>
      <c r="CT562" s="53">
        <v>324274392</v>
      </c>
      <c r="CU562" s="53">
        <f t="shared" si="84"/>
        <v>197263000</v>
      </c>
      <c r="CV562" s="54">
        <f t="shared" si="87"/>
        <v>521537392</v>
      </c>
      <c r="CW562" s="55">
        <f t="shared" si="88"/>
        <v>0</v>
      </c>
      <c r="CX562" s="16"/>
      <c r="CY562" s="16"/>
      <c r="CZ562" s="16"/>
    </row>
    <row r="563" spans="1:108" ht="15" customHeight="1" x14ac:dyDescent="0.2">
      <c r="A563" s="1">
        <v>8000955143</v>
      </c>
      <c r="B563" s="1">
        <v>800095514</v>
      </c>
      <c r="C563" s="9">
        <v>213313433</v>
      </c>
      <c r="D563" s="10" t="s">
        <v>194</v>
      </c>
      <c r="E563" s="42" t="s">
        <v>1225</v>
      </c>
      <c r="F563" s="21"/>
      <c r="G563" s="50"/>
      <c r="H563" s="21"/>
      <c r="I563" s="50"/>
      <c r="J563" s="21"/>
      <c r="K563" s="21"/>
      <c r="L563" s="50"/>
      <c r="M563" s="51"/>
      <c r="N563" s="21"/>
      <c r="O563" s="50"/>
      <c r="P563" s="21"/>
      <c r="Q563" s="50"/>
      <c r="R563" s="21"/>
      <c r="S563" s="21"/>
      <c r="T563" s="50"/>
      <c r="U563" s="51">
        <f t="shared" si="82"/>
        <v>0</v>
      </c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>
        <v>216511617</v>
      </c>
      <c r="AN563" s="51">
        <f>SUBTOTAL(9,AC563:AM563)</f>
        <v>216511617</v>
      </c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>
        <v>247606205</v>
      </c>
      <c r="AZ563" s="51"/>
      <c r="BA563" s="51">
        <f>VLOOKUP(B563,[1]Hoja3!J$3:K$674,2,0)</f>
        <v>285140227</v>
      </c>
      <c r="BB563" s="51"/>
      <c r="BC563" s="52">
        <f t="shared" si="85"/>
        <v>749258049</v>
      </c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>
        <v>49521241</v>
      </c>
      <c r="BO563" s="51"/>
      <c r="BP563" s="52">
        <v>798779290</v>
      </c>
      <c r="BQ563" s="52"/>
      <c r="BR563" s="52"/>
      <c r="BS563" s="52"/>
      <c r="BT563" s="52"/>
      <c r="BU563" s="52"/>
      <c r="BV563" s="52"/>
      <c r="BW563" s="52"/>
      <c r="BX563" s="52"/>
      <c r="BY563" s="52"/>
      <c r="BZ563" s="52"/>
      <c r="CA563" s="52"/>
      <c r="CB563" s="52"/>
      <c r="CC563" s="52">
        <v>49521241</v>
      </c>
      <c r="CD563" s="52"/>
      <c r="CE563" s="52"/>
      <c r="CF563" s="52"/>
      <c r="CG563" s="52">
        <f t="shared" si="86"/>
        <v>848300531</v>
      </c>
      <c r="CH563" s="52"/>
      <c r="CI563" s="52"/>
      <c r="CJ563" s="52"/>
      <c r="CK563" s="52"/>
      <c r="CL563" s="52"/>
      <c r="CM563" s="52"/>
      <c r="CN563" s="52"/>
      <c r="CO563" s="52"/>
      <c r="CP563" s="52"/>
      <c r="CQ563" s="52">
        <v>49521241</v>
      </c>
      <c r="CR563" s="52"/>
      <c r="CS563" s="52">
        <f t="shared" si="83"/>
        <v>897821772</v>
      </c>
      <c r="CT563" s="53">
        <v>396169928</v>
      </c>
      <c r="CU563" s="53">
        <f t="shared" si="84"/>
        <v>501651844</v>
      </c>
      <c r="CV563" s="54">
        <f t="shared" si="87"/>
        <v>897821772</v>
      </c>
      <c r="CW563" s="55">
        <f t="shared" si="88"/>
        <v>0</v>
      </c>
      <c r="CX563" s="16"/>
      <c r="CY563" s="8"/>
      <c r="CZ563" s="8"/>
      <c r="DA563" s="8"/>
      <c r="DB563" s="8"/>
      <c r="DC563" s="8"/>
      <c r="DD563" s="8"/>
    </row>
    <row r="564" spans="1:108" ht="15" customHeight="1" x14ac:dyDescent="0.2">
      <c r="A564" s="1">
        <v>8921200209</v>
      </c>
      <c r="B564" s="1">
        <v>892120020</v>
      </c>
      <c r="C564" s="9">
        <v>213044430</v>
      </c>
      <c r="D564" s="10" t="s">
        <v>2172</v>
      </c>
      <c r="E564" s="43" t="s">
        <v>2078</v>
      </c>
      <c r="F564" s="21"/>
      <c r="G564" s="50"/>
      <c r="H564" s="21"/>
      <c r="I564" s="57">
        <f>4518334807+78051480</f>
        <v>4596386287</v>
      </c>
      <c r="J564" s="21">
        <v>349527651</v>
      </c>
      <c r="K564" s="21">
        <v>699651122</v>
      </c>
      <c r="L564" s="50"/>
      <c r="M564" s="52">
        <f>SUM(F564:L564)</f>
        <v>5645565060</v>
      </c>
      <c r="N564" s="21"/>
      <c r="O564" s="50"/>
      <c r="P564" s="21"/>
      <c r="Q564" s="50">
        <f>4495545519+116592370</f>
        <v>4612137889</v>
      </c>
      <c r="R564" s="21">
        <v>349527651</v>
      </c>
      <c r="S564" s="21">
        <f>350123471+349527651</f>
        <v>699651122</v>
      </c>
      <c r="T564" s="50"/>
      <c r="U564" s="51">
        <f t="shared" si="82"/>
        <v>11306881722</v>
      </c>
      <c r="V564" s="51"/>
      <c r="W564" s="51"/>
      <c r="X564" s="51"/>
      <c r="Y564" s="51">
        <v>8638960785</v>
      </c>
      <c r="Z564" s="51">
        <v>285718569</v>
      </c>
      <c r="AA564" s="51">
        <v>672358433</v>
      </c>
      <c r="AB564" s="51"/>
      <c r="AC564" s="51">
        <f t="shared" si="90"/>
        <v>20903919509</v>
      </c>
      <c r="AD564" s="51"/>
      <c r="AE564" s="51"/>
      <c r="AF564" s="51"/>
      <c r="AG564" s="51"/>
      <c r="AH564" s="51">
        <v>4609065076</v>
      </c>
      <c r="AI564" s="51">
        <v>3179997224</v>
      </c>
      <c r="AJ564" s="51">
        <v>334286516</v>
      </c>
      <c r="AK564" s="51">
        <v>847501086</v>
      </c>
      <c r="AL564" s="51"/>
      <c r="AM564" s="51">
        <v>261527125</v>
      </c>
      <c r="AN564" s="51">
        <f>SUBTOTAL(9,AC564:AM564)</f>
        <v>30136296536</v>
      </c>
      <c r="AO564" s="51"/>
      <c r="AP564" s="51"/>
      <c r="AQ564" s="51">
        <v>1964242775</v>
      </c>
      <c r="AR564" s="51"/>
      <c r="AS564" s="51"/>
      <c r="AT564" s="51">
        <v>4959065076</v>
      </c>
      <c r="AU564" s="51">
        <v>1222559983</v>
      </c>
      <c r="AV564" s="51">
        <v>334286516</v>
      </c>
      <c r="AW564" s="51">
        <v>575326998</v>
      </c>
      <c r="AX564" s="51"/>
      <c r="AY564" s="51"/>
      <c r="AZ564" s="51">
        <v>539718656</v>
      </c>
      <c r="BA564" s="51">
        <f>VLOOKUP(B564,[1]Hoja3!J$3:K$674,2,0)</f>
        <v>3045881574</v>
      </c>
      <c r="BB564" s="51"/>
      <c r="BC564" s="52">
        <f t="shared" si="85"/>
        <v>42777378114</v>
      </c>
      <c r="BD564" s="51"/>
      <c r="BE564" s="51"/>
      <c r="BF564" s="51">
        <v>392848555</v>
      </c>
      <c r="BG564" s="51"/>
      <c r="BH564" s="51"/>
      <c r="BI564" s="51">
        <v>5041457144</v>
      </c>
      <c r="BJ564" s="51">
        <v>344358312</v>
      </c>
      <c r="BK564" s="51">
        <v>333103882</v>
      </c>
      <c r="BL564" s="51">
        <v>870463521</v>
      </c>
      <c r="BM564" s="51"/>
      <c r="BN564" s="51"/>
      <c r="BO564" s="51"/>
      <c r="BP564" s="52">
        <v>49759609528</v>
      </c>
      <c r="BQ564" s="52"/>
      <c r="BR564" s="52"/>
      <c r="BS564" s="52">
        <v>392848555</v>
      </c>
      <c r="BT564" s="52"/>
      <c r="BU564" s="52"/>
      <c r="BV564" s="52"/>
      <c r="BW564" s="52">
        <v>4843403808</v>
      </c>
      <c r="BX564" s="52">
        <v>1786713170</v>
      </c>
      <c r="BY564" s="52">
        <v>2113992193</v>
      </c>
      <c r="BZ564" s="52">
        <v>360428738</v>
      </c>
      <c r="CA564" s="52">
        <v>931221024</v>
      </c>
      <c r="CB564" s="52"/>
      <c r="CC564" s="52"/>
      <c r="CD564" s="52"/>
      <c r="CE564" s="52"/>
      <c r="CF564" s="52"/>
      <c r="CG564" s="52">
        <f t="shared" si="86"/>
        <v>60188217016</v>
      </c>
      <c r="CH564" s="52"/>
      <c r="CI564" s="52"/>
      <c r="CJ564" s="52">
        <v>392848555</v>
      </c>
      <c r="CK564" s="52"/>
      <c r="CL564" s="52">
        <v>4806596144</v>
      </c>
      <c r="CM564" s="52">
        <v>832928790</v>
      </c>
      <c r="CN564" s="52">
        <v>351218463</v>
      </c>
      <c r="CO564" s="52">
        <v>640210641</v>
      </c>
      <c r="CP564" s="52"/>
      <c r="CQ564" s="52"/>
      <c r="CR564" s="52"/>
      <c r="CS564" s="52">
        <f t="shared" si="83"/>
        <v>67212019609</v>
      </c>
      <c r="CT564" s="53">
        <v>63904610910</v>
      </c>
      <c r="CU564" s="53">
        <f t="shared" si="84"/>
        <v>3307408699</v>
      </c>
      <c r="CV564" s="54">
        <f t="shared" si="87"/>
        <v>67212019609</v>
      </c>
      <c r="CW564" s="55">
        <f t="shared" si="88"/>
        <v>0</v>
      </c>
      <c r="CX564" s="16"/>
      <c r="CY564" s="16"/>
      <c r="CZ564" s="16"/>
    </row>
    <row r="565" spans="1:108" ht="15" customHeight="1" x14ac:dyDescent="0.2">
      <c r="A565" s="1">
        <v>8922800576</v>
      </c>
      <c r="B565" s="1">
        <v>892280057</v>
      </c>
      <c r="C565" s="9">
        <v>212970429</v>
      </c>
      <c r="D565" s="10" t="s">
        <v>901</v>
      </c>
      <c r="E565" s="42" t="s">
        <v>1914</v>
      </c>
      <c r="F565" s="21"/>
      <c r="G565" s="50"/>
      <c r="H565" s="21"/>
      <c r="I565" s="50"/>
      <c r="J565" s="21"/>
      <c r="K565" s="21"/>
      <c r="L565" s="50"/>
      <c r="M565" s="51"/>
      <c r="N565" s="21"/>
      <c r="O565" s="50"/>
      <c r="P565" s="21"/>
      <c r="Q565" s="50"/>
      <c r="R565" s="21"/>
      <c r="S565" s="21"/>
      <c r="T565" s="50"/>
      <c r="U565" s="51">
        <f t="shared" si="82"/>
        <v>0</v>
      </c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>
        <f>VLOOKUP(B565,[1]Hoja3!J$3:K$674,2,0)</f>
        <v>789972744</v>
      </c>
      <c r="BB565" s="51"/>
      <c r="BC565" s="52">
        <f t="shared" si="85"/>
        <v>789972744</v>
      </c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>
        <v>0</v>
      </c>
      <c r="BO565" s="51"/>
      <c r="BP565" s="52">
        <v>789972744</v>
      </c>
      <c r="BQ565" s="52"/>
      <c r="BR565" s="52"/>
      <c r="BS565" s="52"/>
      <c r="BT565" s="52"/>
      <c r="BU565" s="52"/>
      <c r="BV565" s="52"/>
      <c r="BW565" s="52"/>
      <c r="BX565" s="52"/>
      <c r="BY565" s="52"/>
      <c r="BZ565" s="52"/>
      <c r="CA565" s="52"/>
      <c r="CB565" s="52"/>
      <c r="CC565" s="52">
        <v>761177711</v>
      </c>
      <c r="CD565" s="52"/>
      <c r="CE565" s="52"/>
      <c r="CF565" s="52"/>
      <c r="CG565" s="52">
        <f t="shared" si="86"/>
        <v>1551150455</v>
      </c>
      <c r="CH565" s="52"/>
      <c r="CI565" s="52"/>
      <c r="CJ565" s="52"/>
      <c r="CK565" s="52"/>
      <c r="CL565" s="52"/>
      <c r="CM565" s="52"/>
      <c r="CN565" s="52"/>
      <c r="CO565" s="52"/>
      <c r="CP565" s="52"/>
      <c r="CQ565" s="52">
        <v>108739673</v>
      </c>
      <c r="CR565" s="52"/>
      <c r="CS565" s="52">
        <f t="shared" si="83"/>
        <v>1659890128</v>
      </c>
      <c r="CT565" s="53">
        <v>869917384</v>
      </c>
      <c r="CU565" s="53">
        <f t="shared" si="84"/>
        <v>789972744</v>
      </c>
      <c r="CV565" s="54">
        <f t="shared" si="87"/>
        <v>1659890128</v>
      </c>
      <c r="CW565" s="55">
        <f t="shared" si="88"/>
        <v>0</v>
      </c>
      <c r="CX565" s="16"/>
      <c r="CY565" s="16"/>
      <c r="CZ565" s="16"/>
    </row>
    <row r="566" spans="1:108" ht="15" customHeight="1" x14ac:dyDescent="0.2">
      <c r="A566" s="1">
        <v>8902052291</v>
      </c>
      <c r="B566" s="1">
        <v>890205229</v>
      </c>
      <c r="C566" s="9">
        <v>213268432</v>
      </c>
      <c r="D566" s="10" t="s">
        <v>856</v>
      </c>
      <c r="E566" s="42" t="s">
        <v>1870</v>
      </c>
      <c r="F566" s="21"/>
      <c r="G566" s="50"/>
      <c r="H566" s="21"/>
      <c r="I566" s="50"/>
      <c r="J566" s="21"/>
      <c r="K566" s="21"/>
      <c r="L566" s="50"/>
      <c r="M566" s="51"/>
      <c r="N566" s="21"/>
      <c r="O566" s="50"/>
      <c r="P566" s="21"/>
      <c r="Q566" s="50"/>
      <c r="R566" s="21"/>
      <c r="S566" s="21"/>
      <c r="T566" s="50"/>
      <c r="U566" s="51">
        <f t="shared" si="82"/>
        <v>0</v>
      </c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>
        <v>348479926</v>
      </c>
      <c r="AN566" s="51">
        <f>SUBTOTAL(9,AC566:AM566)</f>
        <v>348479926</v>
      </c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>
        <v>148558975</v>
      </c>
      <c r="AZ566" s="51"/>
      <c r="BA566" s="51"/>
      <c r="BB566" s="51"/>
      <c r="BC566" s="52">
        <f t="shared" si="85"/>
        <v>497038901</v>
      </c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>
        <v>29711795</v>
      </c>
      <c r="BO566" s="51"/>
      <c r="BP566" s="52">
        <v>526750696</v>
      </c>
      <c r="BQ566" s="52"/>
      <c r="BR566" s="52"/>
      <c r="BS566" s="52"/>
      <c r="BT566" s="52"/>
      <c r="BU566" s="52"/>
      <c r="BV566" s="52"/>
      <c r="BW566" s="52"/>
      <c r="BX566" s="52"/>
      <c r="BY566" s="52"/>
      <c r="BZ566" s="52"/>
      <c r="CA566" s="52"/>
      <c r="CB566" s="52"/>
      <c r="CC566" s="52">
        <v>29711795</v>
      </c>
      <c r="CD566" s="52"/>
      <c r="CE566" s="52"/>
      <c r="CF566" s="52"/>
      <c r="CG566" s="52">
        <f t="shared" si="86"/>
        <v>556462491</v>
      </c>
      <c r="CH566" s="52"/>
      <c r="CI566" s="52"/>
      <c r="CJ566" s="52"/>
      <c r="CK566" s="52"/>
      <c r="CL566" s="52"/>
      <c r="CM566" s="52"/>
      <c r="CN566" s="52"/>
      <c r="CO566" s="52"/>
      <c r="CP566" s="52"/>
      <c r="CQ566" s="52">
        <v>29711795</v>
      </c>
      <c r="CR566" s="52"/>
      <c r="CS566" s="52">
        <f t="shared" si="83"/>
        <v>586174286</v>
      </c>
      <c r="CT566" s="53">
        <v>237694360</v>
      </c>
      <c r="CU566" s="53">
        <f t="shared" si="84"/>
        <v>348479926</v>
      </c>
      <c r="CV566" s="54">
        <f t="shared" si="87"/>
        <v>586174286</v>
      </c>
      <c r="CW566" s="55">
        <f t="shared" si="88"/>
        <v>0</v>
      </c>
      <c r="CX566" s="16"/>
      <c r="CY566" s="16"/>
      <c r="CZ566" s="16"/>
    </row>
    <row r="567" spans="1:108" ht="15" customHeight="1" x14ac:dyDescent="0.2">
      <c r="A567" s="1">
        <v>8901143351</v>
      </c>
      <c r="B567" s="1">
        <v>890114335</v>
      </c>
      <c r="C567" s="9">
        <v>213308433</v>
      </c>
      <c r="D567" s="10" t="s">
        <v>167</v>
      </c>
      <c r="E567" s="43" t="s">
        <v>1195</v>
      </c>
      <c r="F567" s="21"/>
      <c r="G567" s="50"/>
      <c r="H567" s="21"/>
      <c r="I567" s="50">
        <v>1997191500</v>
      </c>
      <c r="J567" s="21">
        <v>137424659</v>
      </c>
      <c r="K567" s="21">
        <v>273453360</v>
      </c>
      <c r="L567" s="50"/>
      <c r="M567" s="52">
        <f>SUM(F567:L567)</f>
        <v>2408069519</v>
      </c>
      <c r="N567" s="21"/>
      <c r="O567" s="50"/>
      <c r="P567" s="21"/>
      <c r="Q567" s="50">
        <f>1825234134+173000000+1486902902</f>
        <v>3485137036</v>
      </c>
      <c r="R567" s="21">
        <v>137769813</v>
      </c>
      <c r="S567" s="21">
        <f>136028701+137769813</f>
        <v>273798514</v>
      </c>
      <c r="T567" s="50"/>
      <c r="U567" s="51">
        <f t="shared" si="82"/>
        <v>6304774882</v>
      </c>
      <c r="V567" s="51"/>
      <c r="W567" s="51"/>
      <c r="X567" s="51"/>
      <c r="Y567" s="51">
        <v>4757019418</v>
      </c>
      <c r="Z567" s="51">
        <v>160111081</v>
      </c>
      <c r="AA567" s="51">
        <v>316168453</v>
      </c>
      <c r="AB567" s="51"/>
      <c r="AC567" s="51">
        <f t="shared" si="90"/>
        <v>11538073834</v>
      </c>
      <c r="AD567" s="51"/>
      <c r="AE567" s="51"/>
      <c r="AF567" s="51"/>
      <c r="AG567" s="51"/>
      <c r="AH567" s="51">
        <v>1966997994</v>
      </c>
      <c r="AI567" s="51">
        <v>428785384</v>
      </c>
      <c r="AJ567" s="51">
        <v>136574172</v>
      </c>
      <c r="AK567" s="51">
        <v>353788347</v>
      </c>
      <c r="AL567" s="51"/>
      <c r="AM567" s="51">
        <v>1052264357</v>
      </c>
      <c r="AN567" s="51">
        <f>SUBTOTAL(9,AC567:AM567)</f>
        <v>15476484088</v>
      </c>
      <c r="AO567" s="51"/>
      <c r="AP567" s="51"/>
      <c r="AQ567" s="51">
        <v>492308305</v>
      </c>
      <c r="AR567" s="51"/>
      <c r="AS567" s="51"/>
      <c r="AT567" s="51">
        <v>1966997994</v>
      </c>
      <c r="AU567" s="51">
        <v>167707361</v>
      </c>
      <c r="AV567" s="51">
        <v>136574172</v>
      </c>
      <c r="AW567" s="51">
        <v>239722817</v>
      </c>
      <c r="AX567" s="51"/>
      <c r="AY567" s="51"/>
      <c r="AZ567" s="51">
        <v>152036280</v>
      </c>
      <c r="BA567" s="51"/>
      <c r="BB567" s="51"/>
      <c r="BC567" s="52">
        <f t="shared" si="85"/>
        <v>18631831017</v>
      </c>
      <c r="BD567" s="51"/>
      <c r="BE567" s="51"/>
      <c r="BF567" s="51">
        <v>98461661</v>
      </c>
      <c r="BG567" s="51"/>
      <c r="BH567" s="51"/>
      <c r="BI567" s="51">
        <v>2006063128</v>
      </c>
      <c r="BJ567" s="51">
        <v>203178508</v>
      </c>
      <c r="BK567" s="51">
        <v>123189347</v>
      </c>
      <c r="BL567" s="51">
        <v>335039645</v>
      </c>
      <c r="BM567" s="51"/>
      <c r="BN567" s="51"/>
      <c r="BO567" s="51"/>
      <c r="BP567" s="52">
        <v>21397763306</v>
      </c>
      <c r="BQ567" s="52"/>
      <c r="BR567" s="52"/>
      <c r="BS567" s="52">
        <v>98461661</v>
      </c>
      <c r="BT567" s="52"/>
      <c r="BU567" s="52"/>
      <c r="BV567" s="65">
        <v>1500000000</v>
      </c>
      <c r="BW567" s="52">
        <v>2036056713</v>
      </c>
      <c r="BX567" s="52"/>
      <c r="BY567" s="52">
        <v>932783584</v>
      </c>
      <c r="BZ567" s="52">
        <v>146770271</v>
      </c>
      <c r="CA567" s="52">
        <v>378599531</v>
      </c>
      <c r="CB567" s="52"/>
      <c r="CC567" s="52"/>
      <c r="CD567" s="52"/>
      <c r="CE567" s="52"/>
      <c r="CF567" s="52"/>
      <c r="CG567" s="52">
        <f t="shared" si="86"/>
        <v>26490435066</v>
      </c>
      <c r="CH567" s="52"/>
      <c r="CI567" s="52"/>
      <c r="CJ567" s="52">
        <v>98461661</v>
      </c>
      <c r="CK567" s="52"/>
      <c r="CL567" s="52">
        <v>2070523325</v>
      </c>
      <c r="CM567" s="52">
        <v>2097404000</v>
      </c>
      <c r="CN567" s="52">
        <v>147922726</v>
      </c>
      <c r="CO567" s="52">
        <v>267621910</v>
      </c>
      <c r="CP567" s="52"/>
      <c r="CQ567" s="52"/>
      <c r="CR567" s="52"/>
      <c r="CS567" s="52">
        <f t="shared" si="83"/>
        <v>31172368688</v>
      </c>
      <c r="CT567" s="53">
        <v>30120104331</v>
      </c>
      <c r="CU567" s="53">
        <f t="shared" si="84"/>
        <v>1052264357</v>
      </c>
      <c r="CV567" s="54">
        <f t="shared" si="87"/>
        <v>31172368688</v>
      </c>
      <c r="CW567" s="55">
        <f t="shared" si="88"/>
        <v>0</v>
      </c>
      <c r="CX567" s="16"/>
      <c r="CY567" s="16"/>
      <c r="CZ567" s="16"/>
    </row>
    <row r="568" spans="1:108" ht="15" customHeight="1" x14ac:dyDescent="0.2">
      <c r="A568" s="1">
        <v>8000991084</v>
      </c>
      <c r="B568" s="1">
        <v>800099108</v>
      </c>
      <c r="C568" s="9">
        <v>213552435</v>
      </c>
      <c r="D568" s="10" t="s">
        <v>726</v>
      </c>
      <c r="E568" s="42" t="s">
        <v>1748</v>
      </c>
      <c r="F568" s="21"/>
      <c r="G568" s="50"/>
      <c r="H568" s="21"/>
      <c r="I568" s="50"/>
      <c r="J568" s="21"/>
      <c r="K568" s="21"/>
      <c r="L568" s="50"/>
      <c r="M568" s="51"/>
      <c r="N568" s="21"/>
      <c r="O568" s="50"/>
      <c r="P568" s="21"/>
      <c r="Q568" s="50"/>
      <c r="R568" s="21"/>
      <c r="S568" s="21"/>
      <c r="T568" s="50"/>
      <c r="U568" s="51">
        <f t="shared" si="82"/>
        <v>0</v>
      </c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>
        <f>VLOOKUP(B568,[1]Hoja3!J$3:K$674,2,0)</f>
        <v>127259237</v>
      </c>
      <c r="BB568" s="51"/>
      <c r="BC568" s="52">
        <f t="shared" si="85"/>
        <v>127259237</v>
      </c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>
        <v>12477261</v>
      </c>
      <c r="BO568" s="51"/>
      <c r="BP568" s="52">
        <v>139736498</v>
      </c>
      <c r="BQ568" s="52"/>
      <c r="BR568" s="52"/>
      <c r="BS568" s="52"/>
      <c r="BT568" s="52"/>
      <c r="BU568" s="52"/>
      <c r="BV568" s="52"/>
      <c r="BW568" s="52"/>
      <c r="BX568" s="52"/>
      <c r="BY568" s="52"/>
      <c r="BZ568" s="52"/>
      <c r="CA568" s="52"/>
      <c r="CB568" s="52"/>
      <c r="CC568" s="52">
        <v>12477261</v>
      </c>
      <c r="CD568" s="52">
        <v>62386305</v>
      </c>
      <c r="CE568" s="52"/>
      <c r="CF568" s="52"/>
      <c r="CG568" s="52">
        <f t="shared" si="86"/>
        <v>214600064</v>
      </c>
      <c r="CH568" s="52"/>
      <c r="CI568" s="52"/>
      <c r="CJ568" s="52"/>
      <c r="CK568" s="52"/>
      <c r="CL568" s="52"/>
      <c r="CM568" s="52"/>
      <c r="CN568" s="52"/>
      <c r="CO568" s="52"/>
      <c r="CP568" s="52"/>
      <c r="CQ568" s="52">
        <v>12477261</v>
      </c>
      <c r="CR568" s="52"/>
      <c r="CS568" s="52">
        <f t="shared" si="83"/>
        <v>227077325</v>
      </c>
      <c r="CT568" s="53">
        <v>99818088</v>
      </c>
      <c r="CU568" s="53">
        <f t="shared" si="84"/>
        <v>127259237</v>
      </c>
      <c r="CV568" s="54">
        <f t="shared" si="87"/>
        <v>227077325</v>
      </c>
      <c r="CW568" s="55">
        <f t="shared" si="88"/>
        <v>0</v>
      </c>
      <c r="CX568" s="16"/>
      <c r="CY568" s="16"/>
      <c r="CZ568" s="16"/>
    </row>
    <row r="569" spans="1:108" ht="15" customHeight="1" x14ac:dyDescent="0.2">
      <c r="A569" s="1">
        <v>8000192184</v>
      </c>
      <c r="B569" s="1">
        <v>800019218</v>
      </c>
      <c r="C569" s="9">
        <v>213608436</v>
      </c>
      <c r="D569" s="10" t="s">
        <v>168</v>
      </c>
      <c r="E569" s="42" t="s">
        <v>1196</v>
      </c>
      <c r="F569" s="21"/>
      <c r="G569" s="50"/>
      <c r="H569" s="21"/>
      <c r="I569" s="50"/>
      <c r="J569" s="21"/>
      <c r="K569" s="21"/>
      <c r="L569" s="50"/>
      <c r="M569" s="51"/>
      <c r="N569" s="21"/>
      <c r="O569" s="50"/>
      <c r="P569" s="21"/>
      <c r="Q569" s="50"/>
      <c r="R569" s="21"/>
      <c r="S569" s="21"/>
      <c r="T569" s="50"/>
      <c r="U569" s="51">
        <f t="shared" si="82"/>
        <v>0</v>
      </c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>
        <v>25960156</v>
      </c>
      <c r="AN569" s="51">
        <f>SUBTOTAL(9,AC569:AM569)</f>
        <v>25960156</v>
      </c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>
        <f>VLOOKUP(B569,[1]Hoja3!J$3:K$674,2,0)</f>
        <v>279141244</v>
      </c>
      <c r="BB569" s="51"/>
      <c r="BC569" s="52">
        <f t="shared" si="85"/>
        <v>305101400</v>
      </c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>
        <v>0</v>
      </c>
      <c r="BO569" s="51"/>
      <c r="BP569" s="52">
        <v>305101400</v>
      </c>
      <c r="BQ569" s="52"/>
      <c r="BR569" s="52"/>
      <c r="BS569" s="52"/>
      <c r="BT569" s="52"/>
      <c r="BU569" s="52"/>
      <c r="BV569" s="52"/>
      <c r="BW569" s="52"/>
      <c r="BX569" s="52"/>
      <c r="BY569" s="52"/>
      <c r="BZ569" s="52"/>
      <c r="CA569" s="52"/>
      <c r="CB569" s="52"/>
      <c r="CC569" s="52">
        <v>0</v>
      </c>
      <c r="CD569" s="52"/>
      <c r="CE569" s="52"/>
      <c r="CF569" s="52"/>
      <c r="CG569" s="52">
        <f t="shared" si="86"/>
        <v>305101400</v>
      </c>
      <c r="CH569" s="52"/>
      <c r="CI569" s="52"/>
      <c r="CJ569" s="52"/>
      <c r="CK569" s="52"/>
      <c r="CL569" s="52"/>
      <c r="CM569" s="52"/>
      <c r="CN569" s="52"/>
      <c r="CO569" s="52"/>
      <c r="CP569" s="52"/>
      <c r="CQ569" s="52">
        <v>0</v>
      </c>
      <c r="CR569" s="52"/>
      <c r="CS569" s="52">
        <f t="shared" si="83"/>
        <v>305101400</v>
      </c>
      <c r="CT569" s="53"/>
      <c r="CU569" s="53">
        <f t="shared" si="84"/>
        <v>305101400</v>
      </c>
      <c r="CV569" s="54">
        <f t="shared" si="87"/>
        <v>305101400</v>
      </c>
      <c r="CW569" s="55">
        <f t="shared" si="88"/>
        <v>0</v>
      </c>
      <c r="CX569" s="16"/>
      <c r="CY569" s="16"/>
      <c r="CZ569" s="16"/>
    </row>
    <row r="570" spans="1:108" ht="15" customHeight="1" x14ac:dyDescent="0.2">
      <c r="A570" s="1">
        <v>8923017615</v>
      </c>
      <c r="B570" s="1">
        <v>892301761</v>
      </c>
      <c r="C570" s="9">
        <v>214320443</v>
      </c>
      <c r="D570" s="10" t="s">
        <v>427</v>
      </c>
      <c r="E570" s="42" t="s">
        <v>1454</v>
      </c>
      <c r="F570" s="21"/>
      <c r="G570" s="50"/>
      <c r="H570" s="21"/>
      <c r="I570" s="50"/>
      <c r="J570" s="21"/>
      <c r="K570" s="21"/>
      <c r="L570" s="50"/>
      <c r="M570" s="51"/>
      <c r="N570" s="21"/>
      <c r="O570" s="50"/>
      <c r="P570" s="21"/>
      <c r="Q570" s="50"/>
      <c r="R570" s="21"/>
      <c r="S570" s="21"/>
      <c r="T570" s="50"/>
      <c r="U570" s="51">
        <f t="shared" si="82"/>
        <v>0</v>
      </c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>
        <v>128954314</v>
      </c>
      <c r="AN570" s="51">
        <f>SUBTOTAL(9,AC570:AM570)</f>
        <v>128954314</v>
      </c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>
        <v>105873920</v>
      </c>
      <c r="AZ570" s="51"/>
      <c r="BA570" s="51">
        <f>VLOOKUP(B570,[1]Hoja3!J$3:K$674,2,0)</f>
        <v>81151667</v>
      </c>
      <c r="BB570" s="51"/>
      <c r="BC570" s="52">
        <f t="shared" si="85"/>
        <v>315979901</v>
      </c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>
        <v>21174784</v>
      </c>
      <c r="BO570" s="51"/>
      <c r="BP570" s="52">
        <v>337154685</v>
      </c>
      <c r="BQ570" s="52"/>
      <c r="BR570" s="52"/>
      <c r="BS570" s="52"/>
      <c r="BT570" s="52"/>
      <c r="BU570" s="52"/>
      <c r="BV570" s="52"/>
      <c r="BW570" s="52"/>
      <c r="BX570" s="52"/>
      <c r="BY570" s="52"/>
      <c r="BZ570" s="52"/>
      <c r="CA570" s="52"/>
      <c r="CB570" s="52"/>
      <c r="CC570" s="52">
        <v>21174784</v>
      </c>
      <c r="CD570" s="52"/>
      <c r="CE570" s="52"/>
      <c r="CF570" s="52"/>
      <c r="CG570" s="52">
        <f t="shared" si="86"/>
        <v>358329469</v>
      </c>
      <c r="CH570" s="52"/>
      <c r="CI570" s="52"/>
      <c r="CJ570" s="52"/>
      <c r="CK570" s="52"/>
      <c r="CL570" s="52"/>
      <c r="CM570" s="52"/>
      <c r="CN570" s="52"/>
      <c r="CO570" s="52"/>
      <c r="CP570" s="52"/>
      <c r="CQ570" s="52">
        <v>21174784</v>
      </c>
      <c r="CR570" s="52"/>
      <c r="CS570" s="52">
        <f t="shared" si="83"/>
        <v>379504253</v>
      </c>
      <c r="CT570" s="53">
        <v>169398272</v>
      </c>
      <c r="CU570" s="53">
        <f t="shared" si="84"/>
        <v>210105981</v>
      </c>
      <c r="CV570" s="54">
        <f t="shared" si="87"/>
        <v>379504253</v>
      </c>
      <c r="CW570" s="55">
        <f t="shared" si="88"/>
        <v>0</v>
      </c>
      <c r="CX570" s="16"/>
      <c r="CY570" s="16"/>
      <c r="CZ570" s="16"/>
    </row>
    <row r="571" spans="1:108" ht="15" customHeight="1" x14ac:dyDescent="0.2">
      <c r="A571" s="1">
        <v>8921150248</v>
      </c>
      <c r="B571" s="1">
        <v>892115024</v>
      </c>
      <c r="C571" s="9">
        <v>216044560</v>
      </c>
      <c r="D571" s="10" t="s">
        <v>637</v>
      </c>
      <c r="E571" s="42" t="s">
        <v>1655</v>
      </c>
      <c r="F571" s="21"/>
      <c r="G571" s="50"/>
      <c r="H571" s="21"/>
      <c r="I571" s="50"/>
      <c r="J571" s="21"/>
      <c r="K571" s="21"/>
      <c r="L571" s="50"/>
      <c r="M571" s="51"/>
      <c r="N571" s="21"/>
      <c r="O571" s="50"/>
      <c r="P571" s="21"/>
      <c r="Q571" s="50"/>
      <c r="R571" s="21"/>
      <c r="S571" s="21"/>
      <c r="T571" s="50"/>
      <c r="U571" s="51">
        <f t="shared" si="82"/>
        <v>0</v>
      </c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>
        <v>1595958135</v>
      </c>
      <c r="AZ571" s="51"/>
      <c r="BA571" s="51">
        <f>VLOOKUP(B571,[1]Hoja3!J$3:K$674,2,0)</f>
        <v>178052087</v>
      </c>
      <c r="BB571" s="51"/>
      <c r="BC571" s="52">
        <f t="shared" si="85"/>
        <v>1774010222</v>
      </c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>
        <v>319191627</v>
      </c>
      <c r="BO571" s="51"/>
      <c r="BP571" s="52">
        <v>2093201849</v>
      </c>
      <c r="BQ571" s="52"/>
      <c r="BR571" s="52"/>
      <c r="BS571" s="52"/>
      <c r="BT571" s="52"/>
      <c r="BU571" s="52"/>
      <c r="BV571" s="52"/>
      <c r="BW571" s="52"/>
      <c r="BX571" s="52"/>
      <c r="BY571" s="52"/>
      <c r="BZ571" s="52"/>
      <c r="CA571" s="52"/>
      <c r="CB571" s="52"/>
      <c r="CC571" s="52">
        <v>319191627</v>
      </c>
      <c r="CD571" s="52"/>
      <c r="CE571" s="52">
        <v>1236482552</v>
      </c>
      <c r="CF571" s="52"/>
      <c r="CG571" s="52">
        <f t="shared" si="86"/>
        <v>3648876028</v>
      </c>
      <c r="CH571" s="52"/>
      <c r="CI571" s="52"/>
      <c r="CJ571" s="52"/>
      <c r="CK571" s="52"/>
      <c r="CL571" s="52"/>
      <c r="CM571" s="52"/>
      <c r="CN571" s="52"/>
      <c r="CO571" s="52"/>
      <c r="CP571" s="52"/>
      <c r="CQ571" s="52">
        <v>319191627</v>
      </c>
      <c r="CR571" s="52">
        <v>614922424</v>
      </c>
      <c r="CS571" s="52">
        <f t="shared" si="83"/>
        <v>4582990079</v>
      </c>
      <c r="CT571" s="53">
        <v>2553533016</v>
      </c>
      <c r="CU571" s="53">
        <f t="shared" si="84"/>
        <v>2029457063</v>
      </c>
      <c r="CV571" s="54">
        <f t="shared" si="87"/>
        <v>4582990079</v>
      </c>
      <c r="CW571" s="55">
        <f t="shared" si="88"/>
        <v>0</v>
      </c>
      <c r="CX571" s="16"/>
      <c r="CY571" s="8"/>
      <c r="CZ571" s="8"/>
      <c r="DA571" s="8"/>
      <c r="DB571" s="8"/>
      <c r="DC571" s="8"/>
      <c r="DD571" s="8"/>
    </row>
    <row r="572" spans="1:108" ht="15" customHeight="1" x14ac:dyDescent="0.2">
      <c r="A572" s="1">
        <v>8000084563</v>
      </c>
      <c r="B572" s="1">
        <v>800008456</v>
      </c>
      <c r="C572" s="9">
        <v>213985139</v>
      </c>
      <c r="D572" s="10" t="s">
        <v>960</v>
      </c>
      <c r="E572" s="42" t="s">
        <v>2020</v>
      </c>
      <c r="F572" s="21"/>
      <c r="G572" s="50"/>
      <c r="H572" s="21"/>
      <c r="I572" s="50"/>
      <c r="J572" s="21"/>
      <c r="K572" s="21"/>
      <c r="L572" s="50"/>
      <c r="M572" s="51"/>
      <c r="N572" s="21"/>
      <c r="O572" s="50"/>
      <c r="P572" s="21"/>
      <c r="Q572" s="50"/>
      <c r="R572" s="21"/>
      <c r="S572" s="21"/>
      <c r="T572" s="50"/>
      <c r="U572" s="51">
        <f t="shared" si="82"/>
        <v>0</v>
      </c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>
        <v>205953585</v>
      </c>
      <c r="AN572" s="51">
        <f t="shared" ref="AN572:AN592" si="91">SUBTOTAL(9,AC572:AM572)</f>
        <v>205953585</v>
      </c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>
        <v>92371615</v>
      </c>
      <c r="AZ572" s="51"/>
      <c r="BA572" s="51">
        <f>VLOOKUP(B572,[1]Hoja3!J$3:K$674,2,0)</f>
        <v>27116767</v>
      </c>
      <c r="BB572" s="51"/>
      <c r="BC572" s="52">
        <f t="shared" si="85"/>
        <v>325441967</v>
      </c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>
        <v>18474323</v>
      </c>
      <c r="BO572" s="51"/>
      <c r="BP572" s="52">
        <v>343916290</v>
      </c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>
        <v>18474323</v>
      </c>
      <c r="CD572" s="52"/>
      <c r="CE572" s="52"/>
      <c r="CF572" s="52"/>
      <c r="CG572" s="52">
        <f t="shared" si="86"/>
        <v>362390613</v>
      </c>
      <c r="CH572" s="52"/>
      <c r="CI572" s="52"/>
      <c r="CJ572" s="52"/>
      <c r="CK572" s="52"/>
      <c r="CL572" s="52"/>
      <c r="CM572" s="52"/>
      <c r="CN572" s="52"/>
      <c r="CO572" s="52"/>
      <c r="CP572" s="52"/>
      <c r="CQ572" s="52">
        <v>18474323</v>
      </c>
      <c r="CR572" s="52"/>
      <c r="CS572" s="52">
        <f t="shared" si="83"/>
        <v>380864936</v>
      </c>
      <c r="CT572" s="53">
        <v>147794584</v>
      </c>
      <c r="CU572" s="53">
        <f t="shared" si="84"/>
        <v>233070352</v>
      </c>
      <c r="CV572" s="54">
        <f t="shared" si="87"/>
        <v>380864936</v>
      </c>
      <c r="CW572" s="55">
        <f t="shared" si="88"/>
        <v>0</v>
      </c>
      <c r="CX572" s="16"/>
      <c r="CY572" s="16"/>
      <c r="CZ572" s="16"/>
    </row>
    <row r="573" spans="1:108" ht="15" customHeight="1" x14ac:dyDescent="0.2">
      <c r="A573" s="1">
        <v>8908010537</v>
      </c>
      <c r="B573" s="1">
        <v>890801053</v>
      </c>
      <c r="C573" s="9">
        <v>210117001</v>
      </c>
      <c r="D573" s="10" t="s">
        <v>2175</v>
      </c>
      <c r="E573" s="43" t="s">
        <v>1046</v>
      </c>
      <c r="F573" s="21"/>
      <c r="G573" s="50"/>
      <c r="H573" s="21"/>
      <c r="I573" s="50">
        <f>8854922806+581717664</f>
        <v>9436640470</v>
      </c>
      <c r="J573" s="21">
        <v>591030403</v>
      </c>
      <c r="K573" s="21">
        <v>1175500564</v>
      </c>
      <c r="L573" s="50"/>
      <c r="M573" s="52">
        <f>SUM(F573:L573)</f>
        <v>11203171437</v>
      </c>
      <c r="N573" s="21"/>
      <c r="O573" s="50"/>
      <c r="P573" s="21"/>
      <c r="Q573" s="50">
        <f>8442267091+264417120</f>
        <v>8706684211</v>
      </c>
      <c r="R573" s="21">
        <v>591030403</v>
      </c>
      <c r="S573" s="21">
        <f>584470161+591030403</f>
        <v>1175500564</v>
      </c>
      <c r="T573" s="50"/>
      <c r="U573" s="51">
        <f t="shared" si="82"/>
        <v>21676386615</v>
      </c>
      <c r="V573" s="51"/>
      <c r="W573" s="51"/>
      <c r="X573" s="51"/>
      <c r="Y573" s="51">
        <v>11703310196</v>
      </c>
      <c r="Z573" s="51">
        <v>566614985</v>
      </c>
      <c r="AA573" s="51">
        <v>1313393489</v>
      </c>
      <c r="AB573" s="51"/>
      <c r="AC573" s="51">
        <f t="shared" si="90"/>
        <v>35259705285</v>
      </c>
      <c r="AD573" s="51"/>
      <c r="AE573" s="51"/>
      <c r="AF573" s="51"/>
      <c r="AG573" s="51"/>
      <c r="AH573" s="51">
        <v>8375723877</v>
      </c>
      <c r="AI573" s="51">
        <v>2069497966</v>
      </c>
      <c r="AJ573" s="51">
        <v>604754298</v>
      </c>
      <c r="AK573" s="51">
        <v>1523658643</v>
      </c>
      <c r="AL573" s="51"/>
      <c r="AM573" s="51">
        <v>3247620774</v>
      </c>
      <c r="AN573" s="51">
        <f t="shared" si="91"/>
        <v>51080960843</v>
      </c>
      <c r="AO573" s="51"/>
      <c r="AP573" s="51"/>
      <c r="AQ573" s="51">
        <v>1337192500</v>
      </c>
      <c r="AR573" s="51"/>
      <c r="AS573" s="51"/>
      <c r="AT573" s="51">
        <v>8375723877</v>
      </c>
      <c r="AU573" s="51"/>
      <c r="AV573" s="51">
        <v>604754298</v>
      </c>
      <c r="AW573" s="51">
        <v>1031898297</v>
      </c>
      <c r="AX573" s="51"/>
      <c r="AY573" s="51"/>
      <c r="AZ573" s="51"/>
      <c r="BA573" s="51"/>
      <c r="BB573" s="51"/>
      <c r="BC573" s="52">
        <f t="shared" si="85"/>
        <v>62430529815</v>
      </c>
      <c r="BD573" s="51"/>
      <c r="BE573" s="51"/>
      <c r="BF573" s="51">
        <v>267438500</v>
      </c>
      <c r="BG573" s="51"/>
      <c r="BH573" s="51"/>
      <c r="BI573" s="51">
        <v>8481552663</v>
      </c>
      <c r="BJ573" s="51">
        <v>392168312</v>
      </c>
      <c r="BK573" s="51">
        <v>509017827</v>
      </c>
      <c r="BL573" s="51">
        <v>1102026575</v>
      </c>
      <c r="BM573" s="51"/>
      <c r="BN573" s="51"/>
      <c r="BO573" s="51"/>
      <c r="BP573" s="52">
        <v>73182733692</v>
      </c>
      <c r="BQ573" s="52"/>
      <c r="BR573" s="52"/>
      <c r="BS573" s="52">
        <v>267438500</v>
      </c>
      <c r="BT573" s="52"/>
      <c r="BU573" s="52"/>
      <c r="BV573" s="52"/>
      <c r="BW573" s="52">
        <v>8450479267</v>
      </c>
      <c r="BX573" s="52"/>
      <c r="BY573" s="52">
        <v>3745677300</v>
      </c>
      <c r="BZ573" s="52">
        <v>595512270</v>
      </c>
      <c r="CA573" s="52">
        <v>1553557383</v>
      </c>
      <c r="CB573" s="52"/>
      <c r="CC573" s="52"/>
      <c r="CD573" s="52"/>
      <c r="CE573" s="52"/>
      <c r="CF573" s="52"/>
      <c r="CG573" s="52">
        <f t="shared" si="86"/>
        <v>87795398412</v>
      </c>
      <c r="CH573" s="52"/>
      <c r="CI573" s="52"/>
      <c r="CJ573" s="52">
        <v>267438500</v>
      </c>
      <c r="CK573" s="52"/>
      <c r="CL573" s="52">
        <v>8588171124</v>
      </c>
      <c r="CM573" s="52">
        <v>453601034</v>
      </c>
      <c r="CN573" s="52">
        <v>600579761</v>
      </c>
      <c r="CO573" s="52">
        <v>1085823467</v>
      </c>
      <c r="CP573" s="52"/>
      <c r="CQ573" s="52"/>
      <c r="CR573" s="52"/>
      <c r="CS573" s="52">
        <f t="shared" si="83"/>
        <v>98791012298</v>
      </c>
      <c r="CT573" s="53">
        <v>95543391524</v>
      </c>
      <c r="CU573" s="53">
        <f t="shared" si="84"/>
        <v>3247620774</v>
      </c>
      <c r="CV573" s="54">
        <f t="shared" si="87"/>
        <v>98791012298</v>
      </c>
      <c r="CW573" s="55">
        <f t="shared" si="88"/>
        <v>0</v>
      </c>
      <c r="CX573" s="16"/>
      <c r="CY573" s="16"/>
      <c r="CZ573" s="16"/>
    </row>
    <row r="574" spans="1:108" ht="15" customHeight="1" x14ac:dyDescent="0.2">
      <c r="A574" s="1">
        <v>8000947113</v>
      </c>
      <c r="B574" s="1">
        <v>800094711</v>
      </c>
      <c r="C574" s="9">
        <v>213625436</v>
      </c>
      <c r="D574" s="10" t="s">
        <v>512</v>
      </c>
      <c r="E574" s="42" t="s">
        <v>1537</v>
      </c>
      <c r="F574" s="21"/>
      <c r="G574" s="50"/>
      <c r="H574" s="21"/>
      <c r="I574" s="50"/>
      <c r="J574" s="21"/>
      <c r="K574" s="21"/>
      <c r="L574" s="50"/>
      <c r="M574" s="51"/>
      <c r="N574" s="21"/>
      <c r="O574" s="50"/>
      <c r="P574" s="21"/>
      <c r="Q574" s="50"/>
      <c r="R574" s="21"/>
      <c r="S574" s="21"/>
      <c r="T574" s="50"/>
      <c r="U574" s="51">
        <f t="shared" si="82"/>
        <v>0</v>
      </c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>
        <v>47234207</v>
      </c>
      <c r="AN574" s="51">
        <f t="shared" si="91"/>
        <v>47234207</v>
      </c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>
        <v>26860705</v>
      </c>
      <c r="AZ574" s="51"/>
      <c r="BA574" s="51"/>
      <c r="BB574" s="51"/>
      <c r="BC574" s="52">
        <f t="shared" si="85"/>
        <v>74094912</v>
      </c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>
        <v>5372141</v>
      </c>
      <c r="BO574" s="51"/>
      <c r="BP574" s="52">
        <v>79467053</v>
      </c>
      <c r="BQ574" s="52"/>
      <c r="BR574" s="52"/>
      <c r="BS574" s="52"/>
      <c r="BT574" s="52"/>
      <c r="BU574" s="52"/>
      <c r="BV574" s="52"/>
      <c r="BW574" s="52"/>
      <c r="BX574" s="52"/>
      <c r="BY574" s="52"/>
      <c r="BZ574" s="52"/>
      <c r="CA574" s="52"/>
      <c r="CB574" s="52"/>
      <c r="CC574" s="52">
        <v>5372141</v>
      </c>
      <c r="CD574" s="52"/>
      <c r="CE574" s="52"/>
      <c r="CF574" s="52"/>
      <c r="CG574" s="52">
        <f t="shared" si="86"/>
        <v>84839194</v>
      </c>
      <c r="CH574" s="52"/>
      <c r="CI574" s="52"/>
      <c r="CJ574" s="52"/>
      <c r="CK574" s="52"/>
      <c r="CL574" s="52"/>
      <c r="CM574" s="52"/>
      <c r="CN574" s="52"/>
      <c r="CO574" s="52"/>
      <c r="CP574" s="52"/>
      <c r="CQ574" s="52">
        <v>5372141</v>
      </c>
      <c r="CR574" s="52"/>
      <c r="CS574" s="52">
        <f t="shared" si="83"/>
        <v>90211335</v>
      </c>
      <c r="CT574" s="53">
        <v>42977128</v>
      </c>
      <c r="CU574" s="53">
        <f t="shared" si="84"/>
        <v>47234207</v>
      </c>
      <c r="CV574" s="54">
        <f t="shared" si="87"/>
        <v>90211335</v>
      </c>
      <c r="CW574" s="55">
        <f t="shared" si="88"/>
        <v>0</v>
      </c>
      <c r="CX574" s="16"/>
      <c r="CY574" s="16"/>
      <c r="CZ574" s="16"/>
    </row>
    <row r="575" spans="1:108" ht="15" customHeight="1" x14ac:dyDescent="0.2">
      <c r="A575" s="1">
        <v>8908025059</v>
      </c>
      <c r="B575" s="1">
        <v>890802505</v>
      </c>
      <c r="C575" s="9">
        <v>213317433</v>
      </c>
      <c r="D575" s="10" t="s">
        <v>344</v>
      </c>
      <c r="E575" s="42" t="s">
        <v>1374</v>
      </c>
      <c r="F575" s="21"/>
      <c r="G575" s="50"/>
      <c r="H575" s="21"/>
      <c r="I575" s="50"/>
      <c r="J575" s="21"/>
      <c r="K575" s="21"/>
      <c r="L575" s="50"/>
      <c r="M575" s="51"/>
      <c r="N575" s="21"/>
      <c r="O575" s="50"/>
      <c r="P575" s="21"/>
      <c r="Q575" s="50"/>
      <c r="R575" s="21"/>
      <c r="S575" s="21"/>
      <c r="T575" s="50"/>
      <c r="U575" s="51">
        <f t="shared" si="82"/>
        <v>0</v>
      </c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>
        <v>249610082</v>
      </c>
      <c r="AN575" s="51">
        <f t="shared" si="91"/>
        <v>249610082</v>
      </c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>
        <v>124887705</v>
      </c>
      <c r="AZ575" s="51"/>
      <c r="BA575" s="51"/>
      <c r="BB575" s="51"/>
      <c r="BC575" s="52">
        <f t="shared" si="85"/>
        <v>374497787</v>
      </c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>
        <v>24977541</v>
      </c>
      <c r="BO575" s="51"/>
      <c r="BP575" s="52">
        <v>399475328</v>
      </c>
      <c r="BQ575" s="52"/>
      <c r="BR575" s="52"/>
      <c r="BS575" s="52"/>
      <c r="BT575" s="52"/>
      <c r="BU575" s="52"/>
      <c r="BV575" s="52"/>
      <c r="BW575" s="52"/>
      <c r="BX575" s="52"/>
      <c r="BY575" s="52"/>
      <c r="BZ575" s="52"/>
      <c r="CA575" s="52"/>
      <c r="CB575" s="52"/>
      <c r="CC575" s="52">
        <v>24977541</v>
      </c>
      <c r="CD575" s="52"/>
      <c r="CE575" s="52"/>
      <c r="CF575" s="52"/>
      <c r="CG575" s="52">
        <f t="shared" si="86"/>
        <v>424452869</v>
      </c>
      <c r="CH575" s="52"/>
      <c r="CI575" s="52"/>
      <c r="CJ575" s="52"/>
      <c r="CK575" s="52"/>
      <c r="CL575" s="52"/>
      <c r="CM575" s="52"/>
      <c r="CN575" s="52"/>
      <c r="CO575" s="52"/>
      <c r="CP575" s="52"/>
      <c r="CQ575" s="52">
        <v>24977541</v>
      </c>
      <c r="CR575" s="52"/>
      <c r="CS575" s="52">
        <f t="shared" si="83"/>
        <v>449430410</v>
      </c>
      <c r="CT575" s="53">
        <v>199820328</v>
      </c>
      <c r="CU575" s="53">
        <f t="shared" si="84"/>
        <v>249610082</v>
      </c>
      <c r="CV575" s="54">
        <f t="shared" si="87"/>
        <v>449430410</v>
      </c>
      <c r="CW575" s="55">
        <f t="shared" si="88"/>
        <v>0</v>
      </c>
      <c r="CX575" s="16"/>
      <c r="CY575" s="16"/>
      <c r="CZ575" s="16"/>
    </row>
    <row r="576" spans="1:108" ht="15" customHeight="1" x14ac:dyDescent="0.2">
      <c r="A576" s="1">
        <v>8001364586</v>
      </c>
      <c r="B576" s="1">
        <v>800136458</v>
      </c>
      <c r="C576" s="9">
        <v>212550325</v>
      </c>
      <c r="D576" s="10" t="s">
        <v>677</v>
      </c>
      <c r="E576" s="42" t="s">
        <v>1698</v>
      </c>
      <c r="F576" s="21"/>
      <c r="G576" s="50"/>
      <c r="H576" s="21"/>
      <c r="I576" s="50"/>
      <c r="J576" s="21"/>
      <c r="K576" s="21"/>
      <c r="L576" s="50"/>
      <c r="M576" s="51"/>
      <c r="N576" s="21"/>
      <c r="O576" s="50"/>
      <c r="P576" s="21"/>
      <c r="Q576" s="50"/>
      <c r="R576" s="21"/>
      <c r="S576" s="21"/>
      <c r="T576" s="50"/>
      <c r="U576" s="51">
        <f t="shared" si="82"/>
        <v>0</v>
      </c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>
        <v>71410449</v>
      </c>
      <c r="AN576" s="51">
        <f t="shared" si="91"/>
        <v>71410449</v>
      </c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2">
        <f t="shared" si="85"/>
        <v>71410449</v>
      </c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>
        <v>0</v>
      </c>
      <c r="BO576" s="51"/>
      <c r="BP576" s="52">
        <v>71410449</v>
      </c>
      <c r="BQ576" s="52"/>
      <c r="BR576" s="52"/>
      <c r="BS576" s="52"/>
      <c r="BT576" s="52"/>
      <c r="BU576" s="52"/>
      <c r="BV576" s="52"/>
      <c r="BW576" s="52"/>
      <c r="BX576" s="52"/>
      <c r="BY576" s="52"/>
      <c r="BZ576" s="52"/>
      <c r="CA576" s="52"/>
      <c r="CB576" s="52"/>
      <c r="CC576" s="52">
        <v>0</v>
      </c>
      <c r="CD576" s="52"/>
      <c r="CE576" s="52"/>
      <c r="CF576" s="52"/>
      <c r="CG576" s="52">
        <f t="shared" si="86"/>
        <v>71410449</v>
      </c>
      <c r="CH576" s="52"/>
      <c r="CI576" s="52"/>
      <c r="CJ576" s="52"/>
      <c r="CK576" s="52"/>
      <c r="CL576" s="52"/>
      <c r="CM576" s="52"/>
      <c r="CN576" s="52"/>
      <c r="CO576" s="52"/>
      <c r="CP576" s="52"/>
      <c r="CQ576" s="52">
        <v>0</v>
      </c>
      <c r="CR576" s="52"/>
      <c r="CS576" s="52">
        <f t="shared" si="83"/>
        <v>71410449</v>
      </c>
      <c r="CT576" s="53"/>
      <c r="CU576" s="53">
        <f t="shared" si="84"/>
        <v>71410449</v>
      </c>
      <c r="CV576" s="54">
        <f t="shared" si="87"/>
        <v>71410449</v>
      </c>
      <c r="CW576" s="55">
        <f t="shared" si="88"/>
        <v>0</v>
      </c>
      <c r="CX576" s="16"/>
      <c r="CY576" s="16"/>
      <c r="CZ576" s="16"/>
    </row>
    <row r="577" spans="1:108" ht="15" customHeight="1" x14ac:dyDescent="0.2">
      <c r="A577" s="1">
        <v>8000955111</v>
      </c>
      <c r="B577" s="1">
        <v>800095511</v>
      </c>
      <c r="C577" s="9">
        <v>214013440</v>
      </c>
      <c r="D577" s="10" t="s">
        <v>195</v>
      </c>
      <c r="E577" s="42" t="s">
        <v>1226</v>
      </c>
      <c r="F577" s="21"/>
      <c r="G577" s="50"/>
      <c r="H577" s="21"/>
      <c r="I577" s="50"/>
      <c r="J577" s="21"/>
      <c r="K577" s="21"/>
      <c r="L577" s="50"/>
      <c r="M577" s="51"/>
      <c r="N577" s="21"/>
      <c r="O577" s="50"/>
      <c r="P577" s="21"/>
      <c r="Q577" s="50"/>
      <c r="R577" s="21"/>
      <c r="S577" s="21"/>
      <c r="T577" s="50"/>
      <c r="U577" s="51">
        <f t="shared" si="82"/>
        <v>0</v>
      </c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>
        <v>193007181</v>
      </c>
      <c r="AN577" s="51">
        <f t="shared" si="91"/>
        <v>193007181</v>
      </c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2">
        <f t="shared" si="85"/>
        <v>193007181</v>
      </c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>
        <v>0</v>
      </c>
      <c r="BO577" s="51"/>
      <c r="BP577" s="52">
        <v>193007181</v>
      </c>
      <c r="BQ577" s="52"/>
      <c r="BR577" s="52"/>
      <c r="BS577" s="52"/>
      <c r="BT577" s="52"/>
      <c r="BU577" s="52"/>
      <c r="BV577" s="52"/>
      <c r="BW577" s="52"/>
      <c r="BX577" s="52"/>
      <c r="BY577" s="52"/>
      <c r="BZ577" s="52"/>
      <c r="CA577" s="52"/>
      <c r="CB577" s="52"/>
      <c r="CC577" s="52">
        <v>172208729</v>
      </c>
      <c r="CD577" s="52"/>
      <c r="CE577" s="52"/>
      <c r="CF577" s="52"/>
      <c r="CG577" s="52">
        <f t="shared" si="86"/>
        <v>365215910</v>
      </c>
      <c r="CH577" s="52"/>
      <c r="CI577" s="52"/>
      <c r="CJ577" s="52"/>
      <c r="CK577" s="52"/>
      <c r="CL577" s="52"/>
      <c r="CM577" s="52"/>
      <c r="CN577" s="52"/>
      <c r="CO577" s="52"/>
      <c r="CP577" s="52"/>
      <c r="CQ577" s="52">
        <v>24601247</v>
      </c>
      <c r="CR577" s="52"/>
      <c r="CS577" s="52">
        <f t="shared" si="83"/>
        <v>389817157</v>
      </c>
      <c r="CT577" s="53">
        <v>196809976</v>
      </c>
      <c r="CU577" s="53">
        <f t="shared" si="84"/>
        <v>193007181</v>
      </c>
      <c r="CV577" s="54">
        <f t="shared" si="87"/>
        <v>389817157</v>
      </c>
      <c r="CW577" s="55">
        <f t="shared" si="88"/>
        <v>0</v>
      </c>
      <c r="CX577" s="16"/>
      <c r="CY577" s="8"/>
      <c r="CZ577" s="8"/>
      <c r="DA577" s="8"/>
      <c r="DB577" s="8"/>
      <c r="DC577" s="8"/>
      <c r="DD577" s="8"/>
    </row>
    <row r="578" spans="1:108" ht="15" customHeight="1" x14ac:dyDescent="0.2">
      <c r="A578" s="1">
        <v>8000954668</v>
      </c>
      <c r="B578" s="1">
        <v>800095466</v>
      </c>
      <c r="C578" s="9">
        <v>214213442</v>
      </c>
      <c r="D578" s="10" t="s">
        <v>196</v>
      </c>
      <c r="E578" s="42" t="s">
        <v>1227</v>
      </c>
      <c r="F578" s="21"/>
      <c r="G578" s="50"/>
      <c r="H578" s="21"/>
      <c r="I578" s="50"/>
      <c r="J578" s="21"/>
      <c r="K578" s="21"/>
      <c r="L578" s="50"/>
      <c r="M578" s="51"/>
      <c r="N578" s="21"/>
      <c r="O578" s="50"/>
      <c r="P578" s="21"/>
      <c r="Q578" s="50"/>
      <c r="R578" s="21"/>
      <c r="S578" s="21"/>
      <c r="T578" s="50"/>
      <c r="U578" s="51">
        <f t="shared" si="82"/>
        <v>0</v>
      </c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>
        <v>129763423</v>
      </c>
      <c r="AN578" s="51">
        <f t="shared" si="91"/>
        <v>129763423</v>
      </c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>
        <f>VLOOKUP(B578,[1]Hoja3!J$3:K$674,2,0)</f>
        <v>839982284</v>
      </c>
      <c r="BB578" s="51"/>
      <c r="BC578" s="52">
        <f t="shared" si="85"/>
        <v>969745707</v>
      </c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>
        <v>0</v>
      </c>
      <c r="BO578" s="51"/>
      <c r="BP578" s="52">
        <v>969745707</v>
      </c>
      <c r="BQ578" s="52"/>
      <c r="BR578" s="52"/>
      <c r="BS578" s="52"/>
      <c r="BT578" s="52"/>
      <c r="BU578" s="52"/>
      <c r="BV578" s="52"/>
      <c r="BW578" s="52"/>
      <c r="BX578" s="52"/>
      <c r="BY578" s="52"/>
      <c r="BZ578" s="52"/>
      <c r="CA578" s="52"/>
      <c r="CB578" s="52"/>
      <c r="CC578" s="52">
        <v>723534028</v>
      </c>
      <c r="CD578" s="52"/>
      <c r="CE578" s="52"/>
      <c r="CF578" s="52"/>
      <c r="CG578" s="52">
        <f t="shared" si="86"/>
        <v>1693279735</v>
      </c>
      <c r="CH578" s="52"/>
      <c r="CI578" s="52"/>
      <c r="CJ578" s="52"/>
      <c r="CK578" s="52"/>
      <c r="CL578" s="52"/>
      <c r="CM578" s="52"/>
      <c r="CN578" s="52"/>
      <c r="CO578" s="52"/>
      <c r="CP578" s="52"/>
      <c r="CQ578" s="52">
        <v>103362004</v>
      </c>
      <c r="CR578" s="52"/>
      <c r="CS578" s="52">
        <f t="shared" si="83"/>
        <v>1796641739</v>
      </c>
      <c r="CT578" s="53">
        <v>826896032</v>
      </c>
      <c r="CU578" s="53">
        <f t="shared" si="84"/>
        <v>969745707</v>
      </c>
      <c r="CV578" s="54">
        <f t="shared" si="87"/>
        <v>1796641739</v>
      </c>
      <c r="CW578" s="55">
        <f t="shared" si="88"/>
        <v>0</v>
      </c>
      <c r="CX578" s="16"/>
      <c r="CY578" s="8"/>
      <c r="CZ578" s="8"/>
      <c r="DA578" s="8"/>
      <c r="DB578" s="8"/>
      <c r="DC578" s="8"/>
      <c r="DD578" s="8"/>
    </row>
    <row r="579" spans="1:108" ht="15" customHeight="1" x14ac:dyDescent="0.2">
      <c r="A579" s="1">
        <v>8909837161</v>
      </c>
      <c r="B579" s="1">
        <v>890983716</v>
      </c>
      <c r="C579" s="9">
        <v>214005440</v>
      </c>
      <c r="D579" s="10" t="s">
        <v>107</v>
      </c>
      <c r="E579" s="42" t="s">
        <v>1138</v>
      </c>
      <c r="F579" s="21"/>
      <c r="G579" s="50"/>
      <c r="H579" s="21"/>
      <c r="I579" s="50"/>
      <c r="J579" s="21"/>
      <c r="K579" s="21"/>
      <c r="L579" s="50"/>
      <c r="M579" s="51"/>
      <c r="N579" s="21"/>
      <c r="O579" s="50"/>
      <c r="P579" s="21"/>
      <c r="Q579" s="50"/>
      <c r="R579" s="21"/>
      <c r="S579" s="21"/>
      <c r="T579" s="50"/>
      <c r="U579" s="51">
        <f t="shared" ref="U579:U642" si="92">SUM(M579:T579)</f>
        <v>0</v>
      </c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>
        <v>453616591</v>
      </c>
      <c r="AN579" s="51">
        <f t="shared" si="91"/>
        <v>453616591</v>
      </c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>
        <v>292874615</v>
      </c>
      <c r="AZ579" s="51"/>
      <c r="BA579" s="51">
        <f>VLOOKUP(B579,[1]Hoja3!J$3:K$674,2,0)</f>
        <v>261253989</v>
      </c>
      <c r="BB579" s="51"/>
      <c r="BC579" s="52">
        <f t="shared" si="85"/>
        <v>1007745195</v>
      </c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>
        <v>58574923</v>
      </c>
      <c r="BO579" s="51"/>
      <c r="BP579" s="52">
        <v>1066320118</v>
      </c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>
        <v>58574923</v>
      </c>
      <c r="CD579" s="52"/>
      <c r="CE579" s="52"/>
      <c r="CF579" s="52"/>
      <c r="CG579" s="52">
        <f t="shared" si="86"/>
        <v>1124895041</v>
      </c>
      <c r="CH579" s="52"/>
      <c r="CI579" s="52"/>
      <c r="CJ579" s="52"/>
      <c r="CK579" s="52"/>
      <c r="CL579" s="52"/>
      <c r="CM579" s="52"/>
      <c r="CN579" s="52"/>
      <c r="CO579" s="52"/>
      <c r="CP579" s="52"/>
      <c r="CQ579" s="52">
        <v>58574923</v>
      </c>
      <c r="CR579" s="52"/>
      <c r="CS579" s="52">
        <f t="shared" ref="CS579:CS642" si="93">SUM(CG579:CR579)</f>
        <v>1183469964</v>
      </c>
      <c r="CT579" s="53">
        <v>468599384</v>
      </c>
      <c r="CU579" s="53">
        <f t="shared" ref="CU579:CU642" si="94">+AM579+BA579-BB579+BO579+CE579+CF579+CR579</f>
        <v>714870580</v>
      </c>
      <c r="CV579" s="54">
        <f t="shared" si="87"/>
        <v>1183469964</v>
      </c>
      <c r="CW579" s="55">
        <f t="shared" si="88"/>
        <v>0</v>
      </c>
      <c r="CX579" s="16"/>
      <c r="CY579" s="16"/>
      <c r="CZ579" s="16"/>
    </row>
    <row r="580" spans="1:108" ht="15" customHeight="1" x14ac:dyDescent="0.2">
      <c r="A580" s="1">
        <v>8000247898</v>
      </c>
      <c r="B580" s="1">
        <v>800024789</v>
      </c>
      <c r="C580" s="9">
        <v>214215442</v>
      </c>
      <c r="D580" s="10" t="s">
        <v>267</v>
      </c>
      <c r="E580" s="42" t="s">
        <v>1301</v>
      </c>
      <c r="F580" s="21"/>
      <c r="G580" s="50"/>
      <c r="H580" s="21"/>
      <c r="I580" s="50"/>
      <c r="J580" s="21"/>
      <c r="K580" s="21"/>
      <c r="L580" s="50"/>
      <c r="M580" s="51"/>
      <c r="N580" s="21"/>
      <c r="O580" s="50"/>
      <c r="P580" s="21"/>
      <c r="Q580" s="50"/>
      <c r="R580" s="21"/>
      <c r="S580" s="21"/>
      <c r="T580" s="50"/>
      <c r="U580" s="51">
        <f t="shared" si="92"/>
        <v>0</v>
      </c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>
        <v>76197174</v>
      </c>
      <c r="AN580" s="51">
        <f t="shared" si="91"/>
        <v>76197174</v>
      </c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>
        <v>64060420</v>
      </c>
      <c r="AZ580" s="51"/>
      <c r="BA580" s="51">
        <f>VLOOKUP(B580,[1]Hoja3!J$3:K$674,2,0)</f>
        <v>19570531</v>
      </c>
      <c r="BB580" s="51"/>
      <c r="BC580" s="52">
        <f t="shared" ref="BC580:BC643" si="95">SUM(AN580:BA580)-BB580</f>
        <v>159828125</v>
      </c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>
        <v>12812084</v>
      </c>
      <c r="BO580" s="51"/>
      <c r="BP580" s="52">
        <v>172640209</v>
      </c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>
        <v>12812084</v>
      </c>
      <c r="CD580" s="52"/>
      <c r="CE580" s="52"/>
      <c r="CF580" s="52"/>
      <c r="CG580" s="52">
        <f t="shared" ref="CG580:CG643" si="96">SUM(BP580:CF580)</f>
        <v>185452293</v>
      </c>
      <c r="CH580" s="52"/>
      <c r="CI580" s="52"/>
      <c r="CJ580" s="52"/>
      <c r="CK580" s="52"/>
      <c r="CL580" s="52"/>
      <c r="CM580" s="52"/>
      <c r="CN580" s="52"/>
      <c r="CO580" s="52"/>
      <c r="CP580" s="52"/>
      <c r="CQ580" s="52">
        <v>12812084</v>
      </c>
      <c r="CR580" s="52"/>
      <c r="CS580" s="52">
        <f t="shared" si="93"/>
        <v>198264377</v>
      </c>
      <c r="CT580" s="53">
        <v>102496672</v>
      </c>
      <c r="CU580" s="53">
        <f t="shared" si="94"/>
        <v>95767705</v>
      </c>
      <c r="CV580" s="54">
        <f t="shared" ref="CV580:CV643" si="97">+CT580+CU580</f>
        <v>198264377</v>
      </c>
      <c r="CW580" s="55">
        <f t="shared" ref="CW580:CW643" si="98">+CS580-CV580</f>
        <v>0</v>
      </c>
      <c r="CX580" s="16"/>
      <c r="CY580" s="8"/>
      <c r="CZ580" s="8"/>
      <c r="DA580" s="8"/>
      <c r="DB580" s="8"/>
      <c r="DC580" s="8"/>
      <c r="DD580" s="8"/>
    </row>
    <row r="581" spans="1:108" ht="15" customHeight="1" x14ac:dyDescent="0.2">
      <c r="A581" s="1">
        <v>8907013421</v>
      </c>
      <c r="B581" s="1">
        <v>890701342</v>
      </c>
      <c r="C581" s="9">
        <v>214373443</v>
      </c>
      <c r="D581" s="10" t="s">
        <v>2225</v>
      </c>
      <c r="E581" s="42" t="s">
        <v>1951</v>
      </c>
      <c r="F581" s="21"/>
      <c r="G581" s="50"/>
      <c r="H581" s="21"/>
      <c r="I581" s="50"/>
      <c r="J581" s="21"/>
      <c r="K581" s="21"/>
      <c r="L581" s="50"/>
      <c r="M581" s="51"/>
      <c r="N581" s="21"/>
      <c r="O581" s="50"/>
      <c r="P581" s="21"/>
      <c r="Q581" s="50"/>
      <c r="R581" s="21"/>
      <c r="S581" s="21"/>
      <c r="T581" s="50"/>
      <c r="U581" s="51">
        <f t="shared" si="92"/>
        <v>0</v>
      </c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>
        <v>479305094</v>
      </c>
      <c r="AN581" s="51">
        <f t="shared" si="91"/>
        <v>479305094</v>
      </c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>
        <v>213538310</v>
      </c>
      <c r="AZ581" s="51"/>
      <c r="BA581" s="51"/>
      <c r="BB581" s="51"/>
      <c r="BC581" s="52">
        <f t="shared" si="95"/>
        <v>692843404</v>
      </c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>
        <v>42707662</v>
      </c>
      <c r="BO581" s="51"/>
      <c r="BP581" s="52">
        <v>735551066</v>
      </c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>
        <v>42707662</v>
      </c>
      <c r="CD581" s="52"/>
      <c r="CE581" s="52"/>
      <c r="CF581" s="52"/>
      <c r="CG581" s="52">
        <f t="shared" si="96"/>
        <v>778258728</v>
      </c>
      <c r="CH581" s="52"/>
      <c r="CI581" s="52"/>
      <c r="CJ581" s="52"/>
      <c r="CK581" s="52"/>
      <c r="CL581" s="52"/>
      <c r="CM581" s="52"/>
      <c r="CN581" s="52"/>
      <c r="CO581" s="52"/>
      <c r="CP581" s="52"/>
      <c r="CQ581" s="52">
        <v>42707662</v>
      </c>
      <c r="CR581" s="52"/>
      <c r="CS581" s="52">
        <f t="shared" si="93"/>
        <v>820966390</v>
      </c>
      <c r="CT581" s="53">
        <v>341661296</v>
      </c>
      <c r="CU581" s="53">
        <f t="shared" si="94"/>
        <v>479305094</v>
      </c>
      <c r="CV581" s="54">
        <f t="shared" si="97"/>
        <v>820966390</v>
      </c>
      <c r="CW581" s="55">
        <f t="shared" si="98"/>
        <v>0</v>
      </c>
      <c r="CX581" s="16"/>
      <c r="CY581" s="16"/>
      <c r="CZ581" s="16"/>
    </row>
    <row r="582" spans="1:108" ht="15" customHeight="1" x14ac:dyDescent="0.2">
      <c r="A582" s="1">
        <v>8908011456</v>
      </c>
      <c r="B582" s="1">
        <v>890801145</v>
      </c>
      <c r="C582" s="9">
        <v>214217442</v>
      </c>
      <c r="D582" s="10" t="s">
        <v>345</v>
      </c>
      <c r="E582" s="42" t="s">
        <v>1375</v>
      </c>
      <c r="F582" s="21"/>
      <c r="G582" s="50"/>
      <c r="H582" s="21"/>
      <c r="I582" s="50"/>
      <c r="J582" s="21"/>
      <c r="K582" s="21"/>
      <c r="L582" s="50"/>
      <c r="M582" s="51"/>
      <c r="N582" s="21"/>
      <c r="O582" s="50"/>
      <c r="P582" s="21"/>
      <c r="Q582" s="50"/>
      <c r="R582" s="21"/>
      <c r="S582" s="21"/>
      <c r="T582" s="50"/>
      <c r="U582" s="51">
        <f t="shared" si="92"/>
        <v>0</v>
      </c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>
        <v>159443469</v>
      </c>
      <c r="AN582" s="51">
        <f t="shared" si="91"/>
        <v>159443469</v>
      </c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>
        <v>64787540</v>
      </c>
      <c r="AZ582" s="51"/>
      <c r="BA582" s="51"/>
      <c r="BB582" s="51"/>
      <c r="BC582" s="52">
        <f t="shared" si="95"/>
        <v>224231009</v>
      </c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>
        <v>12957508</v>
      </c>
      <c r="BO582" s="51"/>
      <c r="BP582" s="52">
        <v>237188517</v>
      </c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>
        <v>12957508</v>
      </c>
      <c r="CD582" s="52"/>
      <c r="CE582" s="52"/>
      <c r="CF582" s="52"/>
      <c r="CG582" s="52">
        <f t="shared" si="96"/>
        <v>250146025</v>
      </c>
      <c r="CH582" s="52"/>
      <c r="CI582" s="52"/>
      <c r="CJ582" s="52"/>
      <c r="CK582" s="52"/>
      <c r="CL582" s="52"/>
      <c r="CM582" s="52"/>
      <c r="CN582" s="52"/>
      <c r="CO582" s="52"/>
      <c r="CP582" s="52"/>
      <c r="CQ582" s="52">
        <v>12957508</v>
      </c>
      <c r="CR582" s="52"/>
      <c r="CS582" s="52">
        <f t="shared" si="93"/>
        <v>263103533</v>
      </c>
      <c r="CT582" s="53">
        <v>103660064</v>
      </c>
      <c r="CU582" s="53">
        <f t="shared" si="94"/>
        <v>159443469</v>
      </c>
      <c r="CV582" s="54">
        <f t="shared" si="97"/>
        <v>263103533</v>
      </c>
      <c r="CW582" s="55">
        <f t="shared" si="98"/>
        <v>0</v>
      </c>
      <c r="CX582" s="16"/>
      <c r="CY582" s="16"/>
      <c r="CZ582" s="16"/>
    </row>
    <row r="583" spans="1:108" ht="15" customHeight="1" x14ac:dyDescent="0.2">
      <c r="A583" s="1">
        <v>8908011470</v>
      </c>
      <c r="B583" s="1">
        <v>890801147</v>
      </c>
      <c r="C583" s="9">
        <v>214417444</v>
      </c>
      <c r="D583" s="10" t="s">
        <v>346</v>
      </c>
      <c r="E583" s="42" t="s">
        <v>1376</v>
      </c>
      <c r="F583" s="21"/>
      <c r="G583" s="50"/>
      <c r="H583" s="21"/>
      <c r="I583" s="50"/>
      <c r="J583" s="21"/>
      <c r="K583" s="21"/>
      <c r="L583" s="50"/>
      <c r="M583" s="51"/>
      <c r="N583" s="21"/>
      <c r="O583" s="50"/>
      <c r="P583" s="21"/>
      <c r="Q583" s="50"/>
      <c r="R583" s="21"/>
      <c r="S583" s="21"/>
      <c r="T583" s="50"/>
      <c r="U583" s="51">
        <f t="shared" si="92"/>
        <v>0</v>
      </c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>
        <v>222130363</v>
      </c>
      <c r="AN583" s="51">
        <f t="shared" si="91"/>
        <v>222130363</v>
      </c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>
        <v>95582505</v>
      </c>
      <c r="AZ583" s="51"/>
      <c r="BA583" s="51"/>
      <c r="BB583" s="51"/>
      <c r="BC583" s="52">
        <f t="shared" si="95"/>
        <v>317712868</v>
      </c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>
        <v>19116501</v>
      </c>
      <c r="BO583" s="51"/>
      <c r="BP583" s="52">
        <v>336829369</v>
      </c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>
        <v>19116501</v>
      </c>
      <c r="CD583" s="52"/>
      <c r="CE583" s="52"/>
      <c r="CF583" s="52"/>
      <c r="CG583" s="52">
        <f t="shared" si="96"/>
        <v>355945870</v>
      </c>
      <c r="CH583" s="52"/>
      <c r="CI583" s="52"/>
      <c r="CJ583" s="52"/>
      <c r="CK583" s="52"/>
      <c r="CL583" s="52"/>
      <c r="CM583" s="52"/>
      <c r="CN583" s="52"/>
      <c r="CO583" s="52"/>
      <c r="CP583" s="52"/>
      <c r="CQ583" s="52">
        <v>19116501</v>
      </c>
      <c r="CR583" s="52"/>
      <c r="CS583" s="52">
        <f t="shared" si="93"/>
        <v>375062371</v>
      </c>
      <c r="CT583" s="53">
        <v>152932008</v>
      </c>
      <c r="CU583" s="53">
        <f t="shared" si="94"/>
        <v>222130363</v>
      </c>
      <c r="CV583" s="54">
        <f t="shared" si="97"/>
        <v>375062371</v>
      </c>
      <c r="CW583" s="55">
        <f t="shared" si="98"/>
        <v>0</v>
      </c>
      <c r="CX583" s="16"/>
      <c r="CY583" s="16"/>
      <c r="CZ583" s="16"/>
    </row>
    <row r="584" spans="1:108" ht="15" customHeight="1" x14ac:dyDescent="0.2">
      <c r="A584" s="1">
        <v>8000993177</v>
      </c>
      <c r="B584" s="1">
        <v>800099317</v>
      </c>
      <c r="C584" s="9">
        <v>214066440</v>
      </c>
      <c r="D584" s="10" t="s">
        <v>806</v>
      </c>
      <c r="E584" s="42" t="s">
        <v>1823</v>
      </c>
      <c r="F584" s="21"/>
      <c r="G584" s="50"/>
      <c r="H584" s="21"/>
      <c r="I584" s="50"/>
      <c r="J584" s="21"/>
      <c r="K584" s="21"/>
      <c r="L584" s="50"/>
      <c r="M584" s="51"/>
      <c r="N584" s="21"/>
      <c r="O584" s="50"/>
      <c r="P584" s="21"/>
      <c r="Q584" s="50"/>
      <c r="R584" s="21"/>
      <c r="S584" s="21"/>
      <c r="T584" s="50"/>
      <c r="U584" s="51">
        <f t="shared" si="92"/>
        <v>0</v>
      </c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>
        <v>222570447</v>
      </c>
      <c r="AN584" s="51">
        <f t="shared" si="91"/>
        <v>222570447</v>
      </c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>
        <v>131393565</v>
      </c>
      <c r="AZ584" s="51"/>
      <c r="BA584" s="51"/>
      <c r="BB584" s="51"/>
      <c r="BC584" s="52">
        <f t="shared" si="95"/>
        <v>353964012</v>
      </c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>
        <v>26278713</v>
      </c>
      <c r="BO584" s="51"/>
      <c r="BP584" s="52">
        <v>380242725</v>
      </c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>
        <v>26278713</v>
      </c>
      <c r="CD584" s="52"/>
      <c r="CE584" s="52"/>
      <c r="CF584" s="52"/>
      <c r="CG584" s="52">
        <f t="shared" si="96"/>
        <v>406521438</v>
      </c>
      <c r="CH584" s="52"/>
      <c r="CI584" s="52"/>
      <c r="CJ584" s="52"/>
      <c r="CK584" s="52"/>
      <c r="CL584" s="52"/>
      <c r="CM584" s="52"/>
      <c r="CN584" s="52"/>
      <c r="CO584" s="52"/>
      <c r="CP584" s="52"/>
      <c r="CQ584" s="52">
        <v>26278713</v>
      </c>
      <c r="CR584" s="52"/>
      <c r="CS584" s="52">
        <f t="shared" si="93"/>
        <v>432800151</v>
      </c>
      <c r="CT584" s="53">
        <v>210229704</v>
      </c>
      <c r="CU584" s="53">
        <f t="shared" si="94"/>
        <v>222570447</v>
      </c>
      <c r="CV584" s="54">
        <f t="shared" si="97"/>
        <v>432800151</v>
      </c>
      <c r="CW584" s="55">
        <f t="shared" si="98"/>
        <v>0</v>
      </c>
      <c r="CX584" s="16"/>
      <c r="CY584" s="16"/>
      <c r="CZ584" s="16"/>
    </row>
    <row r="585" spans="1:108" ht="15" customHeight="1" x14ac:dyDescent="0.2">
      <c r="A585" s="1">
        <v>8908011463</v>
      </c>
      <c r="B585" s="1">
        <v>890801146</v>
      </c>
      <c r="C585" s="9">
        <v>214617446</v>
      </c>
      <c r="D585" s="10" t="s">
        <v>347</v>
      </c>
      <c r="E585" s="42" t="s">
        <v>1377</v>
      </c>
      <c r="F585" s="21"/>
      <c r="G585" s="50"/>
      <c r="H585" s="21"/>
      <c r="I585" s="50"/>
      <c r="J585" s="21"/>
      <c r="K585" s="21"/>
      <c r="L585" s="50"/>
      <c r="M585" s="51"/>
      <c r="N585" s="21"/>
      <c r="O585" s="50"/>
      <c r="P585" s="21"/>
      <c r="Q585" s="50"/>
      <c r="R585" s="21"/>
      <c r="S585" s="21"/>
      <c r="T585" s="50"/>
      <c r="U585" s="51">
        <f t="shared" si="92"/>
        <v>0</v>
      </c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>
        <v>31618715</v>
      </c>
      <c r="AN585" s="51">
        <f t="shared" si="91"/>
        <v>31618715</v>
      </c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>
        <v>17267855</v>
      </c>
      <c r="AZ585" s="51"/>
      <c r="BA585" s="51"/>
      <c r="BB585" s="51"/>
      <c r="BC585" s="52">
        <f t="shared" si="95"/>
        <v>48886570</v>
      </c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>
        <v>3453571</v>
      </c>
      <c r="BO585" s="51"/>
      <c r="BP585" s="52">
        <v>52340141</v>
      </c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>
        <v>3453571</v>
      </c>
      <c r="CD585" s="52"/>
      <c r="CE585" s="52"/>
      <c r="CF585" s="52"/>
      <c r="CG585" s="52">
        <f t="shared" si="96"/>
        <v>55793712</v>
      </c>
      <c r="CH585" s="52"/>
      <c r="CI585" s="52"/>
      <c r="CJ585" s="52"/>
      <c r="CK585" s="52"/>
      <c r="CL585" s="52"/>
      <c r="CM585" s="52"/>
      <c r="CN585" s="52"/>
      <c r="CO585" s="52"/>
      <c r="CP585" s="52"/>
      <c r="CQ585" s="52">
        <v>3453571</v>
      </c>
      <c r="CR585" s="52"/>
      <c r="CS585" s="52">
        <f t="shared" si="93"/>
        <v>59247283</v>
      </c>
      <c r="CT585" s="53">
        <v>27628568</v>
      </c>
      <c r="CU585" s="53">
        <f t="shared" si="94"/>
        <v>31618715</v>
      </c>
      <c r="CV585" s="54">
        <f t="shared" si="97"/>
        <v>59247283</v>
      </c>
      <c r="CW585" s="55">
        <f t="shared" si="98"/>
        <v>0</v>
      </c>
      <c r="CX585" s="16"/>
      <c r="CY585" s="16"/>
      <c r="CZ585" s="16"/>
    </row>
    <row r="586" spans="1:108" ht="15" customHeight="1" x14ac:dyDescent="0.2">
      <c r="A586" s="1">
        <v>8902066960</v>
      </c>
      <c r="B586" s="1">
        <v>890206696</v>
      </c>
      <c r="C586" s="9">
        <v>214468444</v>
      </c>
      <c r="D586" s="10" t="s">
        <v>857</v>
      </c>
      <c r="E586" s="42" t="s">
        <v>1871</v>
      </c>
      <c r="F586" s="21"/>
      <c r="G586" s="50"/>
      <c r="H586" s="21"/>
      <c r="I586" s="50"/>
      <c r="J586" s="21"/>
      <c r="K586" s="21"/>
      <c r="L586" s="50"/>
      <c r="M586" s="51"/>
      <c r="N586" s="21"/>
      <c r="O586" s="50"/>
      <c r="P586" s="21"/>
      <c r="Q586" s="50"/>
      <c r="R586" s="21"/>
      <c r="S586" s="21"/>
      <c r="T586" s="50"/>
      <c r="U586" s="51">
        <f t="shared" si="92"/>
        <v>0</v>
      </c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>
        <v>99874527</v>
      </c>
      <c r="AN586" s="51">
        <f t="shared" si="91"/>
        <v>99874527</v>
      </c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>
        <v>38445835</v>
      </c>
      <c r="AZ586" s="51"/>
      <c r="BA586" s="51"/>
      <c r="BB586" s="51"/>
      <c r="BC586" s="52">
        <f t="shared" si="95"/>
        <v>138320362</v>
      </c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>
        <v>7689167</v>
      </c>
      <c r="BO586" s="51"/>
      <c r="BP586" s="52">
        <v>146009529</v>
      </c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>
        <v>7689167</v>
      </c>
      <c r="CD586" s="52"/>
      <c r="CE586" s="52"/>
      <c r="CF586" s="52"/>
      <c r="CG586" s="52">
        <f t="shared" si="96"/>
        <v>153698696</v>
      </c>
      <c r="CH586" s="52"/>
      <c r="CI586" s="52"/>
      <c r="CJ586" s="52"/>
      <c r="CK586" s="52"/>
      <c r="CL586" s="52"/>
      <c r="CM586" s="52"/>
      <c r="CN586" s="52"/>
      <c r="CO586" s="52"/>
      <c r="CP586" s="52"/>
      <c r="CQ586" s="52">
        <v>7689167</v>
      </c>
      <c r="CR586" s="52"/>
      <c r="CS586" s="52">
        <f t="shared" si="93"/>
        <v>161387863</v>
      </c>
      <c r="CT586" s="53">
        <v>61513336</v>
      </c>
      <c r="CU586" s="53">
        <f t="shared" si="94"/>
        <v>99874527</v>
      </c>
      <c r="CV586" s="54">
        <f t="shared" si="97"/>
        <v>161387863</v>
      </c>
      <c r="CW586" s="55">
        <f t="shared" si="98"/>
        <v>0</v>
      </c>
      <c r="CX586" s="16"/>
      <c r="CY586" s="16"/>
      <c r="CZ586" s="16"/>
    </row>
    <row r="587" spans="1:108" ht="15" customHeight="1" x14ac:dyDescent="0.2">
      <c r="A587" s="1">
        <v>8909052111</v>
      </c>
      <c r="B587" s="1">
        <v>890905211</v>
      </c>
      <c r="C587" s="9">
        <v>210105001</v>
      </c>
      <c r="D587" s="10" t="s">
        <v>2176</v>
      </c>
      <c r="E587" s="43" t="s">
        <v>1048</v>
      </c>
      <c r="F587" s="21"/>
      <c r="G587" s="50"/>
      <c r="H587" s="21"/>
      <c r="I587" s="50">
        <f>35446426353+1171423528</f>
        <v>36617849881</v>
      </c>
      <c r="J587" s="21">
        <v>2748036229</v>
      </c>
      <c r="K587" s="21">
        <v>5448049864</v>
      </c>
      <c r="L587" s="50"/>
      <c r="M587" s="52">
        <f>SUM(F587:L587)</f>
        <v>44813935974</v>
      </c>
      <c r="N587" s="21"/>
      <c r="O587" s="50"/>
      <c r="P587" s="21"/>
      <c r="Q587" s="50">
        <f>36003255646+1500000000+16901180685</f>
        <v>54404436331</v>
      </c>
      <c r="R587" s="21">
        <v>2812540824</v>
      </c>
      <c r="S587" s="21">
        <f>2700013635+2812540824</f>
        <v>5512554459</v>
      </c>
      <c r="T587" s="50"/>
      <c r="U587" s="51">
        <f t="shared" si="92"/>
        <v>107543467588</v>
      </c>
      <c r="V587" s="51"/>
      <c r="W587" s="51"/>
      <c r="X587" s="51"/>
      <c r="Y587" s="51">
        <v>50856858717</v>
      </c>
      <c r="Z587" s="51">
        <v>2599758872</v>
      </c>
      <c r="AA587" s="51">
        <v>6149590243</v>
      </c>
      <c r="AB587" s="51"/>
      <c r="AC587" s="51">
        <f t="shared" ref="AC587:AC624" si="99">SUM(U587:AB587)</f>
        <v>167149675420</v>
      </c>
      <c r="AD587" s="51"/>
      <c r="AE587" s="51"/>
      <c r="AF587" s="51"/>
      <c r="AG587" s="51"/>
      <c r="AH587" s="51">
        <v>47156255545</v>
      </c>
      <c r="AI587" s="51">
        <v>8614375850</v>
      </c>
      <c r="AJ587" s="51">
        <v>2833440365</v>
      </c>
      <c r="AK587" s="51">
        <v>7139307707</v>
      </c>
      <c r="AL587" s="51"/>
      <c r="AM587" s="51">
        <v>20597854925</v>
      </c>
      <c r="AN587" s="51">
        <f t="shared" si="91"/>
        <v>253490909812</v>
      </c>
      <c r="AO587" s="51"/>
      <c r="AP587" s="51"/>
      <c r="AQ587" s="51">
        <v>6664199410</v>
      </c>
      <c r="AR587" s="51"/>
      <c r="AS587" s="51"/>
      <c r="AT587" s="51">
        <v>40156255545</v>
      </c>
      <c r="AU587" s="51"/>
      <c r="AV587" s="51">
        <v>2833440365</v>
      </c>
      <c r="AW587" s="51">
        <v>4836223217</v>
      </c>
      <c r="AX587" s="51"/>
      <c r="AY587" s="51"/>
      <c r="AZ587" s="51">
        <v>10144224482</v>
      </c>
      <c r="BA587" s="51">
        <f>VLOOKUP(B587,[1]Hoja3!J$3:K$674,2,0)</f>
        <v>482470383</v>
      </c>
      <c r="BB587" s="51">
        <f>VLOOKUP(B587,'[2]anuladas en mayo gratuidad}'!K$2:L$55,2,0)</f>
        <v>543195966</v>
      </c>
      <c r="BC587" s="52">
        <f t="shared" si="95"/>
        <v>318064527248</v>
      </c>
      <c r="BD587" s="51"/>
      <c r="BE587" s="51"/>
      <c r="BF587" s="51">
        <v>1332839882</v>
      </c>
      <c r="BG587" s="51"/>
      <c r="BH587" s="51"/>
      <c r="BI587" s="51">
        <v>38028000198</v>
      </c>
      <c r="BJ587" s="51">
        <v>669364062</v>
      </c>
      <c r="BK587" s="51">
        <v>1856164311</v>
      </c>
      <c r="BL587" s="51">
        <v>3903191973</v>
      </c>
      <c r="BM587" s="51"/>
      <c r="BN587" s="51"/>
      <c r="BO587" s="51"/>
      <c r="BP587" s="52">
        <v>363854087674</v>
      </c>
      <c r="BQ587" s="52"/>
      <c r="BR587" s="52"/>
      <c r="BS587" s="52">
        <v>1332839882</v>
      </c>
      <c r="BT587" s="52"/>
      <c r="BU587" s="52"/>
      <c r="BV587" s="52"/>
      <c r="BW587" s="52">
        <v>36748552994</v>
      </c>
      <c r="BX587" s="52">
        <v>6760332503</v>
      </c>
      <c r="BY587" s="52">
        <v>17569249898</v>
      </c>
      <c r="BZ587" s="52">
        <v>3357419344</v>
      </c>
      <c r="CA587" s="52">
        <v>7904297820</v>
      </c>
      <c r="CB587" s="52"/>
      <c r="CC587" s="52"/>
      <c r="CD587" s="52"/>
      <c r="CE587" s="52">
        <v>689439285</v>
      </c>
      <c r="CF587" s="52"/>
      <c r="CG587" s="52">
        <f t="shared" si="96"/>
        <v>438216219400</v>
      </c>
      <c r="CH587" s="52"/>
      <c r="CI587" s="52"/>
      <c r="CJ587" s="52">
        <v>1332839882</v>
      </c>
      <c r="CK587" s="52"/>
      <c r="CL587" s="52">
        <v>38095201285</v>
      </c>
      <c r="CM587" s="52">
        <v>4435994664</v>
      </c>
      <c r="CN587" s="52">
        <v>3113510314</v>
      </c>
      <c r="CO587" s="52">
        <v>5430336345</v>
      </c>
      <c r="CP587" s="52"/>
      <c r="CQ587" s="52"/>
      <c r="CR587" s="52"/>
      <c r="CS587" s="52">
        <f t="shared" si="93"/>
        <v>490624101890</v>
      </c>
      <c r="CT587" s="53">
        <v>469397533263</v>
      </c>
      <c r="CU587" s="53">
        <f t="shared" si="94"/>
        <v>21226568627</v>
      </c>
      <c r="CV587" s="54">
        <f t="shared" si="97"/>
        <v>490624101890</v>
      </c>
      <c r="CW587" s="55">
        <f t="shared" si="98"/>
        <v>0</v>
      </c>
      <c r="CX587" s="16"/>
      <c r="CY587" s="16"/>
      <c r="CZ587" s="16"/>
    </row>
    <row r="588" spans="1:108" ht="15" customHeight="1" x14ac:dyDescent="0.2">
      <c r="A588" s="1">
        <v>8999994708</v>
      </c>
      <c r="B588" s="1">
        <v>899999470</v>
      </c>
      <c r="C588" s="9">
        <v>213825438</v>
      </c>
      <c r="D588" s="10" t="s">
        <v>513</v>
      </c>
      <c r="E588" s="42" t="s">
        <v>1538</v>
      </c>
      <c r="F588" s="21"/>
      <c r="G588" s="50"/>
      <c r="H588" s="21"/>
      <c r="I588" s="50"/>
      <c r="J588" s="21"/>
      <c r="K588" s="21"/>
      <c r="L588" s="50"/>
      <c r="M588" s="51"/>
      <c r="N588" s="21"/>
      <c r="O588" s="50"/>
      <c r="P588" s="21"/>
      <c r="Q588" s="50"/>
      <c r="R588" s="21"/>
      <c r="S588" s="21"/>
      <c r="T588" s="50"/>
      <c r="U588" s="51">
        <f t="shared" si="92"/>
        <v>0</v>
      </c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>
        <v>136899585</v>
      </c>
      <c r="AN588" s="51">
        <f t="shared" si="91"/>
        <v>136899585</v>
      </c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>
        <v>65618770</v>
      </c>
      <c r="AZ588" s="51"/>
      <c r="BA588" s="51"/>
      <c r="BB588" s="51"/>
      <c r="BC588" s="52">
        <f t="shared" si="95"/>
        <v>202518355</v>
      </c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>
        <v>13123754</v>
      </c>
      <c r="BO588" s="51"/>
      <c r="BP588" s="52">
        <v>215642109</v>
      </c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>
        <v>13123754</v>
      </c>
      <c r="CD588" s="52"/>
      <c r="CE588" s="52"/>
      <c r="CF588" s="52"/>
      <c r="CG588" s="52">
        <f t="shared" si="96"/>
        <v>228765863</v>
      </c>
      <c r="CH588" s="52"/>
      <c r="CI588" s="52"/>
      <c r="CJ588" s="52"/>
      <c r="CK588" s="52"/>
      <c r="CL588" s="52"/>
      <c r="CM588" s="52"/>
      <c r="CN588" s="52"/>
      <c r="CO588" s="52"/>
      <c r="CP588" s="52"/>
      <c r="CQ588" s="52">
        <v>13123754</v>
      </c>
      <c r="CR588" s="52"/>
      <c r="CS588" s="52">
        <f t="shared" si="93"/>
        <v>241889617</v>
      </c>
      <c r="CT588" s="53">
        <v>104990032</v>
      </c>
      <c r="CU588" s="53">
        <f t="shared" si="94"/>
        <v>136899585</v>
      </c>
      <c r="CV588" s="54">
        <f t="shared" si="97"/>
        <v>241889617</v>
      </c>
      <c r="CW588" s="55">
        <f t="shared" si="98"/>
        <v>0</v>
      </c>
      <c r="CX588" s="16"/>
      <c r="CY588" s="16"/>
      <c r="CZ588" s="16"/>
    </row>
    <row r="589" spans="1:108" ht="15" customHeight="1" x14ac:dyDescent="0.2">
      <c r="A589" s="1">
        <v>8180009413</v>
      </c>
      <c r="B589" s="1">
        <v>818000941</v>
      </c>
      <c r="C589" s="9">
        <v>212527425</v>
      </c>
      <c r="D589" s="10" t="s">
        <v>582</v>
      </c>
      <c r="E589" s="42" t="s">
        <v>1603</v>
      </c>
      <c r="F589" s="21"/>
      <c r="G589" s="50"/>
      <c r="H589" s="21"/>
      <c r="I589" s="50"/>
      <c r="J589" s="21"/>
      <c r="K589" s="21"/>
      <c r="L589" s="50"/>
      <c r="M589" s="51"/>
      <c r="N589" s="21"/>
      <c r="O589" s="50"/>
      <c r="P589" s="21"/>
      <c r="Q589" s="50"/>
      <c r="R589" s="21"/>
      <c r="S589" s="21"/>
      <c r="T589" s="50"/>
      <c r="U589" s="51">
        <f t="shared" si="92"/>
        <v>0</v>
      </c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>
        <v>90603830</v>
      </c>
      <c r="AN589" s="51">
        <f t="shared" si="91"/>
        <v>90603830</v>
      </c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>
        <v>134078970</v>
      </c>
      <c r="AZ589" s="51"/>
      <c r="BA589" s="51"/>
      <c r="BB589" s="51"/>
      <c r="BC589" s="52">
        <f t="shared" si="95"/>
        <v>224682800</v>
      </c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>
        <v>26815794</v>
      </c>
      <c r="BO589" s="51"/>
      <c r="BP589" s="52">
        <v>251498594</v>
      </c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>
        <v>26815794</v>
      </c>
      <c r="CD589" s="52"/>
      <c r="CE589" s="52"/>
      <c r="CF589" s="52"/>
      <c r="CG589" s="52">
        <f t="shared" si="96"/>
        <v>278314388</v>
      </c>
      <c r="CH589" s="52"/>
      <c r="CI589" s="52"/>
      <c r="CJ589" s="52"/>
      <c r="CK589" s="52"/>
      <c r="CL589" s="52"/>
      <c r="CM589" s="52"/>
      <c r="CN589" s="52"/>
      <c r="CO589" s="52"/>
      <c r="CP589" s="52"/>
      <c r="CQ589" s="52">
        <v>26815794</v>
      </c>
      <c r="CR589" s="52"/>
      <c r="CS589" s="52">
        <f t="shared" si="93"/>
        <v>305130182</v>
      </c>
      <c r="CT589" s="53">
        <v>214526352</v>
      </c>
      <c r="CU589" s="53">
        <f t="shared" si="94"/>
        <v>90603830</v>
      </c>
      <c r="CV589" s="54">
        <f t="shared" si="97"/>
        <v>305130182</v>
      </c>
      <c r="CW589" s="55">
        <f t="shared" si="98"/>
        <v>0</v>
      </c>
      <c r="CX589" s="16"/>
      <c r="CY589" s="16"/>
      <c r="CZ589" s="16"/>
    </row>
    <row r="590" spans="1:108" ht="15" customHeight="1" x14ac:dyDescent="0.2">
      <c r="A590" s="1">
        <v>8180009072</v>
      </c>
      <c r="B590" s="1">
        <v>818000907</v>
      </c>
      <c r="C590" s="9">
        <v>213027430</v>
      </c>
      <c r="D590" s="10" t="s">
        <v>583</v>
      </c>
      <c r="E590" s="42" t="s">
        <v>1604</v>
      </c>
      <c r="F590" s="21"/>
      <c r="G590" s="50"/>
      <c r="H590" s="21"/>
      <c r="I590" s="50"/>
      <c r="J590" s="21"/>
      <c r="K590" s="21"/>
      <c r="L590" s="50"/>
      <c r="M590" s="51"/>
      <c r="N590" s="21"/>
      <c r="O590" s="50"/>
      <c r="P590" s="21"/>
      <c r="Q590" s="50"/>
      <c r="R590" s="21"/>
      <c r="S590" s="21"/>
      <c r="T590" s="50"/>
      <c r="U590" s="51">
        <f t="shared" si="92"/>
        <v>0</v>
      </c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>
        <v>171257044</v>
      </c>
      <c r="AN590" s="51">
        <f t="shared" si="91"/>
        <v>171257044</v>
      </c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>
        <v>206851540</v>
      </c>
      <c r="AZ590" s="51"/>
      <c r="BA590" s="51"/>
      <c r="BB590" s="51"/>
      <c r="BC590" s="52">
        <f t="shared" si="95"/>
        <v>378108584</v>
      </c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>
        <v>41370308</v>
      </c>
      <c r="BO590" s="51"/>
      <c r="BP590" s="52">
        <v>419478892</v>
      </c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>
        <v>41370308</v>
      </c>
      <c r="CD590" s="52"/>
      <c r="CE590" s="52"/>
      <c r="CF590" s="52"/>
      <c r="CG590" s="52">
        <f t="shared" si="96"/>
        <v>460849200</v>
      </c>
      <c r="CH590" s="52"/>
      <c r="CI590" s="52"/>
      <c r="CJ590" s="52"/>
      <c r="CK590" s="52"/>
      <c r="CL590" s="52"/>
      <c r="CM590" s="52"/>
      <c r="CN590" s="52"/>
      <c r="CO590" s="52"/>
      <c r="CP590" s="52"/>
      <c r="CQ590" s="52">
        <v>41370308</v>
      </c>
      <c r="CR590" s="52">
        <v>55523959</v>
      </c>
      <c r="CS590" s="52">
        <f t="shared" si="93"/>
        <v>557743467</v>
      </c>
      <c r="CT590" s="53">
        <v>330962464</v>
      </c>
      <c r="CU590" s="53">
        <f t="shared" si="94"/>
        <v>226781003</v>
      </c>
      <c r="CV590" s="54">
        <f t="shared" si="97"/>
        <v>557743467</v>
      </c>
      <c r="CW590" s="55">
        <f t="shared" si="98"/>
        <v>0</v>
      </c>
      <c r="CX590" s="16"/>
      <c r="CY590" s="16"/>
      <c r="CZ590" s="16"/>
    </row>
    <row r="591" spans="1:108" ht="15" customHeight="1" x14ac:dyDescent="0.2">
      <c r="A591" s="1">
        <v>8180012062</v>
      </c>
      <c r="B591" s="1">
        <v>818001206</v>
      </c>
      <c r="C591" s="9">
        <v>215027450</v>
      </c>
      <c r="D591" s="10" t="s">
        <v>584</v>
      </c>
      <c r="E591" s="42" t="s">
        <v>1605</v>
      </c>
      <c r="F591" s="21"/>
      <c r="G591" s="50"/>
      <c r="H591" s="21"/>
      <c r="I591" s="50"/>
      <c r="J591" s="21"/>
      <c r="K591" s="21"/>
      <c r="L591" s="50"/>
      <c r="M591" s="51"/>
      <c r="N591" s="21"/>
      <c r="O591" s="50"/>
      <c r="P591" s="21"/>
      <c r="Q591" s="50"/>
      <c r="R591" s="21"/>
      <c r="S591" s="21"/>
      <c r="T591" s="50"/>
      <c r="U591" s="51">
        <f t="shared" si="92"/>
        <v>0</v>
      </c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>
        <v>175974659</v>
      </c>
      <c r="AN591" s="51">
        <f t="shared" si="91"/>
        <v>175974659</v>
      </c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>
        <v>106901645</v>
      </c>
      <c r="AZ591" s="51"/>
      <c r="BA591" s="51"/>
      <c r="BB591" s="51"/>
      <c r="BC591" s="52">
        <f t="shared" si="95"/>
        <v>282876304</v>
      </c>
      <c r="BD591" s="51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>
        <v>21380329</v>
      </c>
      <c r="BO591" s="51"/>
      <c r="BP591" s="52">
        <v>304256633</v>
      </c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>
        <v>21380329</v>
      </c>
      <c r="CD591" s="52"/>
      <c r="CE591" s="52"/>
      <c r="CF591" s="52"/>
      <c r="CG591" s="52">
        <f t="shared" si="96"/>
        <v>325636962</v>
      </c>
      <c r="CH591" s="52"/>
      <c r="CI591" s="52"/>
      <c r="CJ591" s="52"/>
      <c r="CK591" s="52"/>
      <c r="CL591" s="52"/>
      <c r="CM591" s="52"/>
      <c r="CN591" s="52"/>
      <c r="CO591" s="52"/>
      <c r="CP591" s="52"/>
      <c r="CQ591" s="52">
        <v>21380329</v>
      </c>
      <c r="CR591" s="52"/>
      <c r="CS591" s="52">
        <f t="shared" si="93"/>
        <v>347017291</v>
      </c>
      <c r="CT591" s="53">
        <v>171042632</v>
      </c>
      <c r="CU591" s="53">
        <f t="shared" si="94"/>
        <v>175974659</v>
      </c>
      <c r="CV591" s="54">
        <f t="shared" si="97"/>
        <v>347017291</v>
      </c>
      <c r="CW591" s="55">
        <f t="shared" si="98"/>
        <v>0</v>
      </c>
      <c r="CX591" s="16"/>
      <c r="CY591" s="16"/>
      <c r="CZ591" s="16"/>
    </row>
    <row r="592" spans="1:108" ht="15" customHeight="1" x14ac:dyDescent="0.2">
      <c r="A592" s="1">
        <v>8907019334</v>
      </c>
      <c r="B592" s="1">
        <v>890701933</v>
      </c>
      <c r="C592" s="9">
        <v>214973449</v>
      </c>
      <c r="D592" s="10" t="s">
        <v>2226</v>
      </c>
      <c r="E592" s="42" t="s">
        <v>1952</v>
      </c>
      <c r="F592" s="21"/>
      <c r="G592" s="50"/>
      <c r="H592" s="21"/>
      <c r="I592" s="50"/>
      <c r="J592" s="21"/>
      <c r="K592" s="21"/>
      <c r="L592" s="50"/>
      <c r="M592" s="51"/>
      <c r="N592" s="21"/>
      <c r="O592" s="50"/>
      <c r="P592" s="21"/>
      <c r="Q592" s="50"/>
      <c r="R592" s="21"/>
      <c r="S592" s="21"/>
      <c r="T592" s="50"/>
      <c r="U592" s="51">
        <f t="shared" si="92"/>
        <v>0</v>
      </c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>
        <v>508005552</v>
      </c>
      <c r="AN592" s="51">
        <f t="shared" si="91"/>
        <v>508005552</v>
      </c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>
        <v>224532155</v>
      </c>
      <c r="AZ592" s="51"/>
      <c r="BA592" s="51"/>
      <c r="BB592" s="51"/>
      <c r="BC592" s="52">
        <f t="shared" si="95"/>
        <v>732537707</v>
      </c>
      <c r="BD592" s="51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>
        <v>44906431</v>
      </c>
      <c r="BO592" s="51"/>
      <c r="BP592" s="52">
        <v>777444138</v>
      </c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>
        <v>44906431</v>
      </c>
      <c r="CD592" s="52"/>
      <c r="CE592" s="52"/>
      <c r="CF592" s="52"/>
      <c r="CG592" s="52">
        <f t="shared" si="96"/>
        <v>822350569</v>
      </c>
      <c r="CH592" s="52"/>
      <c r="CI592" s="52"/>
      <c r="CJ592" s="52"/>
      <c r="CK592" s="52"/>
      <c r="CL592" s="52"/>
      <c r="CM592" s="52"/>
      <c r="CN592" s="52"/>
      <c r="CO592" s="52"/>
      <c r="CP592" s="52"/>
      <c r="CQ592" s="52">
        <v>44906431</v>
      </c>
      <c r="CR592" s="52"/>
      <c r="CS592" s="52">
        <f t="shared" si="93"/>
        <v>867257000</v>
      </c>
      <c r="CT592" s="53">
        <v>359251448</v>
      </c>
      <c r="CU592" s="53">
        <f t="shared" si="94"/>
        <v>508005552</v>
      </c>
      <c r="CV592" s="54">
        <f t="shared" si="97"/>
        <v>867257000</v>
      </c>
      <c r="CW592" s="55">
        <f t="shared" si="98"/>
        <v>0</v>
      </c>
      <c r="CX592" s="16"/>
      <c r="CY592" s="16"/>
      <c r="CZ592" s="16"/>
    </row>
    <row r="593" spans="1:108" ht="15" customHeight="1" x14ac:dyDescent="0.2">
      <c r="A593" s="1">
        <v>8915023976</v>
      </c>
      <c r="B593" s="1">
        <v>891502397</v>
      </c>
      <c r="C593" s="9">
        <v>215019450</v>
      </c>
      <c r="D593" s="10" t="s">
        <v>391</v>
      </c>
      <c r="E593" s="42" t="s">
        <v>1420</v>
      </c>
      <c r="F593" s="21"/>
      <c r="G593" s="50"/>
      <c r="H593" s="21"/>
      <c r="I593" s="50"/>
      <c r="J593" s="21"/>
      <c r="K593" s="21"/>
      <c r="L593" s="50"/>
      <c r="M593" s="51"/>
      <c r="N593" s="21"/>
      <c r="O593" s="50"/>
      <c r="P593" s="21"/>
      <c r="Q593" s="50"/>
      <c r="R593" s="21"/>
      <c r="S593" s="21"/>
      <c r="T593" s="50"/>
      <c r="U593" s="51">
        <f t="shared" si="92"/>
        <v>0</v>
      </c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>
        <f>VLOOKUP(B593,[1]Hoja3!J$3:K$674,2,0)</f>
        <v>233432446</v>
      </c>
      <c r="BB593" s="51"/>
      <c r="BC593" s="52">
        <f t="shared" si="95"/>
        <v>233432446</v>
      </c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>
        <v>0</v>
      </c>
      <c r="BO593" s="51"/>
      <c r="BP593" s="52">
        <v>233432446</v>
      </c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>
        <v>215256363</v>
      </c>
      <c r="CD593" s="52"/>
      <c r="CE593" s="52">
        <v>9198313</v>
      </c>
      <c r="CF593" s="52"/>
      <c r="CG593" s="52">
        <f t="shared" si="96"/>
        <v>457887122</v>
      </c>
      <c r="CH593" s="52"/>
      <c r="CI593" s="52"/>
      <c r="CJ593" s="52"/>
      <c r="CK593" s="52"/>
      <c r="CL593" s="52"/>
      <c r="CM593" s="52"/>
      <c r="CN593" s="52"/>
      <c r="CO593" s="52"/>
      <c r="CP593" s="52"/>
      <c r="CQ593" s="52">
        <v>30750909</v>
      </c>
      <c r="CR593" s="52"/>
      <c r="CS593" s="52">
        <f t="shared" si="93"/>
        <v>488638031</v>
      </c>
      <c r="CT593" s="53">
        <v>246007272</v>
      </c>
      <c r="CU593" s="53">
        <f t="shared" si="94"/>
        <v>242630759</v>
      </c>
      <c r="CV593" s="54">
        <f t="shared" si="97"/>
        <v>488638031</v>
      </c>
      <c r="CW593" s="55">
        <f t="shared" si="98"/>
        <v>0</v>
      </c>
      <c r="CX593" s="16"/>
      <c r="CY593" s="16"/>
      <c r="CZ593" s="16"/>
    </row>
    <row r="594" spans="1:108" ht="15" customHeight="1" x14ac:dyDescent="0.2">
      <c r="A594" s="1">
        <v>8920993171</v>
      </c>
      <c r="B594" s="1">
        <v>892099317</v>
      </c>
      <c r="C594" s="9">
        <v>213050330</v>
      </c>
      <c r="D594" s="10" t="s">
        <v>678</v>
      </c>
      <c r="E594" s="42" t="s">
        <v>1699</v>
      </c>
      <c r="F594" s="21"/>
      <c r="G594" s="50"/>
      <c r="H594" s="21"/>
      <c r="I594" s="50"/>
      <c r="J594" s="21"/>
      <c r="K594" s="21"/>
      <c r="L594" s="50"/>
      <c r="M594" s="51"/>
      <c r="N594" s="21"/>
      <c r="O594" s="50"/>
      <c r="P594" s="21"/>
      <c r="Q594" s="50"/>
      <c r="R594" s="21"/>
      <c r="S594" s="21"/>
      <c r="T594" s="50"/>
      <c r="U594" s="51">
        <f t="shared" si="92"/>
        <v>0</v>
      </c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>
        <v>57205069</v>
      </c>
      <c r="AN594" s="51">
        <f>SUBTOTAL(9,AC594:AM594)</f>
        <v>57205069</v>
      </c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>
        <f>VLOOKUP(B594,[1]Hoja3!J$3:K$674,2,0)</f>
        <v>75514790</v>
      </c>
      <c r="BB594" s="51"/>
      <c r="BC594" s="52">
        <f t="shared" si="95"/>
        <v>132719859</v>
      </c>
      <c r="BD594" s="51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>
        <v>0</v>
      </c>
      <c r="BO594" s="51"/>
      <c r="BP594" s="52">
        <v>132719859</v>
      </c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>
        <v>182574441</v>
      </c>
      <c r="CD594" s="52"/>
      <c r="CE594" s="52"/>
      <c r="CF594" s="52"/>
      <c r="CG594" s="52">
        <f t="shared" si="96"/>
        <v>315294300</v>
      </c>
      <c r="CH594" s="52"/>
      <c r="CI594" s="52"/>
      <c r="CJ594" s="52"/>
      <c r="CK594" s="52"/>
      <c r="CL594" s="52"/>
      <c r="CM594" s="52"/>
      <c r="CN594" s="52"/>
      <c r="CO594" s="52"/>
      <c r="CP594" s="52"/>
      <c r="CQ594" s="52">
        <v>26082063</v>
      </c>
      <c r="CR594" s="52"/>
      <c r="CS594" s="52">
        <f t="shared" si="93"/>
        <v>341376363</v>
      </c>
      <c r="CT594" s="53">
        <v>208656504</v>
      </c>
      <c r="CU594" s="53">
        <f t="shared" si="94"/>
        <v>132719859</v>
      </c>
      <c r="CV594" s="54">
        <f t="shared" si="97"/>
        <v>341376363</v>
      </c>
      <c r="CW594" s="55">
        <f t="shared" si="98"/>
        <v>0</v>
      </c>
      <c r="CX594" s="16"/>
      <c r="CY594" s="16"/>
      <c r="CZ594" s="16"/>
    </row>
    <row r="595" spans="1:108" ht="15" customHeight="1" x14ac:dyDescent="0.2">
      <c r="A595" s="1">
        <v>8000674526</v>
      </c>
      <c r="B595" s="1">
        <v>800067452</v>
      </c>
      <c r="C595" s="9">
        <v>216018460</v>
      </c>
      <c r="D595" s="10" t="s">
        <v>367</v>
      </c>
      <c r="E595" s="42" t="s">
        <v>1397</v>
      </c>
      <c r="F595" s="21"/>
      <c r="G595" s="50"/>
      <c r="H595" s="21"/>
      <c r="I595" s="50"/>
      <c r="J595" s="21"/>
      <c r="K595" s="21"/>
      <c r="L595" s="50"/>
      <c r="M595" s="51"/>
      <c r="N595" s="21"/>
      <c r="O595" s="50"/>
      <c r="P595" s="21"/>
      <c r="Q595" s="50"/>
      <c r="R595" s="21"/>
      <c r="S595" s="21"/>
      <c r="T595" s="50"/>
      <c r="U595" s="51">
        <f t="shared" si="92"/>
        <v>0</v>
      </c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>
        <v>221468191</v>
      </c>
      <c r="AN595" s="51">
        <f>SUBTOTAL(9,AC595:AM595)</f>
        <v>221468191</v>
      </c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2">
        <f t="shared" si="95"/>
        <v>221468191</v>
      </c>
      <c r="BD595" s="51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>
        <v>0</v>
      </c>
      <c r="BO595" s="51"/>
      <c r="BP595" s="52">
        <v>221468191</v>
      </c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>
        <v>192687971</v>
      </c>
      <c r="CD595" s="52"/>
      <c r="CE595" s="52"/>
      <c r="CF595" s="52"/>
      <c r="CG595" s="52">
        <f t="shared" si="96"/>
        <v>414156162</v>
      </c>
      <c r="CH595" s="52"/>
      <c r="CI595" s="52"/>
      <c r="CJ595" s="52"/>
      <c r="CK595" s="52"/>
      <c r="CL595" s="52"/>
      <c r="CM595" s="52"/>
      <c r="CN595" s="52"/>
      <c r="CO595" s="52"/>
      <c r="CP595" s="52"/>
      <c r="CQ595" s="52">
        <v>27526853</v>
      </c>
      <c r="CR595" s="52"/>
      <c r="CS595" s="52">
        <f t="shared" si="93"/>
        <v>441683015</v>
      </c>
      <c r="CT595" s="53">
        <v>220214824</v>
      </c>
      <c r="CU595" s="53">
        <f t="shared" si="94"/>
        <v>221468191</v>
      </c>
      <c r="CV595" s="54">
        <f t="shared" si="97"/>
        <v>441683015</v>
      </c>
      <c r="CW595" s="55">
        <f t="shared" si="98"/>
        <v>0</v>
      </c>
      <c r="CX595" s="16"/>
      <c r="CY595" s="16"/>
      <c r="CZ595" s="16"/>
    </row>
    <row r="596" spans="1:108" ht="15" customHeight="1" x14ac:dyDescent="0.2">
      <c r="A596" s="1">
        <v>8000296601</v>
      </c>
      <c r="B596" s="1">
        <v>800029660</v>
      </c>
      <c r="C596" s="9">
        <v>215515455</v>
      </c>
      <c r="D596" s="10" t="s">
        <v>268</v>
      </c>
      <c r="E596" s="42" t="s">
        <v>1302</v>
      </c>
      <c r="F596" s="21"/>
      <c r="G596" s="50"/>
      <c r="H596" s="21"/>
      <c r="I596" s="50"/>
      <c r="J596" s="21"/>
      <c r="K596" s="21"/>
      <c r="L596" s="50"/>
      <c r="M596" s="51"/>
      <c r="N596" s="21"/>
      <c r="O596" s="50"/>
      <c r="P596" s="21"/>
      <c r="Q596" s="50"/>
      <c r="R596" s="21"/>
      <c r="S596" s="21"/>
      <c r="T596" s="50"/>
      <c r="U596" s="51">
        <f t="shared" si="92"/>
        <v>0</v>
      </c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>
        <v>59280750</v>
      </c>
      <c r="AZ596" s="51"/>
      <c r="BA596" s="51">
        <f>VLOOKUP(B596,[1]Hoja3!J$3:K$674,2,0)</f>
        <v>108156418</v>
      </c>
      <c r="BB596" s="51"/>
      <c r="BC596" s="52">
        <f t="shared" si="95"/>
        <v>167437168</v>
      </c>
      <c r="BD596" s="51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>
        <v>11856150</v>
      </c>
      <c r="BO596" s="51"/>
      <c r="BP596" s="52">
        <v>179293318</v>
      </c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>
        <v>11856150</v>
      </c>
      <c r="CD596" s="52"/>
      <c r="CE596" s="52"/>
      <c r="CF596" s="52"/>
      <c r="CG596" s="52">
        <f t="shared" si="96"/>
        <v>191149468</v>
      </c>
      <c r="CH596" s="52"/>
      <c r="CI596" s="52"/>
      <c r="CJ596" s="52"/>
      <c r="CK596" s="52"/>
      <c r="CL596" s="52"/>
      <c r="CM596" s="52"/>
      <c r="CN596" s="52"/>
      <c r="CO596" s="52"/>
      <c r="CP596" s="52"/>
      <c r="CQ596" s="52">
        <v>11856150</v>
      </c>
      <c r="CR596" s="52"/>
      <c r="CS596" s="52">
        <f t="shared" si="93"/>
        <v>203005618</v>
      </c>
      <c r="CT596" s="53">
        <v>94849200</v>
      </c>
      <c r="CU596" s="53">
        <f t="shared" si="94"/>
        <v>108156418</v>
      </c>
      <c r="CV596" s="54">
        <f t="shared" si="97"/>
        <v>203005618</v>
      </c>
      <c r="CW596" s="55">
        <f t="shared" si="98"/>
        <v>0</v>
      </c>
      <c r="CX596" s="16"/>
      <c r="CY596" s="16"/>
      <c r="CZ596" s="16"/>
    </row>
    <row r="597" spans="1:108" ht="15" customHeight="1" x14ac:dyDescent="0.2">
      <c r="A597" s="1">
        <v>8001031984</v>
      </c>
      <c r="B597" s="1">
        <v>800103198</v>
      </c>
      <c r="C597" s="9">
        <v>210095200</v>
      </c>
      <c r="D597" s="10" t="s">
        <v>993</v>
      </c>
      <c r="E597" s="42" t="s">
        <v>2050</v>
      </c>
      <c r="F597" s="21"/>
      <c r="G597" s="50"/>
      <c r="H597" s="21"/>
      <c r="I597" s="50"/>
      <c r="J597" s="21"/>
      <c r="K597" s="21"/>
      <c r="L597" s="50"/>
      <c r="M597" s="51"/>
      <c r="N597" s="21"/>
      <c r="O597" s="50"/>
      <c r="P597" s="21"/>
      <c r="Q597" s="50"/>
      <c r="R597" s="21"/>
      <c r="S597" s="21"/>
      <c r="T597" s="50"/>
      <c r="U597" s="51">
        <f t="shared" si="92"/>
        <v>0</v>
      </c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>
        <v>56838817</v>
      </c>
      <c r="AN597" s="51">
        <f>SUBTOTAL(9,AC597:AM597)</f>
        <v>56838817</v>
      </c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>
        <v>58497005</v>
      </c>
      <c r="AZ597" s="51"/>
      <c r="BA597" s="51"/>
      <c r="BB597" s="51"/>
      <c r="BC597" s="52">
        <f t="shared" si="95"/>
        <v>115335822</v>
      </c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>
        <v>11699401</v>
      </c>
      <c r="BO597" s="51"/>
      <c r="BP597" s="52">
        <v>127035223</v>
      </c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>
        <v>11699401</v>
      </c>
      <c r="CD597" s="52"/>
      <c r="CE597" s="52"/>
      <c r="CF597" s="52"/>
      <c r="CG597" s="52">
        <f t="shared" si="96"/>
        <v>138734624</v>
      </c>
      <c r="CH597" s="52"/>
      <c r="CI597" s="52"/>
      <c r="CJ597" s="52"/>
      <c r="CK597" s="52"/>
      <c r="CL597" s="52"/>
      <c r="CM597" s="52"/>
      <c r="CN597" s="52"/>
      <c r="CO597" s="52"/>
      <c r="CP597" s="52"/>
      <c r="CQ597" s="52">
        <v>11699401</v>
      </c>
      <c r="CR597" s="52"/>
      <c r="CS597" s="52">
        <f t="shared" si="93"/>
        <v>150434025</v>
      </c>
      <c r="CT597" s="53">
        <v>93595208</v>
      </c>
      <c r="CU597" s="53">
        <f t="shared" si="94"/>
        <v>56838817</v>
      </c>
      <c r="CV597" s="54">
        <f t="shared" si="97"/>
        <v>150434025</v>
      </c>
      <c r="CW597" s="55">
        <f t="shared" si="98"/>
        <v>0</v>
      </c>
      <c r="CX597" s="16"/>
      <c r="CY597" s="8"/>
      <c r="CZ597" s="8"/>
      <c r="DA597" s="8"/>
      <c r="DB597" s="8"/>
      <c r="DC597" s="8"/>
      <c r="DD597" s="8"/>
    </row>
    <row r="598" spans="1:108" ht="15" customHeight="1" x14ac:dyDescent="0.2">
      <c r="A598" s="1">
        <v>8915008416</v>
      </c>
      <c r="B598" s="1">
        <v>891500841</v>
      </c>
      <c r="C598" s="9">
        <v>215519455</v>
      </c>
      <c r="D598" s="10" t="s">
        <v>392</v>
      </c>
      <c r="E598" s="42" t="s">
        <v>1421</v>
      </c>
      <c r="F598" s="21"/>
      <c r="G598" s="50"/>
      <c r="H598" s="21"/>
      <c r="I598" s="50"/>
      <c r="J598" s="21"/>
      <c r="K598" s="21"/>
      <c r="L598" s="50"/>
      <c r="M598" s="51"/>
      <c r="N598" s="21"/>
      <c r="O598" s="50"/>
      <c r="P598" s="21"/>
      <c r="Q598" s="50"/>
      <c r="R598" s="21"/>
      <c r="S598" s="21"/>
      <c r="T598" s="50"/>
      <c r="U598" s="51">
        <f t="shared" si="92"/>
        <v>0</v>
      </c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>
        <v>323408274</v>
      </c>
      <c r="AN598" s="51">
        <f>SUBTOTAL(9,AC598:AM598)</f>
        <v>323408274</v>
      </c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>
        <v>234913255</v>
      </c>
      <c r="AZ598" s="51"/>
      <c r="BA598" s="51">
        <f>VLOOKUP(B598,[1]Hoja3!J$3:K$674,2,0)</f>
        <v>102650177</v>
      </c>
      <c r="BB598" s="51"/>
      <c r="BC598" s="52">
        <f t="shared" si="95"/>
        <v>660971706</v>
      </c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>
        <v>46982651</v>
      </c>
      <c r="BO598" s="51"/>
      <c r="BP598" s="52">
        <v>707954357</v>
      </c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>
        <v>46982651</v>
      </c>
      <c r="CD598" s="52"/>
      <c r="CE598" s="52"/>
      <c r="CF598" s="52"/>
      <c r="CG598" s="52">
        <f t="shared" si="96"/>
        <v>754937008</v>
      </c>
      <c r="CH598" s="52"/>
      <c r="CI598" s="52"/>
      <c r="CJ598" s="52"/>
      <c r="CK598" s="52"/>
      <c r="CL598" s="52"/>
      <c r="CM598" s="52"/>
      <c r="CN598" s="52"/>
      <c r="CO598" s="52"/>
      <c r="CP598" s="52"/>
      <c r="CQ598" s="52">
        <v>46982651</v>
      </c>
      <c r="CR598" s="52"/>
      <c r="CS598" s="52">
        <f t="shared" si="93"/>
        <v>801919659</v>
      </c>
      <c r="CT598" s="53">
        <v>375861208</v>
      </c>
      <c r="CU598" s="53">
        <f t="shared" si="94"/>
        <v>426058451</v>
      </c>
      <c r="CV598" s="54">
        <f t="shared" si="97"/>
        <v>801919659</v>
      </c>
      <c r="CW598" s="55">
        <f t="shared" si="98"/>
        <v>0</v>
      </c>
      <c r="CX598" s="16"/>
      <c r="CY598" s="16"/>
      <c r="CZ598" s="16"/>
    </row>
    <row r="599" spans="1:108" ht="15" customHeight="1" x14ac:dyDescent="0.2">
      <c r="A599" s="1">
        <v>8000310757</v>
      </c>
      <c r="B599" s="1">
        <v>800031075</v>
      </c>
      <c r="C599" s="9">
        <v>215666456</v>
      </c>
      <c r="D599" s="10" t="s">
        <v>807</v>
      </c>
      <c r="E599" s="42" t="s">
        <v>1824</v>
      </c>
      <c r="F599" s="21"/>
      <c r="G599" s="50"/>
      <c r="H599" s="21"/>
      <c r="I599" s="50"/>
      <c r="J599" s="21"/>
      <c r="K599" s="21"/>
      <c r="L599" s="50"/>
      <c r="M599" s="51"/>
      <c r="N599" s="21"/>
      <c r="O599" s="50"/>
      <c r="P599" s="21"/>
      <c r="Q599" s="50"/>
      <c r="R599" s="21"/>
      <c r="S599" s="21"/>
      <c r="T599" s="50"/>
      <c r="U599" s="51">
        <f t="shared" si="92"/>
        <v>0</v>
      </c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>
        <v>133393165</v>
      </c>
      <c r="AZ599" s="51"/>
      <c r="BA599" s="51">
        <f>VLOOKUP(B599,[1]Hoja3!J$3:K$674,2,0)</f>
        <v>279998768</v>
      </c>
      <c r="BB599" s="51"/>
      <c r="BC599" s="52">
        <f t="shared" si="95"/>
        <v>413391933</v>
      </c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>
        <v>26678633</v>
      </c>
      <c r="BO599" s="51"/>
      <c r="BP599" s="52">
        <v>440070566</v>
      </c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>
        <v>26678633</v>
      </c>
      <c r="CD599" s="52"/>
      <c r="CE599" s="52"/>
      <c r="CF599" s="52"/>
      <c r="CG599" s="52">
        <f t="shared" si="96"/>
        <v>466749199</v>
      </c>
      <c r="CH599" s="52"/>
      <c r="CI599" s="52"/>
      <c r="CJ599" s="52"/>
      <c r="CK599" s="52"/>
      <c r="CL599" s="52"/>
      <c r="CM599" s="52"/>
      <c r="CN599" s="52"/>
      <c r="CO599" s="52"/>
      <c r="CP599" s="52"/>
      <c r="CQ599" s="52">
        <v>26678633</v>
      </c>
      <c r="CR599" s="52"/>
      <c r="CS599" s="52">
        <f t="shared" si="93"/>
        <v>493427832</v>
      </c>
      <c r="CT599" s="53">
        <v>213429064</v>
      </c>
      <c r="CU599" s="53">
        <f t="shared" si="94"/>
        <v>279998768</v>
      </c>
      <c r="CV599" s="54">
        <f t="shared" si="97"/>
        <v>493427832</v>
      </c>
      <c r="CW599" s="55">
        <f t="shared" si="98"/>
        <v>0</v>
      </c>
      <c r="CX599" s="16"/>
      <c r="CY599" s="16"/>
      <c r="CZ599" s="16"/>
    </row>
    <row r="600" spans="1:108" ht="15" customHeight="1" x14ac:dyDescent="0.2">
      <c r="A600" s="1">
        <v>8920992331</v>
      </c>
      <c r="B600" s="1">
        <v>892099233</v>
      </c>
      <c r="C600" s="9">
        <v>210197001</v>
      </c>
      <c r="D600" s="10" t="s">
        <v>994</v>
      </c>
      <c r="E600" s="42" t="s">
        <v>2051</v>
      </c>
      <c r="F600" s="21"/>
      <c r="G600" s="50"/>
      <c r="H600" s="21"/>
      <c r="I600" s="50"/>
      <c r="J600" s="21"/>
      <c r="K600" s="21"/>
      <c r="L600" s="50"/>
      <c r="M600" s="51"/>
      <c r="N600" s="21"/>
      <c r="O600" s="50"/>
      <c r="P600" s="21"/>
      <c r="Q600" s="50"/>
      <c r="R600" s="21"/>
      <c r="S600" s="21"/>
      <c r="T600" s="50"/>
      <c r="U600" s="51">
        <f t="shared" si="92"/>
        <v>0</v>
      </c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>
        <v>275420881</v>
      </c>
      <c r="AN600" s="51">
        <f>SUBTOTAL(9,AC600:AM600)</f>
        <v>275420881</v>
      </c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>
        <v>290343695</v>
      </c>
      <c r="AZ600" s="51"/>
      <c r="BA600" s="51"/>
      <c r="BB600" s="51"/>
      <c r="BC600" s="52">
        <f t="shared" si="95"/>
        <v>565764576</v>
      </c>
      <c r="BD600" s="51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>
        <v>58068739</v>
      </c>
      <c r="BO600" s="51"/>
      <c r="BP600" s="52">
        <v>623833315</v>
      </c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>
        <v>58068739</v>
      </c>
      <c r="CD600" s="52"/>
      <c r="CE600" s="52"/>
      <c r="CF600" s="52"/>
      <c r="CG600" s="52">
        <f t="shared" si="96"/>
        <v>681902054</v>
      </c>
      <c r="CH600" s="52"/>
      <c r="CI600" s="52"/>
      <c r="CJ600" s="52"/>
      <c r="CK600" s="52"/>
      <c r="CL600" s="52"/>
      <c r="CM600" s="52"/>
      <c r="CN600" s="52"/>
      <c r="CO600" s="52"/>
      <c r="CP600" s="52"/>
      <c r="CQ600" s="52">
        <v>58068739</v>
      </c>
      <c r="CR600" s="52"/>
      <c r="CS600" s="52">
        <f t="shared" si="93"/>
        <v>739970793</v>
      </c>
      <c r="CT600" s="53">
        <v>464549912</v>
      </c>
      <c r="CU600" s="53">
        <f t="shared" si="94"/>
        <v>275420881</v>
      </c>
      <c r="CV600" s="54">
        <f t="shared" si="97"/>
        <v>739970793</v>
      </c>
      <c r="CW600" s="55">
        <f t="shared" si="98"/>
        <v>0</v>
      </c>
      <c r="CX600" s="16"/>
      <c r="CY600" s="16"/>
      <c r="CZ600" s="16"/>
    </row>
    <row r="601" spans="1:108" ht="15" customHeight="1" x14ac:dyDescent="0.2">
      <c r="A601" s="1">
        <v>8001028916</v>
      </c>
      <c r="B601" s="1">
        <v>800102891</v>
      </c>
      <c r="C601" s="9">
        <v>210186001</v>
      </c>
      <c r="D601" s="10" t="s">
        <v>974</v>
      </c>
      <c r="E601" s="42" t="s">
        <v>2033</v>
      </c>
      <c r="F601" s="21"/>
      <c r="G601" s="50"/>
      <c r="H601" s="21"/>
      <c r="I601" s="50"/>
      <c r="J601" s="21"/>
      <c r="K601" s="21"/>
      <c r="L601" s="50"/>
      <c r="M601" s="51"/>
      <c r="N601" s="21"/>
      <c r="O601" s="50"/>
      <c r="P601" s="21"/>
      <c r="Q601" s="50"/>
      <c r="R601" s="21"/>
      <c r="S601" s="21"/>
      <c r="T601" s="50"/>
      <c r="U601" s="51">
        <f t="shared" si="92"/>
        <v>0</v>
      </c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>
        <v>619543596</v>
      </c>
      <c r="AN601" s="51">
        <f>SUBTOTAL(9,AC601:AM601)</f>
        <v>619543596</v>
      </c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>
        <v>280060440</v>
      </c>
      <c r="AZ601" s="51"/>
      <c r="BA601" s="51">
        <f>VLOOKUP(B601,[1]Hoja3!J$3:K$674,2,0)</f>
        <v>155493061</v>
      </c>
      <c r="BB601" s="51"/>
      <c r="BC601" s="52">
        <f t="shared" si="95"/>
        <v>1055097097</v>
      </c>
      <c r="BD601" s="51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>
        <v>56012088</v>
      </c>
      <c r="BO601" s="51"/>
      <c r="BP601" s="52">
        <v>1111109185</v>
      </c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>
        <v>56012088</v>
      </c>
      <c r="CD601" s="52"/>
      <c r="CE601" s="52"/>
      <c r="CF601" s="52"/>
      <c r="CG601" s="52">
        <f t="shared" si="96"/>
        <v>1167121273</v>
      </c>
      <c r="CH601" s="52"/>
      <c r="CI601" s="52"/>
      <c r="CJ601" s="52"/>
      <c r="CK601" s="52"/>
      <c r="CL601" s="52"/>
      <c r="CM601" s="52"/>
      <c r="CN601" s="52"/>
      <c r="CO601" s="52"/>
      <c r="CP601" s="52"/>
      <c r="CQ601" s="52">
        <v>56012088</v>
      </c>
      <c r="CR601" s="52"/>
      <c r="CS601" s="52">
        <f t="shared" si="93"/>
        <v>1223133361</v>
      </c>
      <c r="CT601" s="53">
        <v>448096704</v>
      </c>
      <c r="CU601" s="53">
        <f t="shared" si="94"/>
        <v>775036657</v>
      </c>
      <c r="CV601" s="54">
        <f t="shared" si="97"/>
        <v>1223133361</v>
      </c>
      <c r="CW601" s="55">
        <f t="shared" si="98"/>
        <v>0</v>
      </c>
      <c r="CX601" s="16"/>
      <c r="CY601" s="16"/>
      <c r="CZ601" s="16"/>
    </row>
    <row r="602" spans="1:108" ht="15" customHeight="1" x14ac:dyDescent="0.2">
      <c r="A602" s="1">
        <v>8902056325</v>
      </c>
      <c r="B602" s="1">
        <v>890205632</v>
      </c>
      <c r="C602" s="9">
        <v>216468464</v>
      </c>
      <c r="D602" s="10" t="s">
        <v>858</v>
      </c>
      <c r="E602" s="42" t="s">
        <v>1872</v>
      </c>
      <c r="F602" s="21"/>
      <c r="G602" s="50"/>
      <c r="H602" s="21"/>
      <c r="I602" s="50"/>
      <c r="J602" s="21"/>
      <c r="K602" s="21"/>
      <c r="L602" s="50"/>
      <c r="M602" s="51"/>
      <c r="N602" s="21"/>
      <c r="O602" s="50"/>
      <c r="P602" s="21"/>
      <c r="Q602" s="50"/>
      <c r="R602" s="21"/>
      <c r="S602" s="21"/>
      <c r="T602" s="50"/>
      <c r="U602" s="51">
        <f t="shared" si="92"/>
        <v>0</v>
      </c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>
        <v>85683590</v>
      </c>
      <c r="AZ602" s="51"/>
      <c r="BA602" s="51">
        <f>VLOOKUP(B602,[1]Hoja3!J$3:K$674,2,0)</f>
        <v>174003120</v>
      </c>
      <c r="BB602" s="51"/>
      <c r="BC602" s="52">
        <f t="shared" si="95"/>
        <v>259686710</v>
      </c>
      <c r="BD602" s="51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>
        <v>17136718</v>
      </c>
      <c r="BO602" s="51"/>
      <c r="BP602" s="52">
        <v>276823428</v>
      </c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>
        <v>17136718</v>
      </c>
      <c r="CD602" s="52"/>
      <c r="CE602" s="52"/>
      <c r="CF602" s="52"/>
      <c r="CG602" s="52">
        <f t="shared" si="96"/>
        <v>293960146</v>
      </c>
      <c r="CH602" s="52"/>
      <c r="CI602" s="52"/>
      <c r="CJ602" s="52"/>
      <c r="CK602" s="52"/>
      <c r="CL602" s="52"/>
      <c r="CM602" s="52"/>
      <c r="CN602" s="52"/>
      <c r="CO602" s="52"/>
      <c r="CP602" s="52"/>
      <c r="CQ602" s="52">
        <v>17136718</v>
      </c>
      <c r="CR602" s="52"/>
      <c r="CS602" s="52">
        <f t="shared" si="93"/>
        <v>311096864</v>
      </c>
      <c r="CT602" s="53">
        <v>137093744</v>
      </c>
      <c r="CU602" s="53">
        <f t="shared" si="94"/>
        <v>174003120</v>
      </c>
      <c r="CV602" s="54">
        <f t="shared" si="97"/>
        <v>311096864</v>
      </c>
      <c r="CW602" s="55">
        <f t="shared" si="98"/>
        <v>0</v>
      </c>
      <c r="CX602" s="16"/>
      <c r="CY602" s="16"/>
      <c r="CZ602" s="16"/>
    </row>
    <row r="603" spans="1:108" ht="15" customHeight="1" x14ac:dyDescent="0.2">
      <c r="A603" s="1">
        <v>8902053266</v>
      </c>
      <c r="B603" s="1">
        <v>890205326</v>
      </c>
      <c r="C603" s="9">
        <v>216868468</v>
      </c>
      <c r="D603" s="10" t="s">
        <v>859</v>
      </c>
      <c r="E603" s="42" t="s">
        <v>2086</v>
      </c>
      <c r="F603" s="21"/>
      <c r="G603" s="50"/>
      <c r="H603" s="21"/>
      <c r="I603" s="50"/>
      <c r="J603" s="21"/>
      <c r="K603" s="21"/>
      <c r="L603" s="50"/>
      <c r="M603" s="51"/>
      <c r="N603" s="21"/>
      <c r="O603" s="50"/>
      <c r="P603" s="21"/>
      <c r="Q603" s="50"/>
      <c r="R603" s="21"/>
      <c r="S603" s="21"/>
      <c r="T603" s="50"/>
      <c r="U603" s="51">
        <f t="shared" si="92"/>
        <v>0</v>
      </c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>
        <v>33956926</v>
      </c>
      <c r="AN603" s="51">
        <f>SUBTOTAL(9,AC603:AM603)</f>
        <v>33956926</v>
      </c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>
        <v>27520835</v>
      </c>
      <c r="AZ603" s="51"/>
      <c r="BA603" s="51">
        <f>VLOOKUP(B603,[1]Hoja3!J$3:K$674,2,0)</f>
        <v>29358957</v>
      </c>
      <c r="BB603" s="51"/>
      <c r="BC603" s="52">
        <f t="shared" si="95"/>
        <v>90836718</v>
      </c>
      <c r="BD603" s="51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>
        <v>5504167</v>
      </c>
      <c r="BO603" s="51"/>
      <c r="BP603" s="52">
        <v>96340885</v>
      </c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>
        <v>5504167</v>
      </c>
      <c r="CD603" s="52"/>
      <c r="CE603" s="52"/>
      <c r="CF603" s="52"/>
      <c r="CG603" s="52">
        <f t="shared" si="96"/>
        <v>101845052</v>
      </c>
      <c r="CH603" s="52"/>
      <c r="CI603" s="52"/>
      <c r="CJ603" s="52"/>
      <c r="CK603" s="52"/>
      <c r="CL603" s="52"/>
      <c r="CM603" s="52"/>
      <c r="CN603" s="52"/>
      <c r="CO603" s="52"/>
      <c r="CP603" s="52"/>
      <c r="CQ603" s="52">
        <v>5504167</v>
      </c>
      <c r="CR603" s="52"/>
      <c r="CS603" s="52">
        <f t="shared" si="93"/>
        <v>107349219</v>
      </c>
      <c r="CT603" s="53">
        <v>44033336</v>
      </c>
      <c r="CU603" s="53">
        <f t="shared" si="94"/>
        <v>63315883</v>
      </c>
      <c r="CV603" s="54">
        <f t="shared" si="97"/>
        <v>107349219</v>
      </c>
      <c r="CW603" s="55">
        <f t="shared" si="98"/>
        <v>0</v>
      </c>
      <c r="CX603" s="16"/>
      <c r="CY603" s="16"/>
      <c r="CZ603" s="16"/>
    </row>
    <row r="604" spans="1:108" ht="15" customHeight="1" x14ac:dyDescent="0.2">
      <c r="A604" s="1">
        <v>8000967628</v>
      </c>
      <c r="B604" s="1">
        <v>800096762</v>
      </c>
      <c r="C604" s="9">
        <v>216423464</v>
      </c>
      <c r="D604" s="10" t="s">
        <v>447</v>
      </c>
      <c r="E604" s="42" t="s">
        <v>1474</v>
      </c>
      <c r="F604" s="21"/>
      <c r="G604" s="50"/>
      <c r="H604" s="21"/>
      <c r="I604" s="50"/>
      <c r="J604" s="21"/>
      <c r="K604" s="21"/>
      <c r="L604" s="50"/>
      <c r="M604" s="51"/>
      <c r="N604" s="21"/>
      <c r="O604" s="50"/>
      <c r="P604" s="21"/>
      <c r="Q604" s="50"/>
      <c r="R604" s="21"/>
      <c r="S604" s="21"/>
      <c r="T604" s="50"/>
      <c r="U604" s="51">
        <f t="shared" si="92"/>
        <v>0</v>
      </c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>
        <v>227193014</v>
      </c>
      <c r="AN604" s="51">
        <f>SUBTOTAL(9,AC604:AM604)</f>
        <v>227193014</v>
      </c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>
        <v>174161355</v>
      </c>
      <c r="AZ604" s="51"/>
      <c r="BA604" s="51"/>
      <c r="BB604" s="51"/>
      <c r="BC604" s="52">
        <f t="shared" si="95"/>
        <v>401354369</v>
      </c>
      <c r="BD604" s="51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>
        <v>34832271</v>
      </c>
      <c r="BO604" s="51"/>
      <c r="BP604" s="52">
        <v>436186640</v>
      </c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>
        <v>34832271</v>
      </c>
      <c r="CD604" s="52"/>
      <c r="CE604" s="52"/>
      <c r="CF604" s="52"/>
      <c r="CG604" s="52">
        <f t="shared" si="96"/>
        <v>471018911</v>
      </c>
      <c r="CH604" s="52"/>
      <c r="CI604" s="52"/>
      <c r="CJ604" s="52"/>
      <c r="CK604" s="52"/>
      <c r="CL604" s="52"/>
      <c r="CM604" s="52"/>
      <c r="CN604" s="52"/>
      <c r="CO604" s="52"/>
      <c r="CP604" s="52"/>
      <c r="CQ604" s="52">
        <v>34832271</v>
      </c>
      <c r="CR604" s="52"/>
      <c r="CS604" s="52">
        <f t="shared" si="93"/>
        <v>505851182</v>
      </c>
      <c r="CT604" s="53">
        <v>278658168</v>
      </c>
      <c r="CU604" s="53">
        <f t="shared" si="94"/>
        <v>227193014</v>
      </c>
      <c r="CV604" s="54">
        <f t="shared" si="97"/>
        <v>505851182</v>
      </c>
      <c r="CW604" s="55">
        <f t="shared" si="98"/>
        <v>0</v>
      </c>
      <c r="CX604" s="16"/>
      <c r="CY604" s="16"/>
      <c r="CZ604" s="16"/>
    </row>
    <row r="605" spans="1:108" ht="15" customHeight="1" x14ac:dyDescent="0.2">
      <c r="A605" s="1">
        <v>8904806433</v>
      </c>
      <c r="B605" s="1">
        <v>890480643</v>
      </c>
      <c r="C605" s="9">
        <v>216813468</v>
      </c>
      <c r="D605" s="10" t="s">
        <v>198</v>
      </c>
      <c r="E605" s="42" t="s">
        <v>1229</v>
      </c>
      <c r="F605" s="21"/>
      <c r="G605" s="50"/>
      <c r="H605" s="21"/>
      <c r="I605" s="50"/>
      <c r="J605" s="21"/>
      <c r="K605" s="21"/>
      <c r="L605" s="50"/>
      <c r="M605" s="51"/>
      <c r="N605" s="21"/>
      <c r="O605" s="50"/>
      <c r="P605" s="21"/>
      <c r="Q605" s="50"/>
      <c r="R605" s="21"/>
      <c r="S605" s="21"/>
      <c r="T605" s="50"/>
      <c r="U605" s="51">
        <f t="shared" si="92"/>
        <v>0</v>
      </c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>
        <v>744438989</v>
      </c>
      <c r="AN605" s="51">
        <f>SUBTOTAL(9,AC605:AM605)</f>
        <v>744438989</v>
      </c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>
        <f>VLOOKUP(B605,[1]Hoja3!J$3:K$674,2,0)</f>
        <v>118392616</v>
      </c>
      <c r="BB605" s="51">
        <f>VLOOKUP(B605,'[2]anuladas en mayo gratuidad}'!K$2:L$55,2,0)</f>
        <v>73892793</v>
      </c>
      <c r="BC605" s="52">
        <f t="shared" si="95"/>
        <v>788938812</v>
      </c>
      <c r="BD605" s="51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>
        <v>0</v>
      </c>
      <c r="BO605" s="51">
        <v>73892793</v>
      </c>
      <c r="BP605" s="52">
        <v>862831605</v>
      </c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>
        <v>588425593</v>
      </c>
      <c r="CD605" s="52"/>
      <c r="CE605" s="52"/>
      <c r="CF605" s="52"/>
      <c r="CG605" s="52">
        <f t="shared" si="96"/>
        <v>1451257198</v>
      </c>
      <c r="CH605" s="52"/>
      <c r="CI605" s="52"/>
      <c r="CJ605" s="52"/>
      <c r="CK605" s="52"/>
      <c r="CL605" s="52"/>
      <c r="CM605" s="52"/>
      <c r="CN605" s="52"/>
      <c r="CO605" s="52"/>
      <c r="CP605" s="52"/>
      <c r="CQ605" s="52">
        <v>84060799</v>
      </c>
      <c r="CR605" s="52"/>
      <c r="CS605" s="52">
        <f t="shared" si="93"/>
        <v>1535317997</v>
      </c>
      <c r="CT605" s="53">
        <v>672486392</v>
      </c>
      <c r="CU605" s="53">
        <f t="shared" si="94"/>
        <v>862831605</v>
      </c>
      <c r="CV605" s="54">
        <f t="shared" si="97"/>
        <v>1535317997</v>
      </c>
      <c r="CW605" s="55">
        <f t="shared" si="98"/>
        <v>0</v>
      </c>
      <c r="CX605" s="16"/>
      <c r="CY605" s="8"/>
      <c r="CZ605" s="8"/>
      <c r="DA605" s="8"/>
      <c r="DB605" s="8"/>
      <c r="DC605" s="8"/>
      <c r="DD605" s="8"/>
    </row>
    <row r="606" spans="1:108" ht="15" customHeight="1" x14ac:dyDescent="0.2">
      <c r="A606" s="1">
        <v>8918557357</v>
      </c>
      <c r="B606" s="1">
        <v>891855735</v>
      </c>
      <c r="C606" s="9">
        <v>216415464</v>
      </c>
      <c r="D606" s="10" t="s">
        <v>269</v>
      </c>
      <c r="E606" s="42" t="s">
        <v>1303</v>
      </c>
      <c r="F606" s="21"/>
      <c r="G606" s="50"/>
      <c r="H606" s="21"/>
      <c r="I606" s="50"/>
      <c r="J606" s="21"/>
      <c r="K606" s="21"/>
      <c r="L606" s="50"/>
      <c r="M606" s="51"/>
      <c r="N606" s="21"/>
      <c r="O606" s="50"/>
      <c r="P606" s="21"/>
      <c r="Q606" s="50"/>
      <c r="R606" s="21"/>
      <c r="S606" s="21"/>
      <c r="T606" s="50"/>
      <c r="U606" s="51">
        <f t="shared" si="92"/>
        <v>0</v>
      </c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>
        <v>34646055</v>
      </c>
      <c r="AZ606" s="51"/>
      <c r="BA606" s="51">
        <f>VLOOKUP(B606,[1]Hoja3!J$3:K$674,2,0)</f>
        <v>71127074</v>
      </c>
      <c r="BB606" s="51"/>
      <c r="BC606" s="52">
        <f t="shared" si="95"/>
        <v>105773129</v>
      </c>
      <c r="BD606" s="51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>
        <v>6929211</v>
      </c>
      <c r="BO606" s="51"/>
      <c r="BP606" s="52">
        <v>112702340</v>
      </c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>
        <v>6929211</v>
      </c>
      <c r="CD606" s="52"/>
      <c r="CE606" s="52"/>
      <c r="CF606" s="52"/>
      <c r="CG606" s="52">
        <f t="shared" si="96"/>
        <v>119631551</v>
      </c>
      <c r="CH606" s="52"/>
      <c r="CI606" s="52"/>
      <c r="CJ606" s="52"/>
      <c r="CK606" s="52"/>
      <c r="CL606" s="52"/>
      <c r="CM606" s="52"/>
      <c r="CN606" s="52"/>
      <c r="CO606" s="52"/>
      <c r="CP606" s="52"/>
      <c r="CQ606" s="52">
        <v>6929211</v>
      </c>
      <c r="CR606" s="52"/>
      <c r="CS606" s="52">
        <f t="shared" si="93"/>
        <v>126560762</v>
      </c>
      <c r="CT606" s="53">
        <v>55433688</v>
      </c>
      <c r="CU606" s="53">
        <f t="shared" si="94"/>
        <v>71127074</v>
      </c>
      <c r="CV606" s="54">
        <f t="shared" si="97"/>
        <v>126560762</v>
      </c>
      <c r="CW606" s="55">
        <f t="shared" si="98"/>
        <v>0</v>
      </c>
      <c r="CX606" s="16"/>
      <c r="CY606" s="8"/>
      <c r="CZ606" s="8"/>
      <c r="DA606" s="8"/>
      <c r="DB606" s="8"/>
      <c r="DC606" s="8"/>
      <c r="DD606" s="8"/>
    </row>
    <row r="607" spans="1:108" ht="15" customHeight="1" x14ac:dyDescent="0.2">
      <c r="A607" s="1">
        <v>8918565552</v>
      </c>
      <c r="B607" s="1">
        <v>891856555</v>
      </c>
      <c r="C607" s="9">
        <v>216615466</v>
      </c>
      <c r="D607" s="10" t="s">
        <v>270</v>
      </c>
      <c r="E607" s="42" t="s">
        <v>1304</v>
      </c>
      <c r="F607" s="21"/>
      <c r="G607" s="50"/>
      <c r="H607" s="21"/>
      <c r="I607" s="50"/>
      <c r="J607" s="21"/>
      <c r="K607" s="21"/>
      <c r="L607" s="50"/>
      <c r="M607" s="51"/>
      <c r="N607" s="21"/>
      <c r="O607" s="50"/>
      <c r="P607" s="21"/>
      <c r="Q607" s="50"/>
      <c r="R607" s="21"/>
      <c r="S607" s="21"/>
      <c r="T607" s="50"/>
      <c r="U607" s="51">
        <f t="shared" si="92"/>
        <v>0</v>
      </c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>
        <v>27460881</v>
      </c>
      <c r="AN607" s="51">
        <f>SUBTOTAL(9,AC607:AM607)</f>
        <v>27460881</v>
      </c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>
        <v>38207910</v>
      </c>
      <c r="AZ607" s="51"/>
      <c r="BA607" s="51">
        <f>VLOOKUP(B607,[1]Hoja3!J$3:K$674,2,0)</f>
        <v>43384002</v>
      </c>
      <c r="BB607" s="51"/>
      <c r="BC607" s="52">
        <f t="shared" si="95"/>
        <v>109052793</v>
      </c>
      <c r="BD607" s="51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>
        <v>7641582</v>
      </c>
      <c r="BO607" s="51"/>
      <c r="BP607" s="52">
        <v>116694375</v>
      </c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>
        <v>7641582</v>
      </c>
      <c r="CD607" s="52"/>
      <c r="CE607" s="52"/>
      <c r="CF607" s="52"/>
      <c r="CG607" s="52">
        <f t="shared" si="96"/>
        <v>124335957</v>
      </c>
      <c r="CH607" s="52"/>
      <c r="CI607" s="52"/>
      <c r="CJ607" s="52"/>
      <c r="CK607" s="52"/>
      <c r="CL607" s="52"/>
      <c r="CM607" s="52"/>
      <c r="CN607" s="52"/>
      <c r="CO607" s="52"/>
      <c r="CP607" s="52"/>
      <c r="CQ607" s="52">
        <v>7641582</v>
      </c>
      <c r="CR607" s="52"/>
      <c r="CS607" s="52">
        <f t="shared" si="93"/>
        <v>131977539</v>
      </c>
      <c r="CT607" s="53">
        <v>61132656</v>
      </c>
      <c r="CU607" s="53">
        <f t="shared" si="94"/>
        <v>70844883</v>
      </c>
      <c r="CV607" s="54">
        <f t="shared" si="97"/>
        <v>131977539</v>
      </c>
      <c r="CW607" s="55">
        <f t="shared" si="98"/>
        <v>0</v>
      </c>
      <c r="CX607" s="16"/>
      <c r="CY607" s="8"/>
      <c r="CZ607" s="8"/>
      <c r="DA607" s="8"/>
      <c r="DB607" s="8"/>
      <c r="DC607" s="8"/>
      <c r="DD607" s="8"/>
    </row>
    <row r="608" spans="1:108" ht="15" customHeight="1" x14ac:dyDescent="0.2">
      <c r="A608" s="1">
        <v>8000996623</v>
      </c>
      <c r="B608" s="1">
        <v>800099662</v>
      </c>
      <c r="C608" s="9">
        <v>216915469</v>
      </c>
      <c r="D608" s="10" t="s">
        <v>271</v>
      </c>
      <c r="E608" s="42" t="s">
        <v>1305</v>
      </c>
      <c r="F608" s="21"/>
      <c r="G608" s="50"/>
      <c r="H608" s="21"/>
      <c r="I608" s="50"/>
      <c r="J608" s="21"/>
      <c r="K608" s="21"/>
      <c r="L608" s="50"/>
      <c r="M608" s="51"/>
      <c r="N608" s="21"/>
      <c r="O608" s="50"/>
      <c r="P608" s="21"/>
      <c r="Q608" s="50"/>
      <c r="R608" s="21"/>
      <c r="S608" s="21"/>
      <c r="T608" s="50"/>
      <c r="U608" s="51">
        <f t="shared" si="92"/>
        <v>0</v>
      </c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>
        <v>26072407</v>
      </c>
      <c r="AN608" s="51">
        <f>SUBTOTAL(9,AC608:AM608)</f>
        <v>26072407</v>
      </c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>
        <v>152485565</v>
      </c>
      <c r="AZ608" s="51"/>
      <c r="BA608" s="51">
        <f>VLOOKUP(B608,[1]Hoja3!J$3:K$674,2,0)</f>
        <v>333082281</v>
      </c>
      <c r="BB608" s="51"/>
      <c r="BC608" s="52">
        <f t="shared" si="95"/>
        <v>511640253</v>
      </c>
      <c r="BD608" s="51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>
        <v>30497113</v>
      </c>
      <c r="BO608" s="51"/>
      <c r="BP608" s="52">
        <v>542137366</v>
      </c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>
        <v>30497113</v>
      </c>
      <c r="CD608" s="52"/>
      <c r="CE608" s="52"/>
      <c r="CF608" s="52"/>
      <c r="CG608" s="52">
        <f t="shared" si="96"/>
        <v>572634479</v>
      </c>
      <c r="CH608" s="52"/>
      <c r="CI608" s="52"/>
      <c r="CJ608" s="52"/>
      <c r="CK608" s="52"/>
      <c r="CL608" s="52"/>
      <c r="CM608" s="52"/>
      <c r="CN608" s="52"/>
      <c r="CO608" s="52"/>
      <c r="CP608" s="52"/>
      <c r="CQ608" s="52">
        <v>30497113</v>
      </c>
      <c r="CR608" s="52"/>
      <c r="CS608" s="52">
        <f t="shared" si="93"/>
        <v>603131592</v>
      </c>
      <c r="CT608" s="53">
        <v>243976904</v>
      </c>
      <c r="CU608" s="53">
        <f t="shared" si="94"/>
        <v>359154688</v>
      </c>
      <c r="CV608" s="54">
        <f t="shared" si="97"/>
        <v>603131592</v>
      </c>
      <c r="CW608" s="55">
        <f t="shared" si="98"/>
        <v>0</v>
      </c>
      <c r="CX608" s="16"/>
      <c r="CY608" s="8"/>
      <c r="CZ608" s="8"/>
      <c r="DA608" s="8"/>
      <c r="DB608" s="8"/>
      <c r="DC608" s="8"/>
      <c r="DD608" s="8"/>
    </row>
    <row r="609" spans="1:108" ht="15" customHeight="1" x14ac:dyDescent="0.2">
      <c r="A609" s="1">
        <v>8909811156</v>
      </c>
      <c r="B609" s="1">
        <v>890981115</v>
      </c>
      <c r="C609" s="9">
        <v>216705467</v>
      </c>
      <c r="D609" s="10" t="s">
        <v>108</v>
      </c>
      <c r="E609" s="42" t="s">
        <v>1139</v>
      </c>
      <c r="F609" s="21"/>
      <c r="G609" s="50"/>
      <c r="H609" s="21"/>
      <c r="I609" s="50"/>
      <c r="J609" s="21"/>
      <c r="K609" s="21"/>
      <c r="L609" s="50"/>
      <c r="M609" s="51"/>
      <c r="N609" s="21"/>
      <c r="O609" s="50"/>
      <c r="P609" s="21"/>
      <c r="Q609" s="50"/>
      <c r="R609" s="21"/>
      <c r="S609" s="21"/>
      <c r="T609" s="50"/>
      <c r="U609" s="51">
        <f t="shared" si="92"/>
        <v>0</v>
      </c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>
        <v>36411565</v>
      </c>
      <c r="AZ609" s="51"/>
      <c r="BA609" s="51">
        <f>VLOOKUP(B609,[1]Hoja3!J$3:K$674,2,0)</f>
        <v>75997856</v>
      </c>
      <c r="BB609" s="51"/>
      <c r="BC609" s="52">
        <f t="shared" si="95"/>
        <v>112409421</v>
      </c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>
        <v>7282313</v>
      </c>
      <c r="BO609" s="51"/>
      <c r="BP609" s="52">
        <v>119691734</v>
      </c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>
        <v>7282313</v>
      </c>
      <c r="CD609" s="52"/>
      <c r="CE609" s="52"/>
      <c r="CF609" s="52"/>
      <c r="CG609" s="52">
        <f t="shared" si="96"/>
        <v>126974047</v>
      </c>
      <c r="CH609" s="52"/>
      <c r="CI609" s="52"/>
      <c r="CJ609" s="52"/>
      <c r="CK609" s="52"/>
      <c r="CL609" s="52"/>
      <c r="CM609" s="52"/>
      <c r="CN609" s="52"/>
      <c r="CO609" s="52"/>
      <c r="CP609" s="52"/>
      <c r="CQ609" s="52">
        <v>7282313</v>
      </c>
      <c r="CR609" s="52"/>
      <c r="CS609" s="52">
        <f t="shared" si="93"/>
        <v>134256360</v>
      </c>
      <c r="CT609" s="53">
        <v>58258504</v>
      </c>
      <c r="CU609" s="53">
        <f t="shared" si="94"/>
        <v>75997856</v>
      </c>
      <c r="CV609" s="54">
        <f t="shared" si="97"/>
        <v>134256360</v>
      </c>
      <c r="CW609" s="55">
        <f t="shared" si="98"/>
        <v>0</v>
      </c>
      <c r="CX609" s="16"/>
      <c r="CY609" s="16"/>
      <c r="CZ609" s="16"/>
    </row>
    <row r="610" spans="1:108" ht="15" customHeight="1" x14ac:dyDescent="0.2">
      <c r="A610" s="1">
        <v>8002547221</v>
      </c>
      <c r="B610" s="1">
        <v>800254722</v>
      </c>
      <c r="C610" s="9">
        <v>215813458</v>
      </c>
      <c r="D610" s="10" t="s">
        <v>197</v>
      </c>
      <c r="E610" s="42" t="s">
        <v>1228</v>
      </c>
      <c r="F610" s="21"/>
      <c r="G610" s="50"/>
      <c r="H610" s="21"/>
      <c r="I610" s="50"/>
      <c r="J610" s="21"/>
      <c r="K610" s="21"/>
      <c r="L610" s="50"/>
      <c r="M610" s="51"/>
      <c r="N610" s="21"/>
      <c r="O610" s="50"/>
      <c r="P610" s="21"/>
      <c r="Q610" s="50"/>
      <c r="R610" s="21"/>
      <c r="S610" s="21"/>
      <c r="T610" s="50"/>
      <c r="U610" s="51">
        <f t="shared" si="92"/>
        <v>0</v>
      </c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2">
        <f t="shared" si="95"/>
        <v>0</v>
      </c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>
        <v>0</v>
      </c>
      <c r="BO610" s="51"/>
      <c r="BP610" s="51">
        <v>0</v>
      </c>
      <c r="BQ610" s="52"/>
      <c r="BR610" s="52"/>
      <c r="BS610" s="52"/>
      <c r="BT610" s="52"/>
      <c r="BU610" s="52"/>
      <c r="BV610" s="52"/>
      <c r="BW610" s="52"/>
      <c r="BX610" s="52"/>
      <c r="BY610" s="52"/>
      <c r="BZ610" s="52"/>
      <c r="CA610" s="52"/>
      <c r="CB610" s="52"/>
      <c r="CC610" s="52">
        <v>0</v>
      </c>
      <c r="CD610" s="52"/>
      <c r="CE610" s="52"/>
      <c r="CF610" s="52"/>
      <c r="CG610" s="52">
        <f t="shared" si="96"/>
        <v>0</v>
      </c>
      <c r="CH610" s="52"/>
      <c r="CI610" s="52"/>
      <c r="CJ610" s="52"/>
      <c r="CK610" s="52"/>
      <c r="CL610" s="52"/>
      <c r="CM610" s="52"/>
      <c r="CN610" s="52"/>
      <c r="CO610" s="52"/>
      <c r="CP610" s="52"/>
      <c r="CQ610" s="52">
        <v>0</v>
      </c>
      <c r="CR610" s="52">
        <v>74197468</v>
      </c>
      <c r="CS610" s="52">
        <f t="shared" si="93"/>
        <v>74197468</v>
      </c>
      <c r="CT610" s="53"/>
      <c r="CU610" s="53">
        <f t="shared" si="94"/>
        <v>74197468</v>
      </c>
      <c r="CV610" s="54">
        <f t="shared" si="97"/>
        <v>74197468</v>
      </c>
      <c r="CW610" s="55">
        <f t="shared" si="98"/>
        <v>0</v>
      </c>
      <c r="CX610" s="16"/>
      <c r="CY610" s="8"/>
      <c r="CZ610" s="8"/>
      <c r="DA610" s="8"/>
      <c r="DB610" s="8"/>
      <c r="DC610" s="8"/>
      <c r="DD610" s="8"/>
    </row>
    <row r="611" spans="1:108" ht="15" customHeight="1" x14ac:dyDescent="0.2">
      <c r="A611" s="1">
        <v>8000967635</v>
      </c>
      <c r="B611" s="1">
        <v>800096763</v>
      </c>
      <c r="C611" s="9">
        <v>216623466</v>
      </c>
      <c r="D611" s="10" t="s">
        <v>448</v>
      </c>
      <c r="E611" s="42" t="s">
        <v>1475</v>
      </c>
      <c r="F611" s="21"/>
      <c r="G611" s="50"/>
      <c r="H611" s="21"/>
      <c r="I611" s="50"/>
      <c r="J611" s="21"/>
      <c r="K611" s="21"/>
      <c r="L611" s="50"/>
      <c r="M611" s="51"/>
      <c r="N611" s="21"/>
      <c r="O611" s="50"/>
      <c r="P611" s="21"/>
      <c r="Q611" s="50"/>
      <c r="R611" s="21"/>
      <c r="S611" s="21"/>
      <c r="T611" s="50"/>
      <c r="U611" s="51">
        <f t="shared" si="92"/>
        <v>0</v>
      </c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>
        <v>1247020128</v>
      </c>
      <c r="AN611" s="51">
        <f t="shared" ref="AN611:AN624" si="100">SUBTOTAL(9,AC611:AM611)</f>
        <v>1247020128</v>
      </c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>
        <v>650999660</v>
      </c>
      <c r="AZ611" s="51"/>
      <c r="BA611" s="51"/>
      <c r="BB611" s="51"/>
      <c r="BC611" s="52">
        <f t="shared" si="95"/>
        <v>1898019788</v>
      </c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>
        <v>130199932</v>
      </c>
      <c r="BO611" s="51"/>
      <c r="BP611" s="52">
        <v>2028219720</v>
      </c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>
        <v>130199932</v>
      </c>
      <c r="CD611" s="52"/>
      <c r="CE611" s="52"/>
      <c r="CF611" s="52"/>
      <c r="CG611" s="52">
        <f t="shared" si="96"/>
        <v>2158419652</v>
      </c>
      <c r="CH611" s="52"/>
      <c r="CI611" s="52"/>
      <c r="CJ611" s="52"/>
      <c r="CK611" s="52"/>
      <c r="CL611" s="52"/>
      <c r="CM611" s="52"/>
      <c r="CN611" s="52"/>
      <c r="CO611" s="52"/>
      <c r="CP611" s="52"/>
      <c r="CQ611" s="52">
        <v>130199932</v>
      </c>
      <c r="CR611" s="52"/>
      <c r="CS611" s="52">
        <f t="shared" si="93"/>
        <v>2288619584</v>
      </c>
      <c r="CT611" s="53">
        <v>1041599456</v>
      </c>
      <c r="CU611" s="53">
        <f t="shared" si="94"/>
        <v>1247020128</v>
      </c>
      <c r="CV611" s="54">
        <f t="shared" si="97"/>
        <v>2288619584</v>
      </c>
      <c r="CW611" s="55">
        <f t="shared" si="98"/>
        <v>0</v>
      </c>
      <c r="CX611" s="16"/>
      <c r="CY611" s="16"/>
      <c r="CZ611" s="16"/>
    </row>
    <row r="612" spans="1:108" ht="15" customHeight="1" x14ac:dyDescent="0.2">
      <c r="A612" s="1">
        <v>8900008581</v>
      </c>
      <c r="B612" s="1">
        <v>890000858</v>
      </c>
      <c r="C612" s="9">
        <v>217063470</v>
      </c>
      <c r="D612" s="10" t="s">
        <v>796</v>
      </c>
      <c r="E612" s="42" t="s">
        <v>1813</v>
      </c>
      <c r="F612" s="21"/>
      <c r="G612" s="50"/>
      <c r="H612" s="21"/>
      <c r="I612" s="50"/>
      <c r="J612" s="21"/>
      <c r="K612" s="21"/>
      <c r="L612" s="50"/>
      <c r="M612" s="51"/>
      <c r="N612" s="21"/>
      <c r="O612" s="50"/>
      <c r="P612" s="21"/>
      <c r="Q612" s="50"/>
      <c r="R612" s="21"/>
      <c r="S612" s="21"/>
      <c r="T612" s="50"/>
      <c r="U612" s="51">
        <f t="shared" si="92"/>
        <v>0</v>
      </c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>
        <v>372650340</v>
      </c>
      <c r="AN612" s="51">
        <f t="shared" si="100"/>
        <v>372650340</v>
      </c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>
        <v>275087290</v>
      </c>
      <c r="AZ612" s="51"/>
      <c r="BA612" s="51">
        <f>VLOOKUP(B612,[1]Hoja3!J$3:K$674,2,0)</f>
        <v>68765582</v>
      </c>
      <c r="BB612" s="51"/>
      <c r="BC612" s="52">
        <f t="shared" si="95"/>
        <v>716503212</v>
      </c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>
        <v>55017458</v>
      </c>
      <c r="BO612" s="51"/>
      <c r="BP612" s="52">
        <v>771520670</v>
      </c>
      <c r="BQ612" s="52"/>
      <c r="BR612" s="52"/>
      <c r="BS612" s="52"/>
      <c r="BT612" s="52"/>
      <c r="BU612" s="52"/>
      <c r="BV612" s="52"/>
      <c r="BW612" s="52"/>
      <c r="BX612" s="52"/>
      <c r="BY612" s="52"/>
      <c r="BZ612" s="52"/>
      <c r="CA612" s="52"/>
      <c r="CB612" s="52"/>
      <c r="CC612" s="52">
        <v>55017458</v>
      </c>
      <c r="CD612" s="52"/>
      <c r="CE612" s="52">
        <v>54234017</v>
      </c>
      <c r="CF612" s="52"/>
      <c r="CG612" s="52">
        <f t="shared" si="96"/>
        <v>880772145</v>
      </c>
      <c r="CH612" s="52"/>
      <c r="CI612" s="52"/>
      <c r="CJ612" s="52"/>
      <c r="CK612" s="52"/>
      <c r="CL612" s="52"/>
      <c r="CM612" s="52"/>
      <c r="CN612" s="52"/>
      <c r="CO612" s="52"/>
      <c r="CP612" s="52"/>
      <c r="CQ612" s="52">
        <v>55017458</v>
      </c>
      <c r="CR612" s="52"/>
      <c r="CS612" s="52">
        <f t="shared" si="93"/>
        <v>935789603</v>
      </c>
      <c r="CT612" s="53">
        <v>440139664</v>
      </c>
      <c r="CU612" s="53">
        <f t="shared" si="94"/>
        <v>495649939</v>
      </c>
      <c r="CV612" s="54">
        <f t="shared" si="97"/>
        <v>935789603</v>
      </c>
      <c r="CW612" s="55">
        <f t="shared" si="98"/>
        <v>0</v>
      </c>
      <c r="CX612" s="16"/>
      <c r="CY612" s="16"/>
      <c r="CZ612" s="16"/>
    </row>
    <row r="613" spans="1:108" ht="15" customHeight="1" x14ac:dyDescent="0.2">
      <c r="A613" s="1">
        <v>8000967341</v>
      </c>
      <c r="B613" s="1">
        <v>800096734</v>
      </c>
      <c r="C613" s="9">
        <v>210123001</v>
      </c>
      <c r="D613" s="10" t="s">
        <v>2177</v>
      </c>
      <c r="E613" s="43" t="s">
        <v>1016</v>
      </c>
      <c r="F613" s="21"/>
      <c r="G613" s="50"/>
      <c r="H613" s="21"/>
      <c r="I613" s="50">
        <f>12579899415+171766845</f>
        <v>12751666260</v>
      </c>
      <c r="J613" s="21">
        <v>826381946</v>
      </c>
      <c r="K613" s="21">
        <v>1654542213</v>
      </c>
      <c r="L613" s="50"/>
      <c r="M613" s="52">
        <f>SUM(F613:L613)</f>
        <v>15232590419</v>
      </c>
      <c r="N613" s="21"/>
      <c r="O613" s="50"/>
      <c r="P613" s="21"/>
      <c r="Q613" s="50">
        <f>12199472458+78075839</f>
        <v>12277548297</v>
      </c>
      <c r="R613" s="21">
        <v>826560355</v>
      </c>
      <c r="S613" s="21">
        <f>828160267+826560355</f>
        <v>1654720622</v>
      </c>
      <c r="T613" s="50"/>
      <c r="U613" s="51">
        <f t="shared" si="92"/>
        <v>29991419693</v>
      </c>
      <c r="V613" s="51"/>
      <c r="W613" s="51"/>
      <c r="X613" s="51"/>
      <c r="Y613" s="51">
        <v>16775162672</v>
      </c>
      <c r="Z613" s="51">
        <v>815761674</v>
      </c>
      <c r="AA613" s="51">
        <v>1868474453</v>
      </c>
      <c r="AB613" s="51"/>
      <c r="AC613" s="51">
        <f t="shared" si="99"/>
        <v>49450818492</v>
      </c>
      <c r="AD613" s="51"/>
      <c r="AE613" s="51"/>
      <c r="AF613" s="51"/>
      <c r="AG613" s="51"/>
      <c r="AH613" s="51">
        <v>12877717594</v>
      </c>
      <c r="AI613" s="51">
        <v>946278468</v>
      </c>
      <c r="AJ613" s="51">
        <v>837748323</v>
      </c>
      <c r="AK613" s="51">
        <v>2113801992</v>
      </c>
      <c r="AL613" s="51"/>
      <c r="AM613" s="51">
        <v>6149683028</v>
      </c>
      <c r="AN613" s="51">
        <f t="shared" si="100"/>
        <v>72376047897</v>
      </c>
      <c r="AO613" s="51"/>
      <c r="AP613" s="51"/>
      <c r="AQ613" s="51">
        <v>2812537655</v>
      </c>
      <c r="AR613" s="51"/>
      <c r="AS613" s="51"/>
      <c r="AT613" s="51">
        <v>12877717594</v>
      </c>
      <c r="AU613" s="51"/>
      <c r="AV613" s="51">
        <v>837748323</v>
      </c>
      <c r="AW613" s="51">
        <v>1431969292</v>
      </c>
      <c r="AX613" s="51"/>
      <c r="AY613" s="51"/>
      <c r="AZ613" s="51"/>
      <c r="BA613" s="51"/>
      <c r="BB613" s="51">
        <f>VLOOKUP(B613,'[2]anuladas en mayo gratuidad}'!K$2:L$55,2,0)</f>
        <v>117926112</v>
      </c>
      <c r="BC613" s="52">
        <f t="shared" si="95"/>
        <v>90218094649</v>
      </c>
      <c r="BD613" s="51"/>
      <c r="BE613" s="51"/>
      <c r="BF613" s="51">
        <v>562507531</v>
      </c>
      <c r="BG613" s="51"/>
      <c r="BH613" s="51"/>
      <c r="BI613" s="51">
        <v>13152541143</v>
      </c>
      <c r="BJ613" s="51">
        <v>1245172683</v>
      </c>
      <c r="BK613" s="51">
        <v>919787679</v>
      </c>
      <c r="BL613" s="51">
        <v>2577891568</v>
      </c>
      <c r="BM613" s="51"/>
      <c r="BN613" s="51"/>
      <c r="BO613" s="51"/>
      <c r="BP613" s="52">
        <v>108675995253</v>
      </c>
      <c r="BQ613" s="52"/>
      <c r="BR613" s="52"/>
      <c r="BS613" s="52">
        <v>562507531</v>
      </c>
      <c r="BT613" s="52"/>
      <c r="BU613" s="52"/>
      <c r="BV613" s="52"/>
      <c r="BW613" s="52">
        <v>13160579926</v>
      </c>
      <c r="BX613" s="52">
        <v>1200000000</v>
      </c>
      <c r="BY613" s="52">
        <v>5610656322</v>
      </c>
      <c r="BZ613" s="52">
        <v>851673128</v>
      </c>
      <c r="CA613" s="52">
        <v>2263495469</v>
      </c>
      <c r="CB613" s="52"/>
      <c r="CC613" s="52"/>
      <c r="CD613" s="52"/>
      <c r="CE613" s="52">
        <v>117926112</v>
      </c>
      <c r="CF613" s="52"/>
      <c r="CG613" s="52">
        <f t="shared" si="96"/>
        <v>132442833741</v>
      </c>
      <c r="CH613" s="52"/>
      <c r="CI613" s="52"/>
      <c r="CJ613" s="52">
        <v>562507531</v>
      </c>
      <c r="CK613" s="52"/>
      <c r="CL613" s="52">
        <v>13111569298</v>
      </c>
      <c r="CM613" s="52">
        <v>1038452427</v>
      </c>
      <c r="CN613" s="52">
        <v>861159760</v>
      </c>
      <c r="CO613" s="52">
        <v>1570097050</v>
      </c>
      <c r="CP613" s="52"/>
      <c r="CQ613" s="52"/>
      <c r="CR613" s="52"/>
      <c r="CS613" s="52">
        <f t="shared" si="93"/>
        <v>149586619807</v>
      </c>
      <c r="CT613" s="53">
        <v>143436936779</v>
      </c>
      <c r="CU613" s="53">
        <f t="shared" si="94"/>
        <v>6149683028</v>
      </c>
      <c r="CV613" s="54">
        <f t="shared" si="97"/>
        <v>149586619807</v>
      </c>
      <c r="CW613" s="55">
        <f t="shared" si="98"/>
        <v>0</v>
      </c>
      <c r="CX613" s="16"/>
      <c r="CY613" s="16"/>
      <c r="CZ613" s="16"/>
    </row>
    <row r="614" spans="1:108" ht="15" customHeight="1" x14ac:dyDescent="0.2">
      <c r="A614" s="1">
        <v>8918578243</v>
      </c>
      <c r="B614" s="1">
        <v>891857824</v>
      </c>
      <c r="C614" s="9">
        <v>216285162</v>
      </c>
      <c r="D614" s="10" t="s">
        <v>961</v>
      </c>
      <c r="E614" s="42" t="s">
        <v>2021</v>
      </c>
      <c r="F614" s="21"/>
      <c r="G614" s="50"/>
      <c r="H614" s="21"/>
      <c r="I614" s="50"/>
      <c r="J614" s="21"/>
      <c r="K614" s="21"/>
      <c r="L614" s="50"/>
      <c r="M614" s="51"/>
      <c r="N614" s="21"/>
      <c r="O614" s="50"/>
      <c r="P614" s="21"/>
      <c r="Q614" s="50"/>
      <c r="R614" s="21"/>
      <c r="S614" s="21"/>
      <c r="T614" s="50"/>
      <c r="U614" s="51">
        <f t="shared" si="92"/>
        <v>0</v>
      </c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>
        <v>248104555</v>
      </c>
      <c r="AN614" s="51">
        <f t="shared" si="100"/>
        <v>248104555</v>
      </c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>
        <v>101792455</v>
      </c>
      <c r="AZ614" s="51"/>
      <c r="BA614" s="51"/>
      <c r="BB614" s="51"/>
      <c r="BC614" s="52">
        <f t="shared" si="95"/>
        <v>349897010</v>
      </c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>
        <v>20358491</v>
      </c>
      <c r="BO614" s="51"/>
      <c r="BP614" s="52">
        <v>370255501</v>
      </c>
      <c r="BQ614" s="52"/>
      <c r="BR614" s="52"/>
      <c r="BS614" s="52"/>
      <c r="BT614" s="52"/>
      <c r="BU614" s="52"/>
      <c r="BV614" s="52"/>
      <c r="BW614" s="52"/>
      <c r="BX614" s="52"/>
      <c r="BY614" s="52"/>
      <c r="BZ614" s="52"/>
      <c r="CA614" s="52"/>
      <c r="CB614" s="52"/>
      <c r="CC614" s="52">
        <v>20358491</v>
      </c>
      <c r="CD614" s="52"/>
      <c r="CE614" s="52"/>
      <c r="CF614" s="52"/>
      <c r="CG614" s="52">
        <f t="shared" si="96"/>
        <v>390613992</v>
      </c>
      <c r="CH614" s="52"/>
      <c r="CI614" s="52"/>
      <c r="CJ614" s="52"/>
      <c r="CK614" s="52"/>
      <c r="CL614" s="52"/>
      <c r="CM614" s="52"/>
      <c r="CN614" s="52"/>
      <c r="CO614" s="52"/>
      <c r="CP614" s="52"/>
      <c r="CQ614" s="52">
        <v>20358491</v>
      </c>
      <c r="CR614" s="52"/>
      <c r="CS614" s="52">
        <f t="shared" si="93"/>
        <v>410972483</v>
      </c>
      <c r="CT614" s="53">
        <v>162867928</v>
      </c>
      <c r="CU614" s="53">
        <f t="shared" si="94"/>
        <v>248104555</v>
      </c>
      <c r="CV614" s="54">
        <f t="shared" si="97"/>
        <v>410972483</v>
      </c>
      <c r="CW614" s="55">
        <f t="shared" si="98"/>
        <v>0</v>
      </c>
      <c r="CX614" s="16"/>
      <c r="CY614" s="16"/>
      <c r="CZ614" s="16"/>
    </row>
    <row r="615" spans="1:108" ht="15" customHeight="1" x14ac:dyDescent="0.2">
      <c r="A615" s="1">
        <v>8000654749</v>
      </c>
      <c r="B615" s="1">
        <v>800065474</v>
      </c>
      <c r="C615" s="9">
        <v>210023500</v>
      </c>
      <c r="D615" s="10" t="s">
        <v>449</v>
      </c>
      <c r="E615" s="42" t="s">
        <v>1476</v>
      </c>
      <c r="F615" s="21"/>
      <c r="G615" s="50"/>
      <c r="H615" s="21"/>
      <c r="I615" s="50"/>
      <c r="J615" s="21"/>
      <c r="K615" s="21"/>
      <c r="L615" s="50"/>
      <c r="M615" s="51"/>
      <c r="N615" s="21"/>
      <c r="O615" s="50"/>
      <c r="P615" s="21"/>
      <c r="Q615" s="50"/>
      <c r="R615" s="21"/>
      <c r="S615" s="21"/>
      <c r="T615" s="50"/>
      <c r="U615" s="51">
        <f t="shared" si="92"/>
        <v>0</v>
      </c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>
        <v>130666168</v>
      </c>
      <c r="AN615" s="51">
        <f t="shared" si="100"/>
        <v>130666168</v>
      </c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>
        <v>373793635</v>
      </c>
      <c r="AZ615" s="51"/>
      <c r="BA615" s="51"/>
      <c r="BB615" s="51"/>
      <c r="BC615" s="52">
        <f t="shared" si="95"/>
        <v>504459803</v>
      </c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>
        <v>74758727</v>
      </c>
      <c r="BO615" s="51"/>
      <c r="BP615" s="52">
        <v>579218530</v>
      </c>
      <c r="BQ615" s="52"/>
      <c r="BR615" s="52"/>
      <c r="BS615" s="52"/>
      <c r="BT615" s="52"/>
      <c r="BU615" s="52"/>
      <c r="BV615" s="52"/>
      <c r="BW615" s="52"/>
      <c r="BX615" s="52"/>
      <c r="BY615" s="52"/>
      <c r="BZ615" s="52"/>
      <c r="CA615" s="52"/>
      <c r="CB615" s="52"/>
      <c r="CC615" s="52">
        <v>74758727</v>
      </c>
      <c r="CD615" s="52"/>
      <c r="CE615" s="52"/>
      <c r="CF615" s="52"/>
      <c r="CG615" s="52">
        <f t="shared" si="96"/>
        <v>653977257</v>
      </c>
      <c r="CH615" s="52"/>
      <c r="CI615" s="52"/>
      <c r="CJ615" s="52"/>
      <c r="CK615" s="52"/>
      <c r="CL615" s="52"/>
      <c r="CM615" s="52"/>
      <c r="CN615" s="52"/>
      <c r="CO615" s="52"/>
      <c r="CP615" s="52"/>
      <c r="CQ615" s="52">
        <v>74758727</v>
      </c>
      <c r="CR615" s="52"/>
      <c r="CS615" s="52">
        <f t="shared" si="93"/>
        <v>728735984</v>
      </c>
      <c r="CT615" s="53">
        <v>598069816</v>
      </c>
      <c r="CU615" s="53">
        <f t="shared" si="94"/>
        <v>130666168</v>
      </c>
      <c r="CV615" s="54">
        <f t="shared" si="97"/>
        <v>728735984</v>
      </c>
      <c r="CW615" s="55">
        <f t="shared" si="98"/>
        <v>0</v>
      </c>
      <c r="CX615" s="16"/>
      <c r="CY615" s="16"/>
      <c r="CZ615" s="16"/>
    </row>
    <row r="616" spans="1:108" ht="15" customHeight="1" x14ac:dyDescent="0.2">
      <c r="A616" s="1">
        <v>8904804319</v>
      </c>
      <c r="B616" s="1">
        <v>890480431</v>
      </c>
      <c r="C616" s="9">
        <v>217313473</v>
      </c>
      <c r="D616" s="10" t="s">
        <v>199</v>
      </c>
      <c r="E616" s="42" t="s">
        <v>1230</v>
      </c>
      <c r="F616" s="21"/>
      <c r="G616" s="50"/>
      <c r="H616" s="21"/>
      <c r="I616" s="50"/>
      <c r="J616" s="21"/>
      <c r="K616" s="21"/>
      <c r="L616" s="50"/>
      <c r="M616" s="51"/>
      <c r="N616" s="21"/>
      <c r="O616" s="50"/>
      <c r="P616" s="21"/>
      <c r="Q616" s="50"/>
      <c r="R616" s="21"/>
      <c r="S616" s="21"/>
      <c r="T616" s="50"/>
      <c r="U616" s="51">
        <f t="shared" si="92"/>
        <v>0</v>
      </c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>
        <v>223009919</v>
      </c>
      <c r="AN616" s="51">
        <f t="shared" si="100"/>
        <v>223009919</v>
      </c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>
        <v>220022575</v>
      </c>
      <c r="AZ616" s="51"/>
      <c r="BA616" s="51">
        <f>VLOOKUP(B616,[1]Hoja3!J$3:K$674,2,0)</f>
        <v>78742057</v>
      </c>
      <c r="BB616" s="51"/>
      <c r="BC616" s="52">
        <f t="shared" si="95"/>
        <v>521774551</v>
      </c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>
        <v>44004515</v>
      </c>
      <c r="BO616" s="51"/>
      <c r="BP616" s="52">
        <v>565779066</v>
      </c>
      <c r="BQ616" s="52"/>
      <c r="BR616" s="52"/>
      <c r="BS616" s="52"/>
      <c r="BT616" s="52"/>
      <c r="BU616" s="52"/>
      <c r="BV616" s="52"/>
      <c r="BW616" s="52"/>
      <c r="BX616" s="52"/>
      <c r="BY616" s="52"/>
      <c r="BZ616" s="52"/>
      <c r="CA616" s="52"/>
      <c r="CB616" s="52"/>
      <c r="CC616" s="52">
        <v>44004515</v>
      </c>
      <c r="CD616" s="52"/>
      <c r="CE616" s="52">
        <v>63757936</v>
      </c>
      <c r="CF616" s="52"/>
      <c r="CG616" s="52">
        <f t="shared" si="96"/>
        <v>673541517</v>
      </c>
      <c r="CH616" s="52"/>
      <c r="CI616" s="52"/>
      <c r="CJ616" s="52"/>
      <c r="CK616" s="52"/>
      <c r="CL616" s="52"/>
      <c r="CM616" s="52"/>
      <c r="CN616" s="52"/>
      <c r="CO616" s="52"/>
      <c r="CP616" s="52"/>
      <c r="CQ616" s="52">
        <v>44004515</v>
      </c>
      <c r="CR616" s="52"/>
      <c r="CS616" s="52">
        <f t="shared" si="93"/>
        <v>717546032</v>
      </c>
      <c r="CT616" s="53">
        <v>352036120</v>
      </c>
      <c r="CU616" s="53">
        <f t="shared" si="94"/>
        <v>365509912</v>
      </c>
      <c r="CV616" s="54">
        <f t="shared" si="97"/>
        <v>717546032</v>
      </c>
      <c r="CW616" s="55">
        <f t="shared" si="98"/>
        <v>0</v>
      </c>
      <c r="CX616" s="16"/>
      <c r="CY616" s="16"/>
      <c r="CZ616" s="16"/>
    </row>
    <row r="617" spans="1:108" ht="15" customHeight="1" x14ac:dyDescent="0.2">
      <c r="A617" s="1">
        <v>8915009826</v>
      </c>
      <c r="B617" s="1">
        <v>891500982</v>
      </c>
      <c r="C617" s="9">
        <v>217319473</v>
      </c>
      <c r="D617" s="10" t="s">
        <v>393</v>
      </c>
      <c r="E617" s="42" t="s">
        <v>1422</v>
      </c>
      <c r="F617" s="21"/>
      <c r="G617" s="50"/>
      <c r="H617" s="21"/>
      <c r="I617" s="50"/>
      <c r="J617" s="21"/>
      <c r="K617" s="21"/>
      <c r="L617" s="50"/>
      <c r="M617" s="51"/>
      <c r="N617" s="21"/>
      <c r="O617" s="50"/>
      <c r="P617" s="21"/>
      <c r="Q617" s="50"/>
      <c r="R617" s="21"/>
      <c r="S617" s="21"/>
      <c r="T617" s="50"/>
      <c r="U617" s="51">
        <f t="shared" si="92"/>
        <v>0</v>
      </c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>
        <v>53632555</v>
      </c>
      <c r="AN617" s="51">
        <f t="shared" si="100"/>
        <v>53632555</v>
      </c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>
        <v>326817720</v>
      </c>
      <c r="AZ617" s="51"/>
      <c r="BA617" s="51">
        <f>VLOOKUP(B617,[1]Hoja3!J$3:K$674,2,0)</f>
        <v>230559972</v>
      </c>
      <c r="BB617" s="51"/>
      <c r="BC617" s="52">
        <f t="shared" si="95"/>
        <v>611010247</v>
      </c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>
        <v>65363544</v>
      </c>
      <c r="BO617" s="51"/>
      <c r="BP617" s="52">
        <v>676373791</v>
      </c>
      <c r="BQ617" s="52"/>
      <c r="BR617" s="52"/>
      <c r="BS617" s="52"/>
      <c r="BT617" s="52"/>
      <c r="BU617" s="52"/>
      <c r="BV617" s="52"/>
      <c r="BW617" s="52"/>
      <c r="BX617" s="52"/>
      <c r="BY617" s="52"/>
      <c r="BZ617" s="52"/>
      <c r="CA617" s="52"/>
      <c r="CB617" s="52"/>
      <c r="CC617" s="52">
        <v>65363544</v>
      </c>
      <c r="CD617" s="52"/>
      <c r="CE617" s="52"/>
      <c r="CF617" s="52"/>
      <c r="CG617" s="52">
        <f t="shared" si="96"/>
        <v>741737335</v>
      </c>
      <c r="CH617" s="52"/>
      <c r="CI617" s="52"/>
      <c r="CJ617" s="52"/>
      <c r="CK617" s="52"/>
      <c r="CL617" s="52"/>
      <c r="CM617" s="52"/>
      <c r="CN617" s="52"/>
      <c r="CO617" s="52"/>
      <c r="CP617" s="52"/>
      <c r="CQ617" s="52">
        <v>65363544</v>
      </c>
      <c r="CR617" s="52"/>
      <c r="CS617" s="52">
        <f t="shared" si="93"/>
        <v>807100879</v>
      </c>
      <c r="CT617" s="53">
        <v>522908352</v>
      </c>
      <c r="CU617" s="53">
        <f t="shared" si="94"/>
        <v>284192527</v>
      </c>
      <c r="CV617" s="54">
        <f t="shared" si="97"/>
        <v>807100879</v>
      </c>
      <c r="CW617" s="55">
        <f t="shared" si="98"/>
        <v>0</v>
      </c>
      <c r="CX617" s="16"/>
      <c r="CY617" s="8"/>
      <c r="CZ617" s="8"/>
      <c r="DA617" s="8"/>
      <c r="DB617" s="8"/>
      <c r="DC617" s="8"/>
      <c r="DD617" s="8"/>
    </row>
    <row r="618" spans="1:108" ht="15" customHeight="1" x14ac:dyDescent="0.2">
      <c r="A618" s="1">
        <v>8000957734</v>
      </c>
      <c r="B618" s="1">
        <v>800095773</v>
      </c>
      <c r="C618" s="9">
        <v>217918479</v>
      </c>
      <c r="D618" s="10" t="s">
        <v>368</v>
      </c>
      <c r="E618" s="42" t="s">
        <v>1398</v>
      </c>
      <c r="F618" s="21"/>
      <c r="G618" s="50"/>
      <c r="H618" s="21"/>
      <c r="I618" s="50"/>
      <c r="J618" s="21"/>
      <c r="K618" s="21"/>
      <c r="L618" s="50"/>
      <c r="M618" s="51"/>
      <c r="N618" s="21"/>
      <c r="O618" s="50"/>
      <c r="P618" s="21"/>
      <c r="Q618" s="50"/>
      <c r="R618" s="21"/>
      <c r="S618" s="21"/>
      <c r="T618" s="50"/>
      <c r="U618" s="51">
        <f t="shared" si="92"/>
        <v>0</v>
      </c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>
        <v>59746890</v>
      </c>
      <c r="AN618" s="51">
        <f t="shared" si="100"/>
        <v>59746890</v>
      </c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>
        <v>30294640</v>
      </c>
      <c r="AZ618" s="51"/>
      <c r="BA618" s="51"/>
      <c r="BB618" s="51"/>
      <c r="BC618" s="52">
        <f t="shared" si="95"/>
        <v>90041530</v>
      </c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>
        <v>6058928</v>
      </c>
      <c r="BO618" s="51"/>
      <c r="BP618" s="52">
        <v>96100458</v>
      </c>
      <c r="BQ618" s="52"/>
      <c r="BR618" s="52"/>
      <c r="BS618" s="52"/>
      <c r="BT618" s="52"/>
      <c r="BU618" s="52"/>
      <c r="BV618" s="52"/>
      <c r="BW618" s="52"/>
      <c r="BX618" s="52"/>
      <c r="BY618" s="52"/>
      <c r="BZ618" s="52"/>
      <c r="CA618" s="52"/>
      <c r="CB618" s="52"/>
      <c r="CC618" s="52">
        <v>6058928</v>
      </c>
      <c r="CD618" s="52"/>
      <c r="CE618" s="52"/>
      <c r="CF618" s="52"/>
      <c r="CG618" s="52">
        <f t="shared" si="96"/>
        <v>102159386</v>
      </c>
      <c r="CH618" s="52"/>
      <c r="CI618" s="52"/>
      <c r="CJ618" s="52"/>
      <c r="CK618" s="52"/>
      <c r="CL618" s="52"/>
      <c r="CM618" s="52"/>
      <c r="CN618" s="52"/>
      <c r="CO618" s="52"/>
      <c r="CP618" s="52"/>
      <c r="CQ618" s="52">
        <v>6058928</v>
      </c>
      <c r="CR618" s="52"/>
      <c r="CS618" s="52">
        <f t="shared" si="93"/>
        <v>108218314</v>
      </c>
      <c r="CT618" s="53">
        <v>48471424</v>
      </c>
      <c r="CU618" s="53">
        <f t="shared" si="94"/>
        <v>59746890</v>
      </c>
      <c r="CV618" s="54">
        <f t="shared" si="97"/>
        <v>108218314</v>
      </c>
      <c r="CW618" s="55">
        <f t="shared" si="98"/>
        <v>0</v>
      </c>
      <c r="CX618" s="16"/>
      <c r="CY618" s="16"/>
      <c r="CZ618" s="16"/>
    </row>
    <row r="619" spans="1:108" ht="15" customHeight="1" x14ac:dyDescent="0.2">
      <c r="A619" s="1">
        <v>8922012962</v>
      </c>
      <c r="B619" s="1">
        <v>892201296</v>
      </c>
      <c r="C619" s="9">
        <v>217370473</v>
      </c>
      <c r="D619" s="10" t="s">
        <v>902</v>
      </c>
      <c r="E619" s="42" t="s">
        <v>1915</v>
      </c>
      <c r="F619" s="21"/>
      <c r="G619" s="50"/>
      <c r="H619" s="21"/>
      <c r="I619" s="50"/>
      <c r="J619" s="21"/>
      <c r="K619" s="21"/>
      <c r="L619" s="50"/>
      <c r="M619" s="51"/>
      <c r="N619" s="21"/>
      <c r="O619" s="50"/>
      <c r="P619" s="21"/>
      <c r="Q619" s="50"/>
      <c r="R619" s="21"/>
      <c r="S619" s="21"/>
      <c r="T619" s="50"/>
      <c r="U619" s="51">
        <f t="shared" si="92"/>
        <v>0</v>
      </c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>
        <v>133566406</v>
      </c>
      <c r="AN619" s="51">
        <f t="shared" si="100"/>
        <v>133566406</v>
      </c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>
        <v>138318895</v>
      </c>
      <c r="AZ619" s="51"/>
      <c r="BA619" s="51">
        <f>VLOOKUP(B619,[1]Hoja3!J$3:K$674,2,0)</f>
        <v>71753842</v>
      </c>
      <c r="BB619" s="51"/>
      <c r="BC619" s="52">
        <f t="shared" si="95"/>
        <v>343639143</v>
      </c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>
        <v>27663779</v>
      </c>
      <c r="BO619" s="51"/>
      <c r="BP619" s="52">
        <v>371302922</v>
      </c>
      <c r="BQ619" s="52"/>
      <c r="BR619" s="52"/>
      <c r="BS619" s="52"/>
      <c r="BT619" s="52"/>
      <c r="BU619" s="52"/>
      <c r="BV619" s="52"/>
      <c r="BW619" s="52"/>
      <c r="BX619" s="52"/>
      <c r="BY619" s="52"/>
      <c r="BZ619" s="52"/>
      <c r="CA619" s="52"/>
      <c r="CB619" s="52"/>
      <c r="CC619" s="52">
        <v>27663779</v>
      </c>
      <c r="CD619" s="52"/>
      <c r="CE619" s="52"/>
      <c r="CF619" s="52"/>
      <c r="CG619" s="52">
        <f t="shared" si="96"/>
        <v>398966701</v>
      </c>
      <c r="CH619" s="52"/>
      <c r="CI619" s="52"/>
      <c r="CJ619" s="52"/>
      <c r="CK619" s="52"/>
      <c r="CL619" s="52"/>
      <c r="CM619" s="52"/>
      <c r="CN619" s="52"/>
      <c r="CO619" s="52"/>
      <c r="CP619" s="52"/>
      <c r="CQ619" s="52">
        <v>27663779</v>
      </c>
      <c r="CR619" s="52"/>
      <c r="CS619" s="52">
        <f t="shared" si="93"/>
        <v>426630480</v>
      </c>
      <c r="CT619" s="53">
        <v>221310232</v>
      </c>
      <c r="CU619" s="53">
        <f t="shared" si="94"/>
        <v>205320248</v>
      </c>
      <c r="CV619" s="54">
        <f t="shared" si="97"/>
        <v>426630480</v>
      </c>
      <c r="CW619" s="55">
        <f t="shared" si="98"/>
        <v>0</v>
      </c>
      <c r="CX619" s="16"/>
      <c r="CY619" s="16"/>
      <c r="CZ619" s="16"/>
    </row>
    <row r="620" spans="1:108" ht="15" customHeight="1" x14ac:dyDescent="0.2">
      <c r="A620" s="1">
        <v>8999993423</v>
      </c>
      <c r="B620" s="1">
        <v>899999342</v>
      </c>
      <c r="C620" s="9">
        <v>217325473</v>
      </c>
      <c r="D620" s="10" t="s">
        <v>514</v>
      </c>
      <c r="E620" s="43" t="s">
        <v>1539</v>
      </c>
      <c r="F620" s="21"/>
      <c r="G620" s="50"/>
      <c r="H620" s="21"/>
      <c r="I620" s="50">
        <f>1698402352+35110256</f>
        <v>1733512608</v>
      </c>
      <c r="J620" s="21">
        <v>119056077</v>
      </c>
      <c r="K620" s="21">
        <v>235883889</v>
      </c>
      <c r="L620" s="50"/>
      <c r="M620" s="52">
        <f>SUM(F620:L620)</f>
        <v>2088452574</v>
      </c>
      <c r="N620" s="21"/>
      <c r="O620" s="50"/>
      <c r="P620" s="21"/>
      <c r="Q620" s="50">
        <f>1639545890+15959207</f>
        <v>1655505097</v>
      </c>
      <c r="R620" s="21">
        <v>119056077</v>
      </c>
      <c r="S620" s="21">
        <f>116827812+119056077</f>
        <v>235883889</v>
      </c>
      <c r="T620" s="50"/>
      <c r="U620" s="51">
        <f t="shared" si="92"/>
        <v>4098897637</v>
      </c>
      <c r="V620" s="51"/>
      <c r="W620" s="51"/>
      <c r="X620" s="51"/>
      <c r="Y620" s="51">
        <v>3024474769</v>
      </c>
      <c r="Z620" s="51">
        <v>113942680</v>
      </c>
      <c r="AA620" s="51">
        <v>267948913</v>
      </c>
      <c r="AB620" s="51"/>
      <c r="AC620" s="51">
        <f t="shared" si="99"/>
        <v>7505263999</v>
      </c>
      <c r="AD620" s="51"/>
      <c r="AE620" s="51"/>
      <c r="AF620" s="51"/>
      <c r="AG620" s="51"/>
      <c r="AH620" s="51">
        <v>1648792508</v>
      </c>
      <c r="AI620" s="51">
        <v>196559603</v>
      </c>
      <c r="AJ620" s="51">
        <v>122616853</v>
      </c>
      <c r="AK620" s="51">
        <v>308694448</v>
      </c>
      <c r="AL620" s="51"/>
      <c r="AM620" s="51">
        <v>944657443</v>
      </c>
      <c r="AN620" s="51">
        <f t="shared" si="100"/>
        <v>10726584854</v>
      </c>
      <c r="AO620" s="51"/>
      <c r="AP620" s="51"/>
      <c r="AQ620" s="51">
        <v>327404655</v>
      </c>
      <c r="AR620" s="51"/>
      <c r="AS620" s="51"/>
      <c r="AT620" s="51">
        <v>1648792508</v>
      </c>
      <c r="AU620" s="51"/>
      <c r="AV620" s="51">
        <v>122616853</v>
      </c>
      <c r="AW620" s="51">
        <v>209112578</v>
      </c>
      <c r="AX620" s="51"/>
      <c r="AY620" s="51"/>
      <c r="AZ620" s="51">
        <v>136070773</v>
      </c>
      <c r="BA620" s="51">
        <f>VLOOKUP(B620,[1]Hoja3!J$3:K$674,2,0)</f>
        <v>162976906</v>
      </c>
      <c r="BB620" s="51"/>
      <c r="BC620" s="52">
        <f t="shared" si="95"/>
        <v>13333559127</v>
      </c>
      <c r="BD620" s="51"/>
      <c r="BE620" s="51"/>
      <c r="BF620" s="51">
        <v>65480931</v>
      </c>
      <c r="BG620" s="51"/>
      <c r="BH620" s="51"/>
      <c r="BI620" s="51">
        <v>1707067883</v>
      </c>
      <c r="BJ620" s="51">
        <v>126954987</v>
      </c>
      <c r="BK620" s="51">
        <v>138728154</v>
      </c>
      <c r="BL620" s="51">
        <v>335756228</v>
      </c>
      <c r="BM620" s="51"/>
      <c r="BN620" s="51"/>
      <c r="BO620" s="51"/>
      <c r="BP620" s="52">
        <v>15707547310</v>
      </c>
      <c r="BQ620" s="52"/>
      <c r="BR620" s="52"/>
      <c r="BS620" s="52">
        <v>65480931</v>
      </c>
      <c r="BT620" s="52"/>
      <c r="BU620" s="52"/>
      <c r="BV620" s="52"/>
      <c r="BW620" s="52">
        <v>1718026945</v>
      </c>
      <c r="BX620" s="52"/>
      <c r="BY620" s="52">
        <v>780000000</v>
      </c>
      <c r="BZ620" s="52">
        <v>125295268</v>
      </c>
      <c r="CA620" s="52">
        <v>323812359</v>
      </c>
      <c r="CB620" s="52"/>
      <c r="CC620" s="52"/>
      <c r="CD620" s="52"/>
      <c r="CE620" s="52"/>
      <c r="CF620" s="52"/>
      <c r="CG620" s="52">
        <f t="shared" si="96"/>
        <v>18720162813</v>
      </c>
      <c r="CH620" s="52"/>
      <c r="CI620" s="52"/>
      <c r="CJ620" s="52">
        <v>65480931</v>
      </c>
      <c r="CK620" s="52"/>
      <c r="CL620" s="52">
        <v>1723794725</v>
      </c>
      <c r="CM620" s="52">
        <v>1180863000</v>
      </c>
      <c r="CN620" s="52">
        <v>125484783</v>
      </c>
      <c r="CO620" s="52">
        <v>226603807</v>
      </c>
      <c r="CP620" s="52"/>
      <c r="CQ620" s="52"/>
      <c r="CR620" s="52"/>
      <c r="CS620" s="52">
        <f t="shared" si="93"/>
        <v>22042390059</v>
      </c>
      <c r="CT620" s="53">
        <v>20934755710</v>
      </c>
      <c r="CU620" s="53">
        <f t="shared" si="94"/>
        <v>1107634349</v>
      </c>
      <c r="CV620" s="54">
        <f t="shared" si="97"/>
        <v>22042390059</v>
      </c>
      <c r="CW620" s="55">
        <f t="shared" si="98"/>
        <v>0</v>
      </c>
      <c r="CX620" s="16"/>
      <c r="CY620" s="16"/>
      <c r="CZ620" s="16"/>
    </row>
    <row r="621" spans="1:108" ht="15" customHeight="1" x14ac:dyDescent="0.2">
      <c r="A621" s="1">
        <v>8000991117</v>
      </c>
      <c r="B621" s="1">
        <v>800099111</v>
      </c>
      <c r="C621" s="9">
        <v>217352473</v>
      </c>
      <c r="D621" s="10" t="s">
        <v>727</v>
      </c>
      <c r="E621" s="42" t="s">
        <v>1749</v>
      </c>
      <c r="F621" s="21"/>
      <c r="G621" s="50"/>
      <c r="H621" s="21"/>
      <c r="I621" s="50"/>
      <c r="J621" s="21"/>
      <c r="K621" s="21"/>
      <c r="L621" s="50"/>
      <c r="M621" s="51"/>
      <c r="N621" s="21"/>
      <c r="O621" s="50"/>
      <c r="P621" s="21"/>
      <c r="Q621" s="50"/>
      <c r="R621" s="21"/>
      <c r="S621" s="21"/>
      <c r="T621" s="50"/>
      <c r="U621" s="51">
        <f t="shared" si="92"/>
        <v>0</v>
      </c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>
        <v>165750014</v>
      </c>
      <c r="AN621" s="51">
        <f t="shared" si="100"/>
        <v>165750014</v>
      </c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>
        <v>129170010</v>
      </c>
      <c r="AZ621" s="51"/>
      <c r="BA621" s="51"/>
      <c r="BB621" s="51"/>
      <c r="BC621" s="52">
        <f t="shared" si="95"/>
        <v>294920024</v>
      </c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>
        <v>25834002</v>
      </c>
      <c r="BO621" s="51"/>
      <c r="BP621" s="52">
        <v>320754026</v>
      </c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>
        <v>25834002</v>
      </c>
      <c r="CD621" s="52"/>
      <c r="CE621" s="52"/>
      <c r="CF621" s="52"/>
      <c r="CG621" s="52">
        <f t="shared" si="96"/>
        <v>346588028</v>
      </c>
      <c r="CH621" s="52"/>
      <c r="CI621" s="52"/>
      <c r="CJ621" s="52"/>
      <c r="CK621" s="52"/>
      <c r="CL621" s="52"/>
      <c r="CM621" s="52"/>
      <c r="CN621" s="52"/>
      <c r="CO621" s="52"/>
      <c r="CP621" s="52"/>
      <c r="CQ621" s="52">
        <v>25834002</v>
      </c>
      <c r="CR621" s="52"/>
      <c r="CS621" s="52">
        <f t="shared" si="93"/>
        <v>372422030</v>
      </c>
      <c r="CT621" s="53">
        <v>206672016</v>
      </c>
      <c r="CU621" s="53">
        <f t="shared" si="94"/>
        <v>165750014</v>
      </c>
      <c r="CV621" s="54">
        <f t="shared" si="97"/>
        <v>372422030</v>
      </c>
      <c r="CW621" s="55">
        <f t="shared" si="98"/>
        <v>0</v>
      </c>
      <c r="CX621" s="16"/>
      <c r="CY621" s="8"/>
      <c r="CZ621" s="8"/>
      <c r="DA621" s="8"/>
      <c r="DB621" s="8"/>
      <c r="DC621" s="8"/>
      <c r="DD621" s="8"/>
    </row>
    <row r="622" spans="1:108" ht="15" customHeight="1" x14ac:dyDescent="0.2">
      <c r="A622" s="1">
        <v>8918019946</v>
      </c>
      <c r="B622" s="1">
        <v>891801994</v>
      </c>
      <c r="C622" s="9">
        <v>217615476</v>
      </c>
      <c r="D622" s="10" t="s">
        <v>272</v>
      </c>
      <c r="E622" s="42" t="s">
        <v>1306</v>
      </c>
      <c r="F622" s="21"/>
      <c r="G622" s="50"/>
      <c r="H622" s="21"/>
      <c r="I622" s="50"/>
      <c r="J622" s="21"/>
      <c r="K622" s="21"/>
      <c r="L622" s="50"/>
      <c r="M622" s="51"/>
      <c r="N622" s="21"/>
      <c r="O622" s="50"/>
      <c r="P622" s="21"/>
      <c r="Q622" s="50"/>
      <c r="R622" s="21"/>
      <c r="S622" s="21"/>
      <c r="T622" s="50"/>
      <c r="U622" s="51">
        <f t="shared" si="92"/>
        <v>0</v>
      </c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>
        <v>78764515</v>
      </c>
      <c r="AN622" s="51">
        <f t="shared" si="100"/>
        <v>78764515</v>
      </c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>
        <v>40438615</v>
      </c>
      <c r="AZ622" s="51"/>
      <c r="BA622" s="51"/>
      <c r="BB622" s="51"/>
      <c r="BC622" s="52">
        <f t="shared" si="95"/>
        <v>119203130</v>
      </c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>
        <v>8087723</v>
      </c>
      <c r="BO622" s="51"/>
      <c r="BP622" s="52">
        <v>127290853</v>
      </c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>
        <v>8087723</v>
      </c>
      <c r="CD622" s="52"/>
      <c r="CE622" s="52"/>
      <c r="CF622" s="52"/>
      <c r="CG622" s="52">
        <f t="shared" si="96"/>
        <v>135378576</v>
      </c>
      <c r="CH622" s="52"/>
      <c r="CI622" s="52"/>
      <c r="CJ622" s="52"/>
      <c r="CK622" s="52"/>
      <c r="CL622" s="52"/>
      <c r="CM622" s="52"/>
      <c r="CN622" s="52"/>
      <c r="CO622" s="52"/>
      <c r="CP622" s="52"/>
      <c r="CQ622" s="52">
        <v>8087723</v>
      </c>
      <c r="CR622" s="52"/>
      <c r="CS622" s="52">
        <f t="shared" si="93"/>
        <v>143466299</v>
      </c>
      <c r="CT622" s="53">
        <v>64701784</v>
      </c>
      <c r="CU622" s="53">
        <f t="shared" si="94"/>
        <v>78764515</v>
      </c>
      <c r="CV622" s="54">
        <f t="shared" si="97"/>
        <v>143466299</v>
      </c>
      <c r="CW622" s="55">
        <f t="shared" si="98"/>
        <v>0</v>
      </c>
      <c r="CX622" s="16"/>
      <c r="CY622" s="8"/>
      <c r="CZ622" s="8"/>
      <c r="DA622" s="8"/>
      <c r="DB622" s="8"/>
      <c r="DC622" s="8"/>
      <c r="DD622" s="8"/>
    </row>
    <row r="623" spans="1:108" ht="15" customHeight="1" x14ac:dyDescent="0.2">
      <c r="A623" s="1">
        <v>8911800091</v>
      </c>
      <c r="B623" s="1">
        <v>891180009</v>
      </c>
      <c r="C623" s="9">
        <v>210141001</v>
      </c>
      <c r="D623" s="10" t="s">
        <v>2178</v>
      </c>
      <c r="E623" s="43" t="s">
        <v>2060</v>
      </c>
      <c r="F623" s="21"/>
      <c r="G623" s="50"/>
      <c r="H623" s="21"/>
      <c r="I623" s="50">
        <f>9611686930+142697568</f>
        <v>9754384498</v>
      </c>
      <c r="J623" s="21">
        <v>615484284</v>
      </c>
      <c r="K623" s="21">
        <v>1222365588</v>
      </c>
      <c r="L623" s="50"/>
      <c r="M623" s="52">
        <f>SUM(F623:L623)</f>
        <v>11592234370</v>
      </c>
      <c r="N623" s="21"/>
      <c r="O623" s="50"/>
      <c r="P623" s="21"/>
      <c r="Q623" s="50">
        <f>9053755718+64862531</f>
        <v>9118618249</v>
      </c>
      <c r="R623" s="21">
        <v>615484284</v>
      </c>
      <c r="S623" s="21">
        <f>606881304+615484284</f>
        <v>1222365588</v>
      </c>
      <c r="T623" s="50"/>
      <c r="U623" s="51">
        <f t="shared" si="92"/>
        <v>22548702491</v>
      </c>
      <c r="V623" s="51"/>
      <c r="W623" s="51"/>
      <c r="X623" s="51"/>
      <c r="Y623" s="51">
        <v>11491153684</v>
      </c>
      <c r="Z623" s="51">
        <v>613941183</v>
      </c>
      <c r="AA623" s="51">
        <v>1417919469</v>
      </c>
      <c r="AB623" s="51"/>
      <c r="AC623" s="51">
        <f t="shared" si="99"/>
        <v>36071716827</v>
      </c>
      <c r="AD623" s="51"/>
      <c r="AE623" s="51"/>
      <c r="AF623" s="51"/>
      <c r="AG623" s="51"/>
      <c r="AH623" s="51">
        <v>9208658628</v>
      </c>
      <c r="AI623" s="51">
        <v>772229885</v>
      </c>
      <c r="AJ623" s="51">
        <v>632762785</v>
      </c>
      <c r="AK623" s="51">
        <v>1595221246</v>
      </c>
      <c r="AL623" s="51"/>
      <c r="AM623" s="51">
        <v>3258096207</v>
      </c>
      <c r="AN623" s="51">
        <f t="shared" si="100"/>
        <v>51538685578</v>
      </c>
      <c r="AO623" s="51"/>
      <c r="AP623" s="51"/>
      <c r="AQ623" s="51">
        <v>1376658450</v>
      </c>
      <c r="AR623" s="51"/>
      <c r="AS623" s="51"/>
      <c r="AT623" s="51">
        <v>9208658628</v>
      </c>
      <c r="AU623" s="51"/>
      <c r="AV623" s="51">
        <v>632762785</v>
      </c>
      <c r="AW623" s="51">
        <v>1080393428</v>
      </c>
      <c r="AX623" s="51"/>
      <c r="AY623" s="51"/>
      <c r="AZ623" s="51"/>
      <c r="BA623" s="51">
        <f>VLOOKUP(B623,[1]Hoja3!J$3:K$674,2,0)</f>
        <v>527618082</v>
      </c>
      <c r="BB623" s="51"/>
      <c r="BC623" s="52">
        <f t="shared" si="95"/>
        <v>64364776951</v>
      </c>
      <c r="BD623" s="51"/>
      <c r="BE623" s="51"/>
      <c r="BF623" s="51">
        <v>275331690</v>
      </c>
      <c r="BG623" s="51"/>
      <c r="BH623" s="51"/>
      <c r="BI623" s="51">
        <v>9400408453</v>
      </c>
      <c r="BJ623" s="51">
        <v>1065187494</v>
      </c>
      <c r="BK623" s="51">
        <v>654193065</v>
      </c>
      <c r="BL623" s="51">
        <v>1681450539</v>
      </c>
      <c r="BM623" s="51"/>
      <c r="BN623" s="51"/>
      <c r="BO623" s="51"/>
      <c r="BP623" s="52">
        <v>77441348192</v>
      </c>
      <c r="BQ623" s="52"/>
      <c r="BR623" s="52"/>
      <c r="BS623" s="52">
        <v>275331690</v>
      </c>
      <c r="BT623" s="52"/>
      <c r="BU623" s="52"/>
      <c r="BV623" s="52"/>
      <c r="BW623" s="52">
        <v>9583679505</v>
      </c>
      <c r="BX623" s="52"/>
      <c r="BY623" s="52">
        <v>4351372028</v>
      </c>
      <c r="BZ623" s="52">
        <v>675961306</v>
      </c>
      <c r="CA623" s="52">
        <v>1716629898</v>
      </c>
      <c r="CB623" s="52"/>
      <c r="CC623" s="52"/>
      <c r="CD623" s="52"/>
      <c r="CE623" s="52"/>
      <c r="CF623" s="52"/>
      <c r="CG623" s="52">
        <f t="shared" si="96"/>
        <v>94044322619</v>
      </c>
      <c r="CH623" s="52"/>
      <c r="CI623" s="52"/>
      <c r="CJ623" s="52">
        <v>275331690</v>
      </c>
      <c r="CK623" s="52"/>
      <c r="CL623" s="52">
        <v>9597739655</v>
      </c>
      <c r="CM623" s="52">
        <v>124013381</v>
      </c>
      <c r="CN623" s="52">
        <v>642316311</v>
      </c>
      <c r="CO623" s="52">
        <v>1160949521</v>
      </c>
      <c r="CP623" s="52"/>
      <c r="CQ623" s="52"/>
      <c r="CR623" s="52"/>
      <c r="CS623" s="52">
        <f t="shared" si="93"/>
        <v>105844673177</v>
      </c>
      <c r="CT623" s="53">
        <v>102058958888</v>
      </c>
      <c r="CU623" s="53">
        <f t="shared" si="94"/>
        <v>3785714289</v>
      </c>
      <c r="CV623" s="54">
        <f t="shared" si="97"/>
        <v>105844673177</v>
      </c>
      <c r="CW623" s="55">
        <f t="shared" si="98"/>
        <v>0</v>
      </c>
      <c r="CX623" s="16"/>
      <c r="CY623" s="16"/>
      <c r="CZ623" s="16"/>
    </row>
    <row r="624" spans="1:108" ht="15" customHeight="1" x14ac:dyDescent="0.2">
      <c r="A624" s="1">
        <v>8905014342</v>
      </c>
      <c r="B624" s="1">
        <v>890501434</v>
      </c>
      <c r="C624" s="9">
        <v>210154001</v>
      </c>
      <c r="D624" s="10" t="s">
        <v>2154</v>
      </c>
      <c r="E624" s="43" t="s">
        <v>1042</v>
      </c>
      <c r="F624" s="21"/>
      <c r="G624" s="50"/>
      <c r="H624" s="21"/>
      <c r="I624" s="50">
        <f>15499636379+238114358</f>
        <v>15737750737</v>
      </c>
      <c r="J624" s="21">
        <v>1043762873</v>
      </c>
      <c r="K624" s="21">
        <v>2071373929</v>
      </c>
      <c r="L624" s="50"/>
      <c r="M624" s="52">
        <f>SUM(F624:L624)</f>
        <v>18852887539</v>
      </c>
      <c r="N624" s="21"/>
      <c r="O624" s="50"/>
      <c r="P624" s="21"/>
      <c r="Q624" s="50">
        <f>14591764070+108233799</f>
        <v>14699997869</v>
      </c>
      <c r="R624" s="21">
        <v>1044096255</v>
      </c>
      <c r="S624" s="21">
        <f>1027611056+1044096255</f>
        <v>2071707311</v>
      </c>
      <c r="T624" s="50"/>
      <c r="U624" s="51">
        <f t="shared" si="92"/>
        <v>36668688974</v>
      </c>
      <c r="V624" s="51"/>
      <c r="W624" s="51"/>
      <c r="X624" s="51"/>
      <c r="Y624" s="51">
        <v>26109132175</v>
      </c>
      <c r="Z624" s="51">
        <v>1039465798</v>
      </c>
      <c r="AA624" s="51">
        <v>2403927220</v>
      </c>
      <c r="AB624" s="51"/>
      <c r="AC624" s="51">
        <f t="shared" si="99"/>
        <v>66221214167</v>
      </c>
      <c r="AD624" s="51"/>
      <c r="AE624" s="51"/>
      <c r="AF624" s="51"/>
      <c r="AG624" s="51"/>
      <c r="AH624" s="51">
        <v>14707473105</v>
      </c>
      <c r="AI624" s="51">
        <v>1433257264</v>
      </c>
      <c r="AJ624" s="51">
        <v>1072896739</v>
      </c>
      <c r="AK624" s="51">
        <v>2704191932</v>
      </c>
      <c r="AL624" s="51"/>
      <c r="AM624" s="51">
        <v>6020854520</v>
      </c>
      <c r="AN624" s="51">
        <f t="shared" si="100"/>
        <v>92159887727</v>
      </c>
      <c r="AO624" s="51"/>
      <c r="AP624" s="51"/>
      <c r="AQ624" s="51">
        <v>2717265280</v>
      </c>
      <c r="AR624" s="51"/>
      <c r="AS624" s="51"/>
      <c r="AT624" s="51">
        <v>14707473105</v>
      </c>
      <c r="AU624" s="51">
        <v>495403437</v>
      </c>
      <c r="AV624" s="51">
        <v>1072896739</v>
      </c>
      <c r="AW624" s="51">
        <v>1831424364</v>
      </c>
      <c r="AX624" s="51"/>
      <c r="AY624" s="51"/>
      <c r="AZ624" s="51">
        <v>6396521687</v>
      </c>
      <c r="BA624" s="51">
        <f>VLOOKUP(B624,[1]Hoja3!J$3:K$674,2,0)</f>
        <v>1020131443</v>
      </c>
      <c r="BB624" s="51">
        <f>VLOOKUP(B624,'[2]anuladas en mayo gratuidad}'!K$2:L$55,2,0)</f>
        <v>76768723</v>
      </c>
      <c r="BC624" s="52">
        <f t="shared" si="95"/>
        <v>120324235059</v>
      </c>
      <c r="BD624" s="51"/>
      <c r="BE624" s="51"/>
      <c r="BF624" s="51">
        <v>543453056</v>
      </c>
      <c r="BG624" s="51"/>
      <c r="BH624" s="51"/>
      <c r="BI624" s="51">
        <v>15157451287</v>
      </c>
      <c r="BJ624" s="51">
        <v>1435617890</v>
      </c>
      <c r="BK624" s="51">
        <v>1167781556</v>
      </c>
      <c r="BL624" s="51">
        <v>2941366398</v>
      </c>
      <c r="BM624" s="51"/>
      <c r="BN624" s="51"/>
      <c r="BO624" s="51">
        <v>76768723</v>
      </c>
      <c r="BP624" s="52">
        <v>141646673969</v>
      </c>
      <c r="BQ624" s="52"/>
      <c r="BR624" s="52"/>
      <c r="BS624" s="52">
        <v>543453056</v>
      </c>
      <c r="BT624" s="52"/>
      <c r="BU624" s="52"/>
      <c r="BV624" s="52"/>
      <c r="BW624" s="52">
        <v>15467089587</v>
      </c>
      <c r="BX624" s="52">
        <v>2603629905</v>
      </c>
      <c r="BY624" s="52">
        <v>6941059045</v>
      </c>
      <c r="BZ624" s="52">
        <v>1081938873</v>
      </c>
      <c r="CA624" s="52">
        <v>2849908214</v>
      </c>
      <c r="CB624" s="52"/>
      <c r="CC624" s="52"/>
      <c r="CD624" s="52"/>
      <c r="CE624" s="52"/>
      <c r="CF624" s="52">
        <v>-64571032</v>
      </c>
      <c r="CG624" s="52">
        <f t="shared" si="96"/>
        <v>171069181617</v>
      </c>
      <c r="CH624" s="52"/>
      <c r="CI624" s="52"/>
      <c r="CJ624" s="52">
        <v>543453056</v>
      </c>
      <c r="CK624" s="52"/>
      <c r="CL624" s="52">
        <v>15350638614</v>
      </c>
      <c r="CM624" s="52">
        <v>1228601299</v>
      </c>
      <c r="CN624" s="52">
        <v>1093156692</v>
      </c>
      <c r="CO624" s="52">
        <v>1974583908</v>
      </c>
      <c r="CP624" s="52"/>
      <c r="CQ624" s="52"/>
      <c r="CR624" s="52">
        <v>76768723</v>
      </c>
      <c r="CS624" s="52">
        <f t="shared" si="93"/>
        <v>191336383909</v>
      </c>
      <c r="CT624" s="53">
        <v>184283200255</v>
      </c>
      <c r="CU624" s="53">
        <f t="shared" si="94"/>
        <v>7053183654</v>
      </c>
      <c r="CV624" s="54">
        <f t="shared" si="97"/>
        <v>191336383909</v>
      </c>
      <c r="CW624" s="55">
        <f t="shared" si="98"/>
        <v>0</v>
      </c>
      <c r="CX624" s="16"/>
      <c r="CY624" s="16"/>
      <c r="CZ624" s="16"/>
    </row>
    <row r="625" spans="1:108" ht="15" customHeight="1" x14ac:dyDescent="0.2">
      <c r="A625" s="1">
        <v>8000103508</v>
      </c>
      <c r="B625" s="1">
        <v>800010350</v>
      </c>
      <c r="C625" s="9">
        <v>216173461</v>
      </c>
      <c r="D625" s="10" t="s">
        <v>2227</v>
      </c>
      <c r="E625" s="42" t="s">
        <v>1953</v>
      </c>
      <c r="F625" s="21"/>
      <c r="G625" s="50"/>
      <c r="H625" s="21"/>
      <c r="I625" s="50"/>
      <c r="J625" s="21"/>
      <c r="K625" s="21"/>
      <c r="L625" s="50"/>
      <c r="M625" s="51"/>
      <c r="N625" s="21"/>
      <c r="O625" s="50"/>
      <c r="P625" s="21"/>
      <c r="Q625" s="50"/>
      <c r="R625" s="21"/>
      <c r="S625" s="21"/>
      <c r="T625" s="50"/>
      <c r="U625" s="51">
        <f t="shared" si="92"/>
        <v>0</v>
      </c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>
        <v>34380600</v>
      </c>
      <c r="AZ625" s="51"/>
      <c r="BA625" s="51">
        <f>VLOOKUP(B625,[1]Hoja3!J$3:K$674,2,0)</f>
        <v>74933733</v>
      </c>
      <c r="BB625" s="51"/>
      <c r="BC625" s="52">
        <f t="shared" si="95"/>
        <v>109314333</v>
      </c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>
        <v>6876120</v>
      </c>
      <c r="BO625" s="51"/>
      <c r="BP625" s="52">
        <v>116190453</v>
      </c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>
        <v>6876120</v>
      </c>
      <c r="CD625" s="52"/>
      <c r="CE625" s="52"/>
      <c r="CF625" s="52"/>
      <c r="CG625" s="52">
        <f t="shared" si="96"/>
        <v>123066573</v>
      </c>
      <c r="CH625" s="52"/>
      <c r="CI625" s="52"/>
      <c r="CJ625" s="52"/>
      <c r="CK625" s="52"/>
      <c r="CL625" s="52"/>
      <c r="CM625" s="52"/>
      <c r="CN625" s="52"/>
      <c r="CO625" s="52"/>
      <c r="CP625" s="52"/>
      <c r="CQ625" s="52">
        <v>6876120</v>
      </c>
      <c r="CR625" s="52"/>
      <c r="CS625" s="52">
        <f t="shared" si="93"/>
        <v>129942693</v>
      </c>
      <c r="CT625" s="53">
        <v>55008960</v>
      </c>
      <c r="CU625" s="53">
        <f t="shared" si="94"/>
        <v>74933733</v>
      </c>
      <c r="CV625" s="54">
        <f t="shared" si="97"/>
        <v>129942693</v>
      </c>
      <c r="CW625" s="55">
        <f t="shared" si="98"/>
        <v>0</v>
      </c>
      <c r="CX625" s="16"/>
      <c r="CY625" s="16"/>
      <c r="CZ625" s="16"/>
    </row>
    <row r="626" spans="1:108" ht="15" customHeight="1" x14ac:dyDescent="0.2">
      <c r="A626" s="1">
        <v>8909848820</v>
      </c>
      <c r="B626" s="1">
        <v>890984882</v>
      </c>
      <c r="C626" s="9">
        <v>217505475</v>
      </c>
      <c r="D626" s="10" t="s">
        <v>109</v>
      </c>
      <c r="E626" s="42" t="s">
        <v>1140</v>
      </c>
      <c r="F626" s="21"/>
      <c r="G626" s="50"/>
      <c r="H626" s="21"/>
      <c r="I626" s="50"/>
      <c r="J626" s="21"/>
      <c r="K626" s="21"/>
      <c r="L626" s="50"/>
      <c r="M626" s="51"/>
      <c r="N626" s="21"/>
      <c r="O626" s="50"/>
      <c r="P626" s="21"/>
      <c r="Q626" s="50"/>
      <c r="R626" s="21"/>
      <c r="S626" s="21"/>
      <c r="T626" s="50"/>
      <c r="U626" s="51">
        <f t="shared" si="92"/>
        <v>0</v>
      </c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>
        <v>73275334</v>
      </c>
      <c r="AN626" s="51">
        <f>SUBTOTAL(9,AC626:AM626)</f>
        <v>73275334</v>
      </c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>
        <v>85041400</v>
      </c>
      <c r="AZ626" s="51"/>
      <c r="BA626" s="51"/>
      <c r="BB626" s="51">
        <f>VLOOKUP(B626,'[2]anuladas en mayo gratuidad}'!K$2:L$55,2,0)</f>
        <v>73275334</v>
      </c>
      <c r="BC626" s="52">
        <f t="shared" si="95"/>
        <v>85041400</v>
      </c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>
        <v>17008280</v>
      </c>
      <c r="BO626" s="51"/>
      <c r="BP626" s="52">
        <v>102049680</v>
      </c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>
        <v>17008280</v>
      </c>
      <c r="CD626" s="52"/>
      <c r="CE626" s="52"/>
      <c r="CF626" s="52"/>
      <c r="CG626" s="52">
        <f t="shared" si="96"/>
        <v>119057960</v>
      </c>
      <c r="CH626" s="52"/>
      <c r="CI626" s="52"/>
      <c r="CJ626" s="52"/>
      <c r="CK626" s="52"/>
      <c r="CL626" s="52"/>
      <c r="CM626" s="52"/>
      <c r="CN626" s="52"/>
      <c r="CO626" s="52"/>
      <c r="CP626" s="52"/>
      <c r="CQ626" s="52">
        <v>17008280</v>
      </c>
      <c r="CR626" s="52"/>
      <c r="CS626" s="52">
        <f t="shared" si="93"/>
        <v>136066240</v>
      </c>
      <c r="CT626" s="53">
        <v>136066240</v>
      </c>
      <c r="CU626" s="53">
        <f t="shared" si="94"/>
        <v>0</v>
      </c>
      <c r="CV626" s="54">
        <f t="shared" si="97"/>
        <v>136066240</v>
      </c>
      <c r="CW626" s="55">
        <f t="shared" si="98"/>
        <v>0</v>
      </c>
      <c r="CX626" s="16"/>
      <c r="CY626" s="16"/>
      <c r="CZ626" s="16"/>
    </row>
    <row r="627" spans="1:108" ht="15" customHeight="1" x14ac:dyDescent="0.2">
      <c r="A627" s="1">
        <v>8909809505</v>
      </c>
      <c r="B627" s="1">
        <v>890980950</v>
      </c>
      <c r="C627" s="9">
        <v>218005480</v>
      </c>
      <c r="D627" s="10" t="s">
        <v>110</v>
      </c>
      <c r="E627" s="42" t="s">
        <v>1141</v>
      </c>
      <c r="F627" s="21"/>
      <c r="G627" s="50"/>
      <c r="H627" s="21"/>
      <c r="I627" s="50"/>
      <c r="J627" s="21"/>
      <c r="K627" s="21"/>
      <c r="L627" s="50"/>
      <c r="M627" s="51"/>
      <c r="N627" s="21"/>
      <c r="O627" s="50"/>
      <c r="P627" s="21"/>
      <c r="Q627" s="50"/>
      <c r="R627" s="21"/>
      <c r="S627" s="21"/>
      <c r="T627" s="50"/>
      <c r="U627" s="51">
        <f t="shared" si="92"/>
        <v>0</v>
      </c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>
        <f>VLOOKUP(B627,[1]Hoja3!J$3:K$674,2,0)</f>
        <v>326313901</v>
      </c>
      <c r="BB627" s="51"/>
      <c r="BC627" s="52">
        <f t="shared" si="95"/>
        <v>326313901</v>
      </c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>
        <v>43513959</v>
      </c>
      <c r="BO627" s="51"/>
      <c r="BP627" s="52">
        <v>369827860</v>
      </c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>
        <v>43513959</v>
      </c>
      <c r="CD627" s="52">
        <v>217569795</v>
      </c>
      <c r="CE627" s="52"/>
      <c r="CF627" s="52"/>
      <c r="CG627" s="52">
        <f t="shared" si="96"/>
        <v>630911614</v>
      </c>
      <c r="CH627" s="52"/>
      <c r="CI627" s="52"/>
      <c r="CJ627" s="52"/>
      <c r="CK627" s="52"/>
      <c r="CL627" s="52"/>
      <c r="CM627" s="52"/>
      <c r="CN627" s="52"/>
      <c r="CO627" s="52"/>
      <c r="CP627" s="52"/>
      <c r="CQ627" s="52">
        <v>43513959</v>
      </c>
      <c r="CR627" s="52"/>
      <c r="CS627" s="52">
        <f t="shared" si="93"/>
        <v>674425573</v>
      </c>
      <c r="CT627" s="53">
        <v>348111672</v>
      </c>
      <c r="CU627" s="53">
        <f t="shared" si="94"/>
        <v>326313901</v>
      </c>
      <c r="CV627" s="54">
        <f t="shared" si="97"/>
        <v>674425573</v>
      </c>
      <c r="CW627" s="55">
        <f t="shared" si="98"/>
        <v>0</v>
      </c>
      <c r="CX627" s="16"/>
      <c r="CY627" s="16"/>
      <c r="CZ627" s="16"/>
    </row>
    <row r="628" spans="1:108" ht="15" customHeight="1" x14ac:dyDescent="0.2">
      <c r="A628" s="1">
        <v>8905032338</v>
      </c>
      <c r="B628" s="1">
        <v>890503233</v>
      </c>
      <c r="C628" s="9">
        <v>218054480</v>
      </c>
      <c r="D628" s="10" t="s">
        <v>773</v>
      </c>
      <c r="E628" s="42" t="s">
        <v>1790</v>
      </c>
      <c r="F628" s="21"/>
      <c r="G628" s="50"/>
      <c r="H628" s="21"/>
      <c r="I628" s="50"/>
      <c r="J628" s="21"/>
      <c r="K628" s="21"/>
      <c r="L628" s="50"/>
      <c r="M628" s="51"/>
      <c r="N628" s="21"/>
      <c r="O628" s="50"/>
      <c r="P628" s="21"/>
      <c r="Q628" s="50"/>
      <c r="R628" s="21"/>
      <c r="S628" s="21"/>
      <c r="T628" s="50"/>
      <c r="U628" s="51">
        <f t="shared" si="92"/>
        <v>0</v>
      </c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>
        <v>25453070</v>
      </c>
      <c r="AZ628" s="51"/>
      <c r="BA628" s="51">
        <f>VLOOKUP(B628,[1]Hoja3!J$3:K$674,2,0)</f>
        <v>63056318</v>
      </c>
      <c r="BB628" s="51"/>
      <c r="BC628" s="52">
        <f t="shared" si="95"/>
        <v>88509388</v>
      </c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>
        <v>5090614</v>
      </c>
      <c r="BO628" s="51"/>
      <c r="BP628" s="52">
        <v>93600002</v>
      </c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>
        <v>5090614</v>
      </c>
      <c r="CD628" s="52"/>
      <c r="CE628" s="52"/>
      <c r="CF628" s="52"/>
      <c r="CG628" s="52">
        <f t="shared" si="96"/>
        <v>98690616</v>
      </c>
      <c r="CH628" s="52"/>
      <c r="CI628" s="52"/>
      <c r="CJ628" s="52"/>
      <c r="CK628" s="52"/>
      <c r="CL628" s="52"/>
      <c r="CM628" s="52"/>
      <c r="CN628" s="52"/>
      <c r="CO628" s="52"/>
      <c r="CP628" s="52"/>
      <c r="CQ628" s="52">
        <v>5090614</v>
      </c>
      <c r="CR628" s="52"/>
      <c r="CS628" s="52">
        <f t="shared" si="93"/>
        <v>103781230</v>
      </c>
      <c r="CT628" s="53">
        <v>40724912</v>
      </c>
      <c r="CU628" s="53">
        <f t="shared" si="94"/>
        <v>63056318</v>
      </c>
      <c r="CV628" s="54">
        <f t="shared" si="97"/>
        <v>103781230</v>
      </c>
      <c r="CW628" s="55">
        <f t="shared" si="98"/>
        <v>0</v>
      </c>
      <c r="CX628" s="16"/>
      <c r="CY628" s="16"/>
      <c r="CZ628" s="16"/>
    </row>
    <row r="629" spans="1:108" ht="15" customHeight="1" x14ac:dyDescent="0.2">
      <c r="A629" s="1">
        <v>8000778087</v>
      </c>
      <c r="B629" s="1">
        <v>800077808</v>
      </c>
      <c r="C629" s="9">
        <v>218015480</v>
      </c>
      <c r="D629" s="10" t="s">
        <v>273</v>
      </c>
      <c r="E629" s="42" t="s">
        <v>1307</v>
      </c>
      <c r="F629" s="21"/>
      <c r="G629" s="50"/>
      <c r="H629" s="21"/>
      <c r="I629" s="50"/>
      <c r="J629" s="21"/>
      <c r="K629" s="21"/>
      <c r="L629" s="50"/>
      <c r="M629" s="51"/>
      <c r="N629" s="21"/>
      <c r="O629" s="50"/>
      <c r="P629" s="21"/>
      <c r="Q629" s="50"/>
      <c r="R629" s="21"/>
      <c r="S629" s="21"/>
      <c r="T629" s="50"/>
      <c r="U629" s="51">
        <f t="shared" si="92"/>
        <v>0</v>
      </c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>
        <v>74452970</v>
      </c>
      <c r="AZ629" s="51"/>
      <c r="BA629" s="51">
        <f>VLOOKUP(B629,[1]Hoja3!J$3:K$674,2,0)</f>
        <v>130148797</v>
      </c>
      <c r="BB629" s="51"/>
      <c r="BC629" s="52">
        <f t="shared" si="95"/>
        <v>204601767</v>
      </c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>
        <v>14890594</v>
      </c>
      <c r="BO629" s="51"/>
      <c r="BP629" s="52">
        <v>219492361</v>
      </c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>
        <v>14890594</v>
      </c>
      <c r="CD629" s="52"/>
      <c r="CE629" s="52"/>
      <c r="CF629" s="52"/>
      <c r="CG629" s="52">
        <f t="shared" si="96"/>
        <v>234382955</v>
      </c>
      <c r="CH629" s="52"/>
      <c r="CI629" s="52"/>
      <c r="CJ629" s="52"/>
      <c r="CK629" s="52"/>
      <c r="CL629" s="52"/>
      <c r="CM629" s="52"/>
      <c r="CN629" s="52"/>
      <c r="CO629" s="52"/>
      <c r="CP629" s="52"/>
      <c r="CQ629" s="52">
        <v>14890594</v>
      </c>
      <c r="CR629" s="52"/>
      <c r="CS629" s="52">
        <f t="shared" si="93"/>
        <v>249273549</v>
      </c>
      <c r="CT629" s="53">
        <v>119124752</v>
      </c>
      <c r="CU629" s="53">
        <f t="shared" si="94"/>
        <v>130148797</v>
      </c>
      <c r="CV629" s="54">
        <f t="shared" si="97"/>
        <v>249273549</v>
      </c>
      <c r="CW629" s="55">
        <f t="shared" si="98"/>
        <v>0</v>
      </c>
      <c r="CX629" s="16"/>
      <c r="CY629" s="8"/>
      <c r="CZ629" s="8"/>
      <c r="DA629" s="8"/>
      <c r="DB629" s="8"/>
      <c r="DC629" s="8"/>
      <c r="DD629" s="8"/>
    </row>
    <row r="630" spans="1:108" ht="15" customHeight="1" x14ac:dyDescent="0.2">
      <c r="A630" s="1">
        <v>8906803903</v>
      </c>
      <c r="B630" s="1">
        <v>890680390</v>
      </c>
      <c r="C630" s="9">
        <v>218325483</v>
      </c>
      <c r="D630" s="10" t="s">
        <v>2119</v>
      </c>
      <c r="E630" s="42" t="s">
        <v>1540</v>
      </c>
      <c r="F630" s="21"/>
      <c r="G630" s="50"/>
      <c r="H630" s="21"/>
      <c r="I630" s="50"/>
      <c r="J630" s="21"/>
      <c r="K630" s="21"/>
      <c r="L630" s="50"/>
      <c r="M630" s="51"/>
      <c r="N630" s="21"/>
      <c r="O630" s="50"/>
      <c r="P630" s="21"/>
      <c r="Q630" s="50"/>
      <c r="R630" s="21"/>
      <c r="S630" s="21"/>
      <c r="T630" s="50"/>
      <c r="U630" s="51">
        <f t="shared" si="92"/>
        <v>0</v>
      </c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>
        <v>25981969</v>
      </c>
      <c r="AN630" s="51">
        <f>SUBTOTAL(9,AC630:AM630)</f>
        <v>25981969</v>
      </c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>
        <v>17715935</v>
      </c>
      <c r="AZ630" s="51"/>
      <c r="BA630" s="51"/>
      <c r="BB630" s="51"/>
      <c r="BC630" s="52">
        <f t="shared" si="95"/>
        <v>43697904</v>
      </c>
      <c r="BD630" s="51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>
        <v>3543187</v>
      </c>
      <c r="BO630" s="51"/>
      <c r="BP630" s="52">
        <v>47241091</v>
      </c>
      <c r="BQ630" s="52"/>
      <c r="BR630" s="52"/>
      <c r="BS630" s="52"/>
      <c r="BT630" s="52"/>
      <c r="BU630" s="52"/>
      <c r="BV630" s="52"/>
      <c r="BW630" s="52"/>
      <c r="BX630" s="52"/>
      <c r="BY630" s="52"/>
      <c r="BZ630" s="52"/>
      <c r="CA630" s="52"/>
      <c r="CB630" s="52"/>
      <c r="CC630" s="52">
        <v>3543187</v>
      </c>
      <c r="CD630" s="52"/>
      <c r="CE630" s="52"/>
      <c r="CF630" s="52"/>
      <c r="CG630" s="52">
        <f t="shared" si="96"/>
        <v>50784278</v>
      </c>
      <c r="CH630" s="52"/>
      <c r="CI630" s="52"/>
      <c r="CJ630" s="52"/>
      <c r="CK630" s="52"/>
      <c r="CL630" s="52"/>
      <c r="CM630" s="52"/>
      <c r="CN630" s="52"/>
      <c r="CO630" s="52"/>
      <c r="CP630" s="52"/>
      <c r="CQ630" s="52">
        <v>3543187</v>
      </c>
      <c r="CR630" s="52"/>
      <c r="CS630" s="52">
        <f t="shared" si="93"/>
        <v>54327465</v>
      </c>
      <c r="CT630" s="53">
        <v>28345496</v>
      </c>
      <c r="CU630" s="53">
        <f t="shared" si="94"/>
        <v>25981969</v>
      </c>
      <c r="CV630" s="54">
        <f t="shared" si="97"/>
        <v>54327465</v>
      </c>
      <c r="CW630" s="55">
        <f t="shared" si="98"/>
        <v>0</v>
      </c>
      <c r="CX630" s="16"/>
      <c r="CY630" s="16"/>
      <c r="CZ630" s="16"/>
    </row>
    <row r="631" spans="1:108" ht="15" customHeight="1" x14ac:dyDescent="0.2">
      <c r="A631" s="1">
        <v>8140037344</v>
      </c>
      <c r="B631" s="1">
        <v>814003734</v>
      </c>
      <c r="C631" s="9">
        <v>218052480</v>
      </c>
      <c r="D631" s="10" t="s">
        <v>2132</v>
      </c>
      <c r="E631" s="42" t="s">
        <v>1750</v>
      </c>
      <c r="F631" s="21"/>
      <c r="G631" s="50"/>
      <c r="H631" s="21"/>
      <c r="I631" s="50"/>
      <c r="J631" s="21"/>
      <c r="K631" s="21"/>
      <c r="L631" s="50"/>
      <c r="M631" s="51"/>
      <c r="N631" s="21"/>
      <c r="O631" s="50"/>
      <c r="P631" s="21"/>
      <c r="Q631" s="50"/>
      <c r="R631" s="21"/>
      <c r="S631" s="21"/>
      <c r="T631" s="50"/>
      <c r="U631" s="51">
        <f t="shared" si="92"/>
        <v>0</v>
      </c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>
        <v>46531643</v>
      </c>
      <c r="AN631" s="51">
        <f>SUBTOTAL(9,AC631:AM631)</f>
        <v>46531643</v>
      </c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2">
        <f t="shared" si="95"/>
        <v>46531643</v>
      </c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>
        <v>5055046</v>
      </c>
      <c r="BO631" s="51"/>
      <c r="BP631" s="52">
        <v>51586689</v>
      </c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>
        <v>5055046</v>
      </c>
      <c r="CD631" s="52">
        <v>25275230</v>
      </c>
      <c r="CE631" s="52"/>
      <c r="CF631" s="52"/>
      <c r="CG631" s="52">
        <f t="shared" si="96"/>
        <v>81916965</v>
      </c>
      <c r="CH631" s="52"/>
      <c r="CI631" s="52"/>
      <c r="CJ631" s="52"/>
      <c r="CK631" s="52"/>
      <c r="CL631" s="52"/>
      <c r="CM631" s="52"/>
      <c r="CN631" s="52"/>
      <c r="CO631" s="52"/>
      <c r="CP631" s="52"/>
      <c r="CQ631" s="52">
        <v>5055046</v>
      </c>
      <c r="CR631" s="52"/>
      <c r="CS631" s="52">
        <f t="shared" si="93"/>
        <v>86972011</v>
      </c>
      <c r="CT631" s="53">
        <v>40440368</v>
      </c>
      <c r="CU631" s="53">
        <f t="shared" si="94"/>
        <v>46531643</v>
      </c>
      <c r="CV631" s="54">
        <f t="shared" si="97"/>
        <v>86972011</v>
      </c>
      <c r="CW631" s="55">
        <f t="shared" si="98"/>
        <v>0</v>
      </c>
      <c r="CX631" s="16"/>
      <c r="CY631" s="8"/>
      <c r="CZ631" s="8"/>
      <c r="DA631" s="8"/>
      <c r="DB631" s="8"/>
      <c r="DC631" s="8"/>
      <c r="DD631" s="8"/>
    </row>
    <row r="632" spans="1:108" ht="15" customHeight="1" x14ac:dyDescent="0.2">
      <c r="A632" s="1">
        <v>8909825669</v>
      </c>
      <c r="B632" s="1">
        <v>890982566</v>
      </c>
      <c r="C632" s="9">
        <v>218305483</v>
      </c>
      <c r="D632" s="10" t="s">
        <v>111</v>
      </c>
      <c r="E632" s="42" t="s">
        <v>1142</v>
      </c>
      <c r="F632" s="21"/>
      <c r="G632" s="50"/>
      <c r="H632" s="21"/>
      <c r="I632" s="50"/>
      <c r="J632" s="21"/>
      <c r="K632" s="21"/>
      <c r="L632" s="50"/>
      <c r="M632" s="51"/>
      <c r="N632" s="21"/>
      <c r="O632" s="50"/>
      <c r="P632" s="21"/>
      <c r="Q632" s="50"/>
      <c r="R632" s="21"/>
      <c r="S632" s="21"/>
      <c r="T632" s="50"/>
      <c r="U632" s="51">
        <f t="shared" si="92"/>
        <v>0</v>
      </c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>
        <f>VLOOKUP(B632,[1]Hoja3!J$3:K$674,2,0)</f>
        <v>156049340</v>
      </c>
      <c r="BB632" s="51"/>
      <c r="BC632" s="52">
        <f t="shared" si="95"/>
        <v>156049340</v>
      </c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>
        <v>12927403</v>
      </c>
      <c r="BO632" s="51"/>
      <c r="BP632" s="52">
        <v>168976743</v>
      </c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>
        <v>12927403</v>
      </c>
      <c r="CD632" s="52">
        <v>64637015</v>
      </c>
      <c r="CE632" s="52"/>
      <c r="CF632" s="52"/>
      <c r="CG632" s="52">
        <f t="shared" si="96"/>
        <v>246541161</v>
      </c>
      <c r="CH632" s="52"/>
      <c r="CI632" s="52"/>
      <c r="CJ632" s="52"/>
      <c r="CK632" s="52"/>
      <c r="CL632" s="52"/>
      <c r="CM632" s="52"/>
      <c r="CN632" s="52"/>
      <c r="CO632" s="52"/>
      <c r="CP632" s="52"/>
      <c r="CQ632" s="52">
        <v>12927403</v>
      </c>
      <c r="CR632" s="52"/>
      <c r="CS632" s="52">
        <f t="shared" si="93"/>
        <v>259468564</v>
      </c>
      <c r="CT632" s="53">
        <v>103419224</v>
      </c>
      <c r="CU632" s="53">
        <f t="shared" si="94"/>
        <v>156049340</v>
      </c>
      <c r="CV632" s="54">
        <f t="shared" si="97"/>
        <v>259468564</v>
      </c>
      <c r="CW632" s="55">
        <f t="shared" si="98"/>
        <v>0</v>
      </c>
      <c r="CX632" s="16"/>
      <c r="CY632" s="8"/>
      <c r="CZ632" s="8"/>
      <c r="DA632" s="8"/>
      <c r="DB632" s="8"/>
      <c r="DC632" s="8"/>
      <c r="DD632" s="8"/>
    </row>
    <row r="633" spans="1:108" ht="15" customHeight="1" x14ac:dyDescent="0.2">
      <c r="A633" s="1">
        <v>8911028440</v>
      </c>
      <c r="B633" s="1">
        <v>891102844</v>
      </c>
      <c r="C633" s="9">
        <v>218341483</v>
      </c>
      <c r="D633" s="10" t="s">
        <v>610</v>
      </c>
      <c r="E633" s="42" t="s">
        <v>1629</v>
      </c>
      <c r="F633" s="21"/>
      <c r="G633" s="50"/>
      <c r="H633" s="21"/>
      <c r="I633" s="50"/>
      <c r="J633" s="21"/>
      <c r="K633" s="21"/>
      <c r="L633" s="50"/>
      <c r="M633" s="51"/>
      <c r="N633" s="21"/>
      <c r="O633" s="50"/>
      <c r="P633" s="21"/>
      <c r="Q633" s="50"/>
      <c r="R633" s="21"/>
      <c r="S633" s="21"/>
      <c r="T633" s="50"/>
      <c r="U633" s="51">
        <f t="shared" si="92"/>
        <v>0</v>
      </c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>
        <f>VLOOKUP(B633,[1]Hoja3!J$3:K$674,2,0)</f>
        <v>110625395</v>
      </c>
      <c r="BB633" s="51"/>
      <c r="BC633" s="52">
        <f t="shared" si="95"/>
        <v>110625395</v>
      </c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>
        <v>0</v>
      </c>
      <c r="BO633" s="51"/>
      <c r="BP633" s="52">
        <v>110625395</v>
      </c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>
        <v>83910190</v>
      </c>
      <c r="CD633" s="52"/>
      <c r="CE633" s="52">
        <v>11788261</v>
      </c>
      <c r="CF633" s="52"/>
      <c r="CG633" s="52">
        <f t="shared" si="96"/>
        <v>206323846</v>
      </c>
      <c r="CH633" s="52"/>
      <c r="CI633" s="52"/>
      <c r="CJ633" s="52"/>
      <c r="CK633" s="52"/>
      <c r="CL633" s="52"/>
      <c r="CM633" s="52"/>
      <c r="CN633" s="52"/>
      <c r="CO633" s="52"/>
      <c r="CP633" s="52"/>
      <c r="CQ633" s="52">
        <v>11987170</v>
      </c>
      <c r="CR633" s="52"/>
      <c r="CS633" s="52">
        <f t="shared" si="93"/>
        <v>218311016</v>
      </c>
      <c r="CT633" s="53">
        <v>95897360</v>
      </c>
      <c r="CU633" s="53">
        <f t="shared" si="94"/>
        <v>122413656</v>
      </c>
      <c r="CV633" s="54">
        <f t="shared" si="97"/>
        <v>218311016</v>
      </c>
      <c r="CW633" s="55">
        <f t="shared" si="98"/>
        <v>0</v>
      </c>
      <c r="CX633" s="16"/>
      <c r="CY633" s="16"/>
      <c r="CZ633" s="16"/>
    </row>
    <row r="634" spans="1:108" ht="15" customHeight="1" x14ac:dyDescent="0.2">
      <c r="A634" s="1">
        <v>8001001341</v>
      </c>
      <c r="B634" s="1">
        <v>800100134</v>
      </c>
      <c r="C634" s="9">
        <v>218373483</v>
      </c>
      <c r="D634" s="10" t="s">
        <v>2228</v>
      </c>
      <c r="E634" s="42" t="s">
        <v>1954</v>
      </c>
      <c r="F634" s="21"/>
      <c r="G634" s="50"/>
      <c r="H634" s="21"/>
      <c r="I634" s="50"/>
      <c r="J634" s="21"/>
      <c r="K634" s="21"/>
      <c r="L634" s="50"/>
      <c r="M634" s="51"/>
      <c r="N634" s="21"/>
      <c r="O634" s="50"/>
      <c r="P634" s="21"/>
      <c r="Q634" s="50"/>
      <c r="R634" s="21"/>
      <c r="S634" s="21"/>
      <c r="T634" s="50"/>
      <c r="U634" s="51">
        <f t="shared" si="92"/>
        <v>0</v>
      </c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>
        <v>135504340</v>
      </c>
      <c r="AZ634" s="51"/>
      <c r="BA634" s="51">
        <f>VLOOKUP(B634,[1]Hoja3!J$3:K$674,2,0)</f>
        <v>228656975</v>
      </c>
      <c r="BB634" s="51"/>
      <c r="BC634" s="52">
        <f t="shared" si="95"/>
        <v>364161315</v>
      </c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>
        <v>27100868</v>
      </c>
      <c r="BO634" s="51"/>
      <c r="BP634" s="52">
        <v>391262183</v>
      </c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>
        <v>27100868</v>
      </c>
      <c r="CD634" s="52"/>
      <c r="CE634" s="52"/>
      <c r="CF634" s="52"/>
      <c r="CG634" s="52">
        <f t="shared" si="96"/>
        <v>418363051</v>
      </c>
      <c r="CH634" s="52"/>
      <c r="CI634" s="52"/>
      <c r="CJ634" s="52"/>
      <c r="CK634" s="52"/>
      <c r="CL634" s="52"/>
      <c r="CM634" s="52"/>
      <c r="CN634" s="52"/>
      <c r="CO634" s="52"/>
      <c r="CP634" s="52"/>
      <c r="CQ634" s="52">
        <v>27100868</v>
      </c>
      <c r="CR634" s="52"/>
      <c r="CS634" s="52">
        <f t="shared" si="93"/>
        <v>445463919</v>
      </c>
      <c r="CT634" s="53">
        <v>216806944</v>
      </c>
      <c r="CU634" s="53">
        <f t="shared" si="94"/>
        <v>228656975</v>
      </c>
      <c r="CV634" s="54">
        <f t="shared" si="97"/>
        <v>445463919</v>
      </c>
      <c r="CW634" s="55">
        <f t="shared" si="98"/>
        <v>0</v>
      </c>
      <c r="CX634" s="16"/>
      <c r="CY634" s="16"/>
      <c r="CZ634" s="16"/>
    </row>
    <row r="635" spans="1:108" ht="15" customHeight="1" x14ac:dyDescent="0.2">
      <c r="A635" s="1">
        <v>8909853548</v>
      </c>
      <c r="B635" s="1">
        <v>890985354</v>
      </c>
      <c r="C635" s="9">
        <v>219505495</v>
      </c>
      <c r="D635" s="10" t="s">
        <v>113</v>
      </c>
      <c r="E635" s="42" t="s">
        <v>1144</v>
      </c>
      <c r="F635" s="21"/>
      <c r="G635" s="50"/>
      <c r="H635" s="21"/>
      <c r="I635" s="50"/>
      <c r="J635" s="21"/>
      <c r="K635" s="21"/>
      <c r="L635" s="50"/>
      <c r="M635" s="51"/>
      <c r="N635" s="21"/>
      <c r="O635" s="50"/>
      <c r="P635" s="21"/>
      <c r="Q635" s="50"/>
      <c r="R635" s="21"/>
      <c r="S635" s="21"/>
      <c r="T635" s="50"/>
      <c r="U635" s="51">
        <f t="shared" si="92"/>
        <v>0</v>
      </c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>
        <v>36479586</v>
      </c>
      <c r="AN635" s="51">
        <f>SUBTOTAL(9,AC635:AM635)</f>
        <v>36479586</v>
      </c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>
        <f>VLOOKUP(B635,[1]Hoja3!J$3:K$674,2,0)</f>
        <v>392560881</v>
      </c>
      <c r="BB635" s="51"/>
      <c r="BC635" s="52">
        <f t="shared" si="95"/>
        <v>429040467</v>
      </c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>
        <v>0</v>
      </c>
      <c r="BO635" s="51"/>
      <c r="BP635" s="52">
        <v>429040467</v>
      </c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>
        <v>0</v>
      </c>
      <c r="CD635" s="52"/>
      <c r="CE635" s="52"/>
      <c r="CF635" s="52"/>
      <c r="CG635" s="52">
        <f t="shared" si="96"/>
        <v>429040467</v>
      </c>
      <c r="CH635" s="52"/>
      <c r="CI635" s="52"/>
      <c r="CJ635" s="52"/>
      <c r="CK635" s="52"/>
      <c r="CL635" s="52"/>
      <c r="CM635" s="52"/>
      <c r="CN635" s="52"/>
      <c r="CO635" s="52"/>
      <c r="CP635" s="52"/>
      <c r="CQ635" s="52">
        <v>0</v>
      </c>
      <c r="CR635" s="52">
        <v>43187612</v>
      </c>
      <c r="CS635" s="52">
        <f t="shared" si="93"/>
        <v>472228079</v>
      </c>
      <c r="CT635" s="53"/>
      <c r="CU635" s="53">
        <f t="shared" si="94"/>
        <v>472228079</v>
      </c>
      <c r="CV635" s="54">
        <f t="shared" si="97"/>
        <v>472228079</v>
      </c>
      <c r="CW635" s="55">
        <f t="shared" si="98"/>
        <v>0</v>
      </c>
      <c r="CX635" s="16"/>
      <c r="CY635" s="16"/>
      <c r="CZ635" s="16"/>
    </row>
    <row r="636" spans="1:108" ht="15" customHeight="1" x14ac:dyDescent="0.2">
      <c r="A636" s="1">
        <v>8909838731</v>
      </c>
      <c r="B636" s="1">
        <v>890983873</v>
      </c>
      <c r="C636" s="9">
        <v>219005490</v>
      </c>
      <c r="D636" s="10" t="s">
        <v>112</v>
      </c>
      <c r="E636" s="42" t="s">
        <v>1143</v>
      </c>
      <c r="F636" s="21"/>
      <c r="G636" s="50"/>
      <c r="H636" s="21"/>
      <c r="I636" s="50"/>
      <c r="J636" s="21"/>
      <c r="K636" s="21"/>
      <c r="L636" s="50"/>
      <c r="M636" s="51"/>
      <c r="N636" s="21"/>
      <c r="O636" s="50"/>
      <c r="P636" s="21"/>
      <c r="Q636" s="50"/>
      <c r="R636" s="21"/>
      <c r="S636" s="21"/>
      <c r="T636" s="50"/>
      <c r="U636" s="51">
        <f t="shared" si="92"/>
        <v>0</v>
      </c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>
        <v>737229400</v>
      </c>
      <c r="AZ636" s="51"/>
      <c r="BA636" s="51">
        <f>VLOOKUP(B636,[1]Hoja3!J$3:K$674,2,0)</f>
        <v>987459059</v>
      </c>
      <c r="BB636" s="51"/>
      <c r="BC636" s="52">
        <f t="shared" si="95"/>
        <v>1724688459</v>
      </c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>
        <v>147445880</v>
      </c>
      <c r="BO636" s="51"/>
      <c r="BP636" s="52">
        <v>1872134339</v>
      </c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>
        <v>147445880</v>
      </c>
      <c r="CD636" s="52"/>
      <c r="CE636" s="52"/>
      <c r="CF636" s="52"/>
      <c r="CG636" s="52">
        <f t="shared" si="96"/>
        <v>2019580219</v>
      </c>
      <c r="CH636" s="52"/>
      <c r="CI636" s="52"/>
      <c r="CJ636" s="52"/>
      <c r="CK636" s="52"/>
      <c r="CL636" s="52"/>
      <c r="CM636" s="52"/>
      <c r="CN636" s="52"/>
      <c r="CO636" s="52"/>
      <c r="CP636" s="52"/>
      <c r="CQ636" s="52">
        <v>147445880</v>
      </c>
      <c r="CR636" s="52"/>
      <c r="CS636" s="52">
        <f t="shared" si="93"/>
        <v>2167026099</v>
      </c>
      <c r="CT636" s="53">
        <v>1179567040</v>
      </c>
      <c r="CU636" s="53">
        <f t="shared" si="94"/>
        <v>987459059</v>
      </c>
      <c r="CV636" s="54">
        <f t="shared" si="97"/>
        <v>2167026099</v>
      </c>
      <c r="CW636" s="55">
        <f t="shared" si="98"/>
        <v>0</v>
      </c>
      <c r="CX636" s="16"/>
      <c r="CY636" s="16"/>
      <c r="CZ636" s="16"/>
    </row>
    <row r="637" spans="1:108" ht="15" customHeight="1" x14ac:dyDescent="0.2">
      <c r="A637" s="1">
        <v>8908011352</v>
      </c>
      <c r="B637" s="1">
        <v>890801135</v>
      </c>
      <c r="C637" s="9">
        <v>218617486</v>
      </c>
      <c r="D637" s="10" t="s">
        <v>348</v>
      </c>
      <c r="E637" s="42" t="s">
        <v>1378</v>
      </c>
      <c r="F637" s="21"/>
      <c r="G637" s="50"/>
      <c r="H637" s="21"/>
      <c r="I637" s="50"/>
      <c r="J637" s="21"/>
      <c r="K637" s="21"/>
      <c r="L637" s="50"/>
      <c r="M637" s="51"/>
      <c r="N637" s="21"/>
      <c r="O637" s="50"/>
      <c r="P637" s="21"/>
      <c r="Q637" s="50"/>
      <c r="R637" s="21"/>
      <c r="S637" s="21"/>
      <c r="T637" s="50"/>
      <c r="U637" s="51">
        <f t="shared" si="92"/>
        <v>0</v>
      </c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>
        <v>304110971</v>
      </c>
      <c r="AN637" s="51">
        <f t="shared" ref="AN637:AN643" si="101">SUBTOTAL(9,AC637:AM637)</f>
        <v>304110971</v>
      </c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>
        <v>152538550</v>
      </c>
      <c r="AZ637" s="51"/>
      <c r="BA637" s="51"/>
      <c r="BB637" s="51"/>
      <c r="BC637" s="52">
        <f t="shared" si="95"/>
        <v>456649521</v>
      </c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>
        <v>30507710</v>
      </c>
      <c r="BO637" s="51"/>
      <c r="BP637" s="52">
        <v>487157231</v>
      </c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>
        <v>30507710</v>
      </c>
      <c r="CD637" s="52"/>
      <c r="CE637" s="52"/>
      <c r="CF637" s="52"/>
      <c r="CG637" s="52">
        <f t="shared" si="96"/>
        <v>517664941</v>
      </c>
      <c r="CH637" s="52"/>
      <c r="CI637" s="52"/>
      <c r="CJ637" s="52"/>
      <c r="CK637" s="52"/>
      <c r="CL637" s="52"/>
      <c r="CM637" s="52"/>
      <c r="CN637" s="52"/>
      <c r="CO637" s="52"/>
      <c r="CP637" s="52"/>
      <c r="CQ637" s="52">
        <v>30507710</v>
      </c>
      <c r="CR637" s="52"/>
      <c r="CS637" s="52">
        <f t="shared" si="93"/>
        <v>548172651</v>
      </c>
      <c r="CT637" s="53">
        <v>244061680</v>
      </c>
      <c r="CU637" s="53">
        <f t="shared" si="94"/>
        <v>304110971</v>
      </c>
      <c r="CV637" s="54">
        <f t="shared" si="97"/>
        <v>548172651</v>
      </c>
      <c r="CW637" s="55">
        <f t="shared" si="98"/>
        <v>0</v>
      </c>
      <c r="CX637" s="16"/>
      <c r="CY637" s="16"/>
      <c r="CZ637" s="16"/>
    </row>
    <row r="638" spans="1:108" ht="15" customHeight="1" x14ac:dyDescent="0.2">
      <c r="A638" s="1">
        <v>8999993661</v>
      </c>
      <c r="B638" s="1">
        <v>899999366</v>
      </c>
      <c r="C638" s="9">
        <v>218625486</v>
      </c>
      <c r="D638" s="10" t="s">
        <v>515</v>
      </c>
      <c r="E638" s="42" t="s">
        <v>1541</v>
      </c>
      <c r="F638" s="21"/>
      <c r="G638" s="50"/>
      <c r="H638" s="21"/>
      <c r="I638" s="50"/>
      <c r="J638" s="21"/>
      <c r="K638" s="21"/>
      <c r="L638" s="50"/>
      <c r="M638" s="51"/>
      <c r="N638" s="21"/>
      <c r="O638" s="50"/>
      <c r="P638" s="21"/>
      <c r="Q638" s="50"/>
      <c r="R638" s="21"/>
      <c r="S638" s="21"/>
      <c r="T638" s="50"/>
      <c r="U638" s="51">
        <f t="shared" si="92"/>
        <v>0</v>
      </c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>
        <v>185657928</v>
      </c>
      <c r="AN638" s="51">
        <f t="shared" si="101"/>
        <v>185657928</v>
      </c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>
        <v>78746685</v>
      </c>
      <c r="AZ638" s="51"/>
      <c r="BA638" s="51"/>
      <c r="BB638" s="51"/>
      <c r="BC638" s="52">
        <f t="shared" si="95"/>
        <v>264404613</v>
      </c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>
        <v>15749337</v>
      </c>
      <c r="BO638" s="51"/>
      <c r="BP638" s="52">
        <v>280153950</v>
      </c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>
        <v>15749337</v>
      </c>
      <c r="CD638" s="52"/>
      <c r="CE638" s="52"/>
      <c r="CF638" s="52"/>
      <c r="CG638" s="52">
        <f t="shared" si="96"/>
        <v>295903287</v>
      </c>
      <c r="CH638" s="52"/>
      <c r="CI638" s="52"/>
      <c r="CJ638" s="52"/>
      <c r="CK638" s="52"/>
      <c r="CL638" s="52"/>
      <c r="CM638" s="52"/>
      <c r="CN638" s="52"/>
      <c r="CO638" s="52"/>
      <c r="CP638" s="52"/>
      <c r="CQ638" s="52">
        <v>15749337</v>
      </c>
      <c r="CR638" s="52"/>
      <c r="CS638" s="52">
        <f t="shared" si="93"/>
        <v>311652624</v>
      </c>
      <c r="CT638" s="53">
        <v>125994696</v>
      </c>
      <c r="CU638" s="53">
        <f t="shared" si="94"/>
        <v>185657928</v>
      </c>
      <c r="CV638" s="54">
        <f t="shared" si="97"/>
        <v>311652624</v>
      </c>
      <c r="CW638" s="55">
        <f t="shared" si="98"/>
        <v>0</v>
      </c>
      <c r="CX638" s="16"/>
      <c r="CY638" s="16"/>
      <c r="CZ638" s="16"/>
    </row>
    <row r="639" spans="1:108" ht="15" customHeight="1" x14ac:dyDescent="0.2">
      <c r="A639" s="1">
        <v>8999997078</v>
      </c>
      <c r="B639" s="1">
        <v>899999707</v>
      </c>
      <c r="C639" s="9">
        <v>218825488</v>
      </c>
      <c r="D639" s="10" t="s">
        <v>516</v>
      </c>
      <c r="E639" s="42" t="s">
        <v>1542</v>
      </c>
      <c r="F639" s="21"/>
      <c r="G639" s="50"/>
      <c r="H639" s="21"/>
      <c r="I639" s="50"/>
      <c r="J639" s="21"/>
      <c r="K639" s="21"/>
      <c r="L639" s="50"/>
      <c r="M639" s="51"/>
      <c r="N639" s="21"/>
      <c r="O639" s="50"/>
      <c r="P639" s="21"/>
      <c r="Q639" s="50"/>
      <c r="R639" s="21"/>
      <c r="S639" s="21"/>
      <c r="T639" s="50"/>
      <c r="U639" s="51">
        <f t="shared" si="92"/>
        <v>0</v>
      </c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>
        <v>112928578</v>
      </c>
      <c r="AN639" s="51">
        <f t="shared" si="101"/>
        <v>112928578</v>
      </c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>
        <v>39706160</v>
      </c>
      <c r="AZ639" s="51"/>
      <c r="BA639" s="51"/>
      <c r="BB639" s="51"/>
      <c r="BC639" s="52">
        <f t="shared" si="95"/>
        <v>152634738</v>
      </c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>
        <v>7941232</v>
      </c>
      <c r="BO639" s="51"/>
      <c r="BP639" s="52">
        <v>160575970</v>
      </c>
      <c r="BQ639" s="52"/>
      <c r="BR639" s="52"/>
      <c r="BS639" s="52"/>
      <c r="BT639" s="52"/>
      <c r="BU639" s="52"/>
      <c r="BV639" s="52"/>
      <c r="BW639" s="52"/>
      <c r="BX639" s="52"/>
      <c r="BY639" s="52"/>
      <c r="BZ639" s="52"/>
      <c r="CA639" s="52"/>
      <c r="CB639" s="52"/>
      <c r="CC639" s="52">
        <v>7941232</v>
      </c>
      <c r="CD639" s="52"/>
      <c r="CE639" s="52"/>
      <c r="CF639" s="52"/>
      <c r="CG639" s="52">
        <f t="shared" si="96"/>
        <v>168517202</v>
      </c>
      <c r="CH639" s="52"/>
      <c r="CI639" s="52"/>
      <c r="CJ639" s="52"/>
      <c r="CK639" s="52"/>
      <c r="CL639" s="52"/>
      <c r="CM639" s="52"/>
      <c r="CN639" s="52"/>
      <c r="CO639" s="52"/>
      <c r="CP639" s="52"/>
      <c r="CQ639" s="52">
        <v>7941232</v>
      </c>
      <c r="CR639" s="52"/>
      <c r="CS639" s="52">
        <f t="shared" si="93"/>
        <v>176458434</v>
      </c>
      <c r="CT639" s="53">
        <v>63529856</v>
      </c>
      <c r="CU639" s="53">
        <f t="shared" si="94"/>
        <v>112928578</v>
      </c>
      <c r="CV639" s="54">
        <f t="shared" si="97"/>
        <v>176458434</v>
      </c>
      <c r="CW639" s="55">
        <f t="shared" si="98"/>
        <v>0</v>
      </c>
      <c r="CX639" s="16"/>
      <c r="CY639" s="16"/>
      <c r="CZ639" s="16"/>
    </row>
    <row r="640" spans="1:108" ht="15" customHeight="1" x14ac:dyDescent="0.2">
      <c r="A640" s="1">
        <v>8000947138</v>
      </c>
      <c r="B640" s="1">
        <v>800094713</v>
      </c>
      <c r="C640" s="9">
        <v>218925489</v>
      </c>
      <c r="D640" s="10" t="s">
        <v>517</v>
      </c>
      <c r="E640" s="42" t="s">
        <v>1543</v>
      </c>
      <c r="F640" s="21"/>
      <c r="G640" s="50"/>
      <c r="H640" s="21"/>
      <c r="I640" s="50"/>
      <c r="J640" s="21"/>
      <c r="K640" s="21"/>
      <c r="L640" s="50"/>
      <c r="M640" s="51"/>
      <c r="N640" s="21"/>
      <c r="O640" s="50"/>
      <c r="P640" s="21"/>
      <c r="Q640" s="50"/>
      <c r="R640" s="21"/>
      <c r="S640" s="21"/>
      <c r="T640" s="50"/>
      <c r="U640" s="51">
        <f t="shared" si="92"/>
        <v>0</v>
      </c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>
        <v>45757333</v>
      </c>
      <c r="AN640" s="51">
        <f t="shared" si="101"/>
        <v>45757333</v>
      </c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2">
        <f t="shared" si="95"/>
        <v>45757333</v>
      </c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>
        <v>0</v>
      </c>
      <c r="BO640" s="51"/>
      <c r="BP640" s="52">
        <v>45757333</v>
      </c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>
        <v>35685300</v>
      </c>
      <c r="CD640" s="52"/>
      <c r="CE640" s="52"/>
      <c r="CF640" s="52"/>
      <c r="CG640" s="52">
        <f t="shared" si="96"/>
        <v>81442633</v>
      </c>
      <c r="CH640" s="52"/>
      <c r="CI640" s="52"/>
      <c r="CJ640" s="52"/>
      <c r="CK640" s="52"/>
      <c r="CL640" s="52"/>
      <c r="CM640" s="52"/>
      <c r="CN640" s="52"/>
      <c r="CO640" s="52"/>
      <c r="CP640" s="52"/>
      <c r="CQ640" s="52">
        <v>5097900</v>
      </c>
      <c r="CR640" s="52"/>
      <c r="CS640" s="52">
        <f t="shared" si="93"/>
        <v>86540533</v>
      </c>
      <c r="CT640" s="53">
        <v>40783200</v>
      </c>
      <c r="CU640" s="53">
        <f t="shared" si="94"/>
        <v>45757333</v>
      </c>
      <c r="CV640" s="54">
        <f t="shared" si="97"/>
        <v>86540533</v>
      </c>
      <c r="CW640" s="55">
        <f t="shared" si="98"/>
        <v>0</v>
      </c>
      <c r="CX640" s="16"/>
      <c r="CY640" s="16"/>
      <c r="CZ640" s="16"/>
    </row>
    <row r="641" spans="1:108" ht="15" customHeight="1" x14ac:dyDescent="0.2">
      <c r="A641" s="1">
        <v>8918552220</v>
      </c>
      <c r="B641" s="1">
        <v>891855222</v>
      </c>
      <c r="C641" s="9">
        <v>219115491</v>
      </c>
      <c r="D641" s="10" t="s">
        <v>274</v>
      </c>
      <c r="E641" s="42" t="s">
        <v>1308</v>
      </c>
      <c r="F641" s="21"/>
      <c r="G641" s="50"/>
      <c r="H641" s="21"/>
      <c r="I641" s="50"/>
      <c r="J641" s="21"/>
      <c r="K641" s="21"/>
      <c r="L641" s="50"/>
      <c r="M641" s="51"/>
      <c r="N641" s="21"/>
      <c r="O641" s="50"/>
      <c r="P641" s="21"/>
      <c r="Q641" s="50"/>
      <c r="R641" s="21"/>
      <c r="S641" s="21"/>
      <c r="T641" s="50"/>
      <c r="U641" s="51">
        <f t="shared" si="92"/>
        <v>0</v>
      </c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>
        <v>170307014</v>
      </c>
      <c r="AN641" s="51">
        <f t="shared" si="101"/>
        <v>170307014</v>
      </c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>
        <v>82781895</v>
      </c>
      <c r="AZ641" s="51"/>
      <c r="BA641" s="51"/>
      <c r="BB641" s="51"/>
      <c r="BC641" s="52">
        <f t="shared" si="95"/>
        <v>253088909</v>
      </c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>
        <v>16556379</v>
      </c>
      <c r="BO641" s="51"/>
      <c r="BP641" s="52">
        <v>269645288</v>
      </c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>
        <v>16556379</v>
      </c>
      <c r="CD641" s="52"/>
      <c r="CE641" s="52"/>
      <c r="CF641" s="52"/>
      <c r="CG641" s="52">
        <f t="shared" si="96"/>
        <v>286201667</v>
      </c>
      <c r="CH641" s="52"/>
      <c r="CI641" s="52"/>
      <c r="CJ641" s="52"/>
      <c r="CK641" s="52"/>
      <c r="CL641" s="52"/>
      <c r="CM641" s="52"/>
      <c r="CN641" s="52"/>
      <c r="CO641" s="52"/>
      <c r="CP641" s="52"/>
      <c r="CQ641" s="52">
        <v>16556379</v>
      </c>
      <c r="CR641" s="52"/>
      <c r="CS641" s="52">
        <f t="shared" si="93"/>
        <v>302758046</v>
      </c>
      <c r="CT641" s="53">
        <v>132451032</v>
      </c>
      <c r="CU641" s="53">
        <f t="shared" si="94"/>
        <v>170307014</v>
      </c>
      <c r="CV641" s="54">
        <f t="shared" si="97"/>
        <v>302758046</v>
      </c>
      <c r="CW641" s="55">
        <f t="shared" si="98"/>
        <v>0</v>
      </c>
      <c r="CX641" s="16"/>
      <c r="CY641" s="8"/>
      <c r="CZ641" s="8"/>
      <c r="DA641" s="8"/>
      <c r="DB641" s="8"/>
      <c r="DC641" s="8"/>
      <c r="DD641" s="8"/>
    </row>
    <row r="642" spans="1:108" ht="15" customHeight="1" x14ac:dyDescent="0.2">
      <c r="A642" s="1">
        <v>8999997189</v>
      </c>
      <c r="B642" s="1">
        <v>899999718</v>
      </c>
      <c r="C642" s="9">
        <v>219125491</v>
      </c>
      <c r="D642" s="10" t="s">
        <v>518</v>
      </c>
      <c r="E642" s="42" t="s">
        <v>1544</v>
      </c>
      <c r="F642" s="21"/>
      <c r="G642" s="50"/>
      <c r="H642" s="21"/>
      <c r="I642" s="50"/>
      <c r="J642" s="21"/>
      <c r="K642" s="21"/>
      <c r="L642" s="50"/>
      <c r="M642" s="51"/>
      <c r="N642" s="21"/>
      <c r="O642" s="50"/>
      <c r="P642" s="21"/>
      <c r="Q642" s="50"/>
      <c r="R642" s="21"/>
      <c r="S642" s="21"/>
      <c r="T642" s="50"/>
      <c r="U642" s="51">
        <f t="shared" si="92"/>
        <v>0</v>
      </c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>
        <v>75925825</v>
      </c>
      <c r="AN642" s="51">
        <f t="shared" si="101"/>
        <v>75925825</v>
      </c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2">
        <f t="shared" si="95"/>
        <v>75925825</v>
      </c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>
        <v>0</v>
      </c>
      <c r="BO642" s="51"/>
      <c r="BP642" s="52">
        <v>75925825</v>
      </c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>
        <v>58925286</v>
      </c>
      <c r="CD642" s="52"/>
      <c r="CE642" s="52"/>
      <c r="CF642" s="52"/>
      <c r="CG642" s="52">
        <f t="shared" si="96"/>
        <v>134851111</v>
      </c>
      <c r="CH642" s="52"/>
      <c r="CI642" s="52"/>
      <c r="CJ642" s="52"/>
      <c r="CK642" s="52"/>
      <c r="CL642" s="52"/>
      <c r="CM642" s="52"/>
      <c r="CN642" s="52"/>
      <c r="CO642" s="52"/>
      <c r="CP642" s="52"/>
      <c r="CQ642" s="52">
        <v>8417898</v>
      </c>
      <c r="CR642" s="52"/>
      <c r="CS642" s="52">
        <f t="shared" si="93"/>
        <v>143269009</v>
      </c>
      <c r="CT642" s="53">
        <v>67343184</v>
      </c>
      <c r="CU642" s="53">
        <f t="shared" si="94"/>
        <v>75925825</v>
      </c>
      <c r="CV642" s="54">
        <f t="shared" si="97"/>
        <v>143269009</v>
      </c>
      <c r="CW642" s="55">
        <f t="shared" si="98"/>
        <v>0</v>
      </c>
      <c r="CX642" s="16"/>
      <c r="CY642" s="16"/>
      <c r="CZ642" s="16"/>
    </row>
    <row r="643" spans="1:108" ht="15" customHeight="1" x14ac:dyDescent="0.2">
      <c r="A643" s="1">
        <v>8100029635</v>
      </c>
      <c r="B643" s="1">
        <v>810002963</v>
      </c>
      <c r="C643" s="9">
        <v>219517495</v>
      </c>
      <c r="D643" s="10" t="s">
        <v>349</v>
      </c>
      <c r="E643" s="42" t="s">
        <v>1379</v>
      </c>
      <c r="F643" s="21"/>
      <c r="G643" s="50"/>
      <c r="H643" s="21"/>
      <c r="I643" s="50"/>
      <c r="J643" s="21"/>
      <c r="K643" s="21"/>
      <c r="L643" s="50"/>
      <c r="M643" s="51"/>
      <c r="N643" s="21"/>
      <c r="O643" s="50"/>
      <c r="P643" s="21"/>
      <c r="Q643" s="50"/>
      <c r="R643" s="21"/>
      <c r="S643" s="21"/>
      <c r="T643" s="50"/>
      <c r="U643" s="51">
        <f t="shared" ref="U643:U706" si="102">SUM(M643:T643)</f>
        <v>0</v>
      </c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>
        <v>104796373</v>
      </c>
      <c r="AN643" s="51">
        <f t="shared" si="101"/>
        <v>104796373</v>
      </c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>
        <v>50079530</v>
      </c>
      <c r="AZ643" s="51"/>
      <c r="BA643" s="51"/>
      <c r="BB643" s="51"/>
      <c r="BC643" s="52">
        <f t="shared" si="95"/>
        <v>154875903</v>
      </c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>
        <v>10015906</v>
      </c>
      <c r="BO643" s="51"/>
      <c r="BP643" s="52">
        <v>164891809</v>
      </c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>
        <v>10015906</v>
      </c>
      <c r="CD643" s="52"/>
      <c r="CE643" s="52"/>
      <c r="CF643" s="52"/>
      <c r="CG643" s="52">
        <f t="shared" si="96"/>
        <v>174907715</v>
      </c>
      <c r="CH643" s="52"/>
      <c r="CI643" s="52"/>
      <c r="CJ643" s="52"/>
      <c r="CK643" s="52"/>
      <c r="CL643" s="52"/>
      <c r="CM643" s="52"/>
      <c r="CN643" s="52"/>
      <c r="CO643" s="52"/>
      <c r="CP643" s="52"/>
      <c r="CQ643" s="52">
        <v>10015906</v>
      </c>
      <c r="CR643" s="52"/>
      <c r="CS643" s="52">
        <f t="shared" ref="CS643:CS706" si="103">SUM(CG643:CR643)</f>
        <v>184923621</v>
      </c>
      <c r="CT643" s="53">
        <v>80127248</v>
      </c>
      <c r="CU643" s="53">
        <f t="shared" ref="CU643:CU706" si="104">+AM643+BA643-BB643+BO643+CE643+CF643+CR643</f>
        <v>104796373</v>
      </c>
      <c r="CV643" s="54">
        <f t="shared" si="97"/>
        <v>184923621</v>
      </c>
      <c r="CW643" s="55">
        <f t="shared" si="98"/>
        <v>0</v>
      </c>
      <c r="CX643" s="16"/>
      <c r="CY643" s="16"/>
      <c r="CZ643" s="16"/>
    </row>
    <row r="644" spans="1:108" ht="15" customHeight="1" x14ac:dyDescent="0.2">
      <c r="A644" s="1">
        <v>9001928336</v>
      </c>
      <c r="B644" s="1">
        <v>900192833</v>
      </c>
      <c r="C644" s="9">
        <v>923271489</v>
      </c>
      <c r="D644" s="10" t="s">
        <v>216</v>
      </c>
      <c r="E644" s="42" t="s">
        <v>1251</v>
      </c>
      <c r="F644" s="21"/>
      <c r="G644" s="50"/>
      <c r="H644" s="21"/>
      <c r="I644" s="50"/>
      <c r="J644" s="21"/>
      <c r="K644" s="21"/>
      <c r="L644" s="50"/>
      <c r="M644" s="51"/>
      <c r="N644" s="21"/>
      <c r="O644" s="50"/>
      <c r="P644" s="21"/>
      <c r="Q644" s="50"/>
      <c r="R644" s="21"/>
      <c r="S644" s="21"/>
      <c r="T644" s="50"/>
      <c r="U644" s="51">
        <f t="shared" si="102"/>
        <v>0</v>
      </c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2">
        <f t="shared" ref="BC644:BC707" si="105">SUM(AN644:BA644)-BB644</f>
        <v>0</v>
      </c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>
        <v>0</v>
      </c>
      <c r="BO644" s="51"/>
      <c r="BP644" s="51">
        <v>0</v>
      </c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>
        <v>23036017</v>
      </c>
      <c r="CD644" s="52">
        <v>138216102</v>
      </c>
      <c r="CE644" s="52"/>
      <c r="CF644" s="52"/>
      <c r="CG644" s="52">
        <f t="shared" ref="CG644:CG707" si="106">SUM(BP644:CF644)</f>
        <v>161252119</v>
      </c>
      <c r="CH644" s="52"/>
      <c r="CI644" s="52"/>
      <c r="CJ644" s="52"/>
      <c r="CK644" s="52"/>
      <c r="CL644" s="52"/>
      <c r="CM644" s="52"/>
      <c r="CN644" s="52"/>
      <c r="CO644" s="52"/>
      <c r="CP644" s="52"/>
      <c r="CQ644" s="52">
        <v>23036017</v>
      </c>
      <c r="CR644" s="52"/>
      <c r="CS644" s="52">
        <f t="shared" si="103"/>
        <v>184288136</v>
      </c>
      <c r="CT644" s="53">
        <v>184288136</v>
      </c>
      <c r="CU644" s="53">
        <f t="shared" si="104"/>
        <v>0</v>
      </c>
      <c r="CV644" s="54">
        <f t="shared" ref="CV644:CV707" si="107">+CT644+CU644</f>
        <v>184288136</v>
      </c>
      <c r="CW644" s="55">
        <f t="shared" ref="CW644:CW707" si="108">+CS644-CV644</f>
        <v>0</v>
      </c>
      <c r="CX644" s="16"/>
      <c r="CY644" s="8"/>
      <c r="CZ644" s="8"/>
      <c r="DA644" s="8"/>
      <c r="DB644" s="8"/>
      <c r="DC644" s="8"/>
      <c r="DD644" s="8"/>
    </row>
    <row r="645" spans="1:108" ht="15" customHeight="1" x14ac:dyDescent="0.2">
      <c r="A645" s="1">
        <v>8916800751</v>
      </c>
      <c r="B645" s="1">
        <v>891680075</v>
      </c>
      <c r="C645" s="9">
        <v>219127491</v>
      </c>
      <c r="D645" s="10" t="s">
        <v>585</v>
      </c>
      <c r="E645" s="42" t="s">
        <v>1606</v>
      </c>
      <c r="F645" s="21"/>
      <c r="G645" s="50"/>
      <c r="H645" s="21"/>
      <c r="I645" s="50"/>
      <c r="J645" s="21"/>
      <c r="K645" s="21"/>
      <c r="L645" s="50"/>
      <c r="M645" s="51"/>
      <c r="N645" s="21"/>
      <c r="O645" s="50"/>
      <c r="P645" s="21"/>
      <c r="Q645" s="50"/>
      <c r="R645" s="21"/>
      <c r="S645" s="21"/>
      <c r="T645" s="50"/>
      <c r="U645" s="51">
        <f t="shared" si="102"/>
        <v>0</v>
      </c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>
        <v>147440618</v>
      </c>
      <c r="AN645" s="51">
        <f>SUBTOTAL(9,AC645:AM645)</f>
        <v>147440618</v>
      </c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>
        <v>87852735</v>
      </c>
      <c r="AZ645" s="51"/>
      <c r="BA645" s="51"/>
      <c r="BB645" s="51"/>
      <c r="BC645" s="52">
        <f t="shared" si="105"/>
        <v>235293353</v>
      </c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>
        <v>17570547</v>
      </c>
      <c r="BO645" s="51"/>
      <c r="BP645" s="52">
        <v>252863900</v>
      </c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>
        <v>17570547</v>
      </c>
      <c r="CD645" s="52"/>
      <c r="CE645" s="52"/>
      <c r="CF645" s="52"/>
      <c r="CG645" s="52">
        <f t="shared" si="106"/>
        <v>270434447</v>
      </c>
      <c r="CH645" s="52"/>
      <c r="CI645" s="52"/>
      <c r="CJ645" s="52"/>
      <c r="CK645" s="52"/>
      <c r="CL645" s="52"/>
      <c r="CM645" s="52"/>
      <c r="CN645" s="52"/>
      <c r="CO645" s="52"/>
      <c r="CP645" s="52"/>
      <c r="CQ645" s="52">
        <v>17570547</v>
      </c>
      <c r="CR645" s="52"/>
      <c r="CS645" s="52">
        <f t="shared" si="103"/>
        <v>288004994</v>
      </c>
      <c r="CT645" s="53">
        <v>140564376</v>
      </c>
      <c r="CU645" s="53">
        <f t="shared" si="104"/>
        <v>147440618</v>
      </c>
      <c r="CV645" s="54">
        <f t="shared" si="107"/>
        <v>288004994</v>
      </c>
      <c r="CW645" s="55">
        <f t="shared" si="108"/>
        <v>0</v>
      </c>
      <c r="CX645" s="16"/>
      <c r="CY645" s="16"/>
      <c r="CZ645" s="16"/>
    </row>
    <row r="646" spans="1:108" ht="15" customHeight="1" x14ac:dyDescent="0.2">
      <c r="A646" s="1">
        <v>8190038490</v>
      </c>
      <c r="B646" s="1">
        <v>819003849</v>
      </c>
      <c r="C646" s="9">
        <v>216047460</v>
      </c>
      <c r="D646" s="10" t="s">
        <v>650</v>
      </c>
      <c r="E646" s="42" t="s">
        <v>1669</v>
      </c>
      <c r="F646" s="21"/>
      <c r="G646" s="50"/>
      <c r="H646" s="21"/>
      <c r="I646" s="50"/>
      <c r="J646" s="21"/>
      <c r="K646" s="21"/>
      <c r="L646" s="50"/>
      <c r="M646" s="51"/>
      <c r="N646" s="21"/>
      <c r="O646" s="50"/>
      <c r="P646" s="21"/>
      <c r="Q646" s="50"/>
      <c r="R646" s="21"/>
      <c r="S646" s="21"/>
      <c r="T646" s="50"/>
      <c r="U646" s="51">
        <f t="shared" si="102"/>
        <v>0</v>
      </c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>
        <v>457040619</v>
      </c>
      <c r="AN646" s="51">
        <f>SUBTOTAL(9,AC646:AM646)</f>
        <v>457040619</v>
      </c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>
        <v>348953560</v>
      </c>
      <c r="AZ646" s="51"/>
      <c r="BA646" s="51"/>
      <c r="BB646" s="51"/>
      <c r="BC646" s="52">
        <f t="shared" si="105"/>
        <v>805994179</v>
      </c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>
        <v>69790712</v>
      </c>
      <c r="BO646" s="51"/>
      <c r="BP646" s="52">
        <v>875784891</v>
      </c>
      <c r="BQ646" s="52"/>
      <c r="BR646" s="52"/>
      <c r="BS646" s="52"/>
      <c r="BT646" s="52"/>
      <c r="BU646" s="52"/>
      <c r="BV646" s="52"/>
      <c r="BW646" s="52"/>
      <c r="BX646" s="52"/>
      <c r="BY646" s="52"/>
      <c r="BZ646" s="52"/>
      <c r="CA646" s="52"/>
      <c r="CB646" s="52"/>
      <c r="CC646" s="52">
        <v>69790712</v>
      </c>
      <c r="CD646" s="52"/>
      <c r="CE646" s="52"/>
      <c r="CF646" s="52"/>
      <c r="CG646" s="52">
        <f t="shared" si="106"/>
        <v>945575603</v>
      </c>
      <c r="CH646" s="52"/>
      <c r="CI646" s="52"/>
      <c r="CJ646" s="52"/>
      <c r="CK646" s="52"/>
      <c r="CL646" s="52"/>
      <c r="CM646" s="52"/>
      <c r="CN646" s="52"/>
      <c r="CO646" s="52"/>
      <c r="CP646" s="52"/>
      <c r="CQ646" s="52">
        <v>69790712</v>
      </c>
      <c r="CR646" s="52"/>
      <c r="CS646" s="52">
        <f t="shared" si="103"/>
        <v>1015366315</v>
      </c>
      <c r="CT646" s="53">
        <v>558325696</v>
      </c>
      <c r="CU646" s="53">
        <f t="shared" si="104"/>
        <v>457040619</v>
      </c>
      <c r="CV646" s="54">
        <f t="shared" si="107"/>
        <v>1015366315</v>
      </c>
      <c r="CW646" s="55">
        <f t="shared" si="108"/>
        <v>0</v>
      </c>
      <c r="CX646" s="16"/>
      <c r="CY646" s="16"/>
      <c r="CZ646" s="16"/>
    </row>
    <row r="647" spans="1:108" ht="15" customHeight="1" x14ac:dyDescent="0.2">
      <c r="A647" s="1">
        <v>8000330620</v>
      </c>
      <c r="B647" s="1">
        <v>800033062</v>
      </c>
      <c r="C647" s="9">
        <v>219415494</v>
      </c>
      <c r="D647" s="10" t="s">
        <v>275</v>
      </c>
      <c r="E647" s="42" t="s">
        <v>1309</v>
      </c>
      <c r="F647" s="21"/>
      <c r="G647" s="50"/>
      <c r="H647" s="21"/>
      <c r="I647" s="50"/>
      <c r="J647" s="21"/>
      <c r="K647" s="21"/>
      <c r="L647" s="50"/>
      <c r="M647" s="51"/>
      <c r="N647" s="21"/>
      <c r="O647" s="50"/>
      <c r="P647" s="21"/>
      <c r="Q647" s="50"/>
      <c r="R647" s="21"/>
      <c r="S647" s="21"/>
      <c r="T647" s="50"/>
      <c r="U647" s="51">
        <f t="shared" si="102"/>
        <v>0</v>
      </c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>
        <v>32205025</v>
      </c>
      <c r="AZ647" s="51"/>
      <c r="BA647" s="51">
        <f>VLOOKUP(B647,[1]Hoja3!J$3:K$674,2,0)</f>
        <v>78183956</v>
      </c>
      <c r="BB647" s="51"/>
      <c r="BC647" s="52">
        <f t="shared" si="105"/>
        <v>110388981</v>
      </c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>
        <v>6441005</v>
      </c>
      <c r="BO647" s="51"/>
      <c r="BP647" s="52">
        <v>116829986</v>
      </c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>
        <v>6441005</v>
      </c>
      <c r="CD647" s="52"/>
      <c r="CE647" s="52"/>
      <c r="CF647" s="52"/>
      <c r="CG647" s="52">
        <f t="shared" si="106"/>
        <v>123270991</v>
      </c>
      <c r="CH647" s="52"/>
      <c r="CI647" s="52"/>
      <c r="CJ647" s="52"/>
      <c r="CK647" s="52"/>
      <c r="CL647" s="52"/>
      <c r="CM647" s="52"/>
      <c r="CN647" s="52"/>
      <c r="CO647" s="52"/>
      <c r="CP647" s="52"/>
      <c r="CQ647" s="52">
        <v>6441005</v>
      </c>
      <c r="CR647" s="52"/>
      <c r="CS647" s="52">
        <f t="shared" si="103"/>
        <v>129711996</v>
      </c>
      <c r="CT647" s="53">
        <v>51528040</v>
      </c>
      <c r="CU647" s="53">
        <f t="shared" si="104"/>
        <v>78183956</v>
      </c>
      <c r="CV647" s="54">
        <f t="shared" si="107"/>
        <v>129711996</v>
      </c>
      <c r="CW647" s="55">
        <f t="shared" si="108"/>
        <v>0</v>
      </c>
      <c r="CX647" s="16"/>
      <c r="CY647" s="8"/>
      <c r="CZ647" s="8"/>
      <c r="DA647" s="8"/>
      <c r="DB647" s="8"/>
      <c r="DC647" s="8"/>
      <c r="DD647" s="8"/>
    </row>
    <row r="648" spans="1:108" ht="15" customHeight="1" x14ac:dyDescent="0.2">
      <c r="A648" s="1">
        <v>8000994254</v>
      </c>
      <c r="B648" s="1">
        <v>800099425</v>
      </c>
      <c r="C648" s="9">
        <v>212585225</v>
      </c>
      <c r="D648" s="10" t="s">
        <v>962</v>
      </c>
      <c r="E648" s="42" t="s">
        <v>2022</v>
      </c>
      <c r="F648" s="21"/>
      <c r="G648" s="50"/>
      <c r="H648" s="21"/>
      <c r="I648" s="50"/>
      <c r="J648" s="21"/>
      <c r="K648" s="21"/>
      <c r="L648" s="50"/>
      <c r="M648" s="51"/>
      <c r="N648" s="21"/>
      <c r="O648" s="50"/>
      <c r="P648" s="21"/>
      <c r="Q648" s="50"/>
      <c r="R648" s="21"/>
      <c r="S648" s="21"/>
      <c r="T648" s="50"/>
      <c r="U648" s="51">
        <f t="shared" si="102"/>
        <v>0</v>
      </c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>
        <v>151967822</v>
      </c>
      <c r="AN648" s="51">
        <f t="shared" ref="AN648:AN654" si="109">SUBTOTAL(9,AC648:AM648)</f>
        <v>151967822</v>
      </c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>
        <v>93113975</v>
      </c>
      <c r="AZ648" s="51"/>
      <c r="BA648" s="51"/>
      <c r="BB648" s="51">
        <f>VLOOKUP(B648,'[2]anuladas en mayo gratuidad}'!K$2:L$55,2,0)</f>
        <v>43085208</v>
      </c>
      <c r="BC648" s="52">
        <f t="shared" si="105"/>
        <v>201996589</v>
      </c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>
        <v>18622795</v>
      </c>
      <c r="BO648" s="51"/>
      <c r="BP648" s="52">
        <v>220619384</v>
      </c>
      <c r="BQ648" s="52"/>
      <c r="BR648" s="52"/>
      <c r="BS648" s="52"/>
      <c r="BT648" s="52"/>
      <c r="BU648" s="52"/>
      <c r="BV648" s="52"/>
      <c r="BW648" s="52"/>
      <c r="BX648" s="52"/>
      <c r="BY648" s="52"/>
      <c r="BZ648" s="52"/>
      <c r="CA648" s="52"/>
      <c r="CB648" s="52"/>
      <c r="CC648" s="52">
        <v>18622795</v>
      </c>
      <c r="CD648" s="52"/>
      <c r="CE648" s="52"/>
      <c r="CF648" s="52"/>
      <c r="CG648" s="52">
        <f t="shared" si="106"/>
        <v>239242179</v>
      </c>
      <c r="CH648" s="52"/>
      <c r="CI648" s="52"/>
      <c r="CJ648" s="52"/>
      <c r="CK648" s="52"/>
      <c r="CL648" s="52"/>
      <c r="CM648" s="52"/>
      <c r="CN648" s="52"/>
      <c r="CO648" s="52"/>
      <c r="CP648" s="52"/>
      <c r="CQ648" s="52">
        <v>18622795</v>
      </c>
      <c r="CR648" s="52"/>
      <c r="CS648" s="52">
        <f t="shared" si="103"/>
        <v>257864974</v>
      </c>
      <c r="CT648" s="53">
        <v>148982360</v>
      </c>
      <c r="CU648" s="53">
        <f t="shared" si="104"/>
        <v>108882614</v>
      </c>
      <c r="CV648" s="54">
        <f t="shared" si="107"/>
        <v>257864974</v>
      </c>
      <c r="CW648" s="55">
        <f t="shared" si="108"/>
        <v>0</v>
      </c>
      <c r="CX648" s="16"/>
      <c r="CY648" s="16"/>
      <c r="CZ648" s="16"/>
    </row>
    <row r="649" spans="1:108" ht="15" customHeight="1" x14ac:dyDescent="0.2">
      <c r="A649" s="1">
        <v>8916800769</v>
      </c>
      <c r="B649" s="1">
        <v>891680076</v>
      </c>
      <c r="C649" s="9">
        <v>219527495</v>
      </c>
      <c r="D649" s="10" t="s">
        <v>586</v>
      </c>
      <c r="E649" s="42" t="s">
        <v>1607</v>
      </c>
      <c r="F649" s="21"/>
      <c r="G649" s="50"/>
      <c r="H649" s="21"/>
      <c r="I649" s="50"/>
      <c r="J649" s="21"/>
      <c r="K649" s="21"/>
      <c r="L649" s="50"/>
      <c r="M649" s="51"/>
      <c r="N649" s="21"/>
      <c r="O649" s="50"/>
      <c r="P649" s="21"/>
      <c r="Q649" s="50"/>
      <c r="R649" s="21"/>
      <c r="S649" s="21"/>
      <c r="T649" s="50"/>
      <c r="U649" s="51">
        <f t="shared" si="102"/>
        <v>0</v>
      </c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>
        <v>106264205</v>
      </c>
      <c r="AN649" s="51">
        <f t="shared" si="109"/>
        <v>106264205</v>
      </c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>
        <v>78006510</v>
      </c>
      <c r="AZ649" s="51"/>
      <c r="BA649" s="51"/>
      <c r="BB649" s="51"/>
      <c r="BC649" s="52">
        <f t="shared" si="105"/>
        <v>184270715</v>
      </c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>
        <v>15601302</v>
      </c>
      <c r="BO649" s="51"/>
      <c r="BP649" s="52">
        <v>199872017</v>
      </c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>
        <v>15601302</v>
      </c>
      <c r="CD649" s="52"/>
      <c r="CE649" s="52"/>
      <c r="CF649" s="52"/>
      <c r="CG649" s="52">
        <f t="shared" si="106"/>
        <v>215473319</v>
      </c>
      <c r="CH649" s="52"/>
      <c r="CI649" s="52"/>
      <c r="CJ649" s="52"/>
      <c r="CK649" s="52"/>
      <c r="CL649" s="52"/>
      <c r="CM649" s="52"/>
      <c r="CN649" s="52"/>
      <c r="CO649" s="52"/>
      <c r="CP649" s="52"/>
      <c r="CQ649" s="52">
        <v>15601302</v>
      </c>
      <c r="CR649" s="52">
        <v>165595652</v>
      </c>
      <c r="CS649" s="52">
        <f t="shared" si="103"/>
        <v>396670273</v>
      </c>
      <c r="CT649" s="53">
        <v>124810416</v>
      </c>
      <c r="CU649" s="53">
        <f t="shared" si="104"/>
        <v>271859857</v>
      </c>
      <c r="CV649" s="54">
        <f t="shared" si="107"/>
        <v>396670273</v>
      </c>
      <c r="CW649" s="55">
        <f t="shared" si="108"/>
        <v>0</v>
      </c>
      <c r="CX649" s="16"/>
      <c r="CY649" s="16"/>
      <c r="CZ649" s="16"/>
    </row>
    <row r="650" spans="1:108" ht="15" customHeight="1" x14ac:dyDescent="0.2">
      <c r="A650" s="1">
        <v>8919009023</v>
      </c>
      <c r="B650" s="1">
        <v>891900902</v>
      </c>
      <c r="C650" s="9">
        <v>219776497</v>
      </c>
      <c r="D650" s="10" t="s">
        <v>933</v>
      </c>
      <c r="E650" s="42" t="s">
        <v>1993</v>
      </c>
      <c r="F650" s="21"/>
      <c r="G650" s="50"/>
      <c r="H650" s="21"/>
      <c r="I650" s="50"/>
      <c r="J650" s="21"/>
      <c r="K650" s="21"/>
      <c r="L650" s="50"/>
      <c r="M650" s="51"/>
      <c r="N650" s="21"/>
      <c r="O650" s="50"/>
      <c r="P650" s="21"/>
      <c r="Q650" s="50"/>
      <c r="R650" s="21"/>
      <c r="S650" s="21"/>
      <c r="T650" s="50"/>
      <c r="U650" s="51">
        <f t="shared" si="102"/>
        <v>0</v>
      </c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>
        <v>137452088</v>
      </c>
      <c r="AN650" s="51">
        <f t="shared" si="109"/>
        <v>137452088</v>
      </c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2">
        <f t="shared" si="105"/>
        <v>137452088</v>
      </c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>
        <v>0</v>
      </c>
      <c r="BO650" s="51"/>
      <c r="BP650" s="52">
        <v>137452088</v>
      </c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>
        <v>128162587</v>
      </c>
      <c r="CD650" s="52"/>
      <c r="CE650" s="52"/>
      <c r="CF650" s="52"/>
      <c r="CG650" s="52">
        <f t="shared" si="106"/>
        <v>265614675</v>
      </c>
      <c r="CH650" s="52"/>
      <c r="CI650" s="52"/>
      <c r="CJ650" s="52"/>
      <c r="CK650" s="52"/>
      <c r="CL650" s="52"/>
      <c r="CM650" s="52"/>
      <c r="CN650" s="52"/>
      <c r="CO650" s="52"/>
      <c r="CP650" s="52"/>
      <c r="CQ650" s="52">
        <v>18308941</v>
      </c>
      <c r="CR650" s="52"/>
      <c r="CS650" s="52">
        <f t="shared" si="103"/>
        <v>283923616</v>
      </c>
      <c r="CT650" s="53">
        <v>146471528</v>
      </c>
      <c r="CU650" s="53">
        <f t="shared" si="104"/>
        <v>137452088</v>
      </c>
      <c r="CV650" s="54">
        <f t="shared" si="107"/>
        <v>283923616</v>
      </c>
      <c r="CW650" s="55">
        <f t="shared" si="108"/>
        <v>0</v>
      </c>
      <c r="CX650" s="16"/>
      <c r="CY650" s="16"/>
      <c r="CZ650" s="16"/>
    </row>
    <row r="651" spans="1:108" ht="15" customHeight="1" x14ac:dyDescent="0.2">
      <c r="A651" s="1">
        <v>8902051245</v>
      </c>
      <c r="B651" s="1">
        <v>890205124</v>
      </c>
      <c r="C651" s="9">
        <v>219868498</v>
      </c>
      <c r="D651" s="10" t="s">
        <v>860</v>
      </c>
      <c r="E651" s="42" t="s">
        <v>1873</v>
      </c>
      <c r="F651" s="21"/>
      <c r="G651" s="50"/>
      <c r="H651" s="21"/>
      <c r="I651" s="50"/>
      <c r="J651" s="21"/>
      <c r="K651" s="21"/>
      <c r="L651" s="50"/>
      <c r="M651" s="51"/>
      <c r="N651" s="21"/>
      <c r="O651" s="50"/>
      <c r="P651" s="21"/>
      <c r="Q651" s="50"/>
      <c r="R651" s="21"/>
      <c r="S651" s="21"/>
      <c r="T651" s="50"/>
      <c r="U651" s="51">
        <f t="shared" si="102"/>
        <v>0</v>
      </c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>
        <v>34531235</v>
      </c>
      <c r="AN651" s="51">
        <f t="shared" si="109"/>
        <v>34531235</v>
      </c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>
        <v>28129820</v>
      </c>
      <c r="AZ651" s="51"/>
      <c r="BA651" s="51">
        <f>VLOOKUP(B651,[1]Hoja3!J$3:K$674,2,0)</f>
        <v>35875601</v>
      </c>
      <c r="BB651" s="51"/>
      <c r="BC651" s="52">
        <f t="shared" si="105"/>
        <v>98536656</v>
      </c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>
        <v>5625964</v>
      </c>
      <c r="BO651" s="51"/>
      <c r="BP651" s="52">
        <v>104162620</v>
      </c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>
        <v>5625964</v>
      </c>
      <c r="CD651" s="52"/>
      <c r="CE651" s="52"/>
      <c r="CF651" s="52"/>
      <c r="CG651" s="52">
        <f t="shared" si="106"/>
        <v>109788584</v>
      </c>
      <c r="CH651" s="52"/>
      <c r="CI651" s="52"/>
      <c r="CJ651" s="52"/>
      <c r="CK651" s="52"/>
      <c r="CL651" s="52"/>
      <c r="CM651" s="52"/>
      <c r="CN651" s="52"/>
      <c r="CO651" s="52"/>
      <c r="CP651" s="52"/>
      <c r="CQ651" s="52">
        <v>5625964</v>
      </c>
      <c r="CR651" s="52"/>
      <c r="CS651" s="52">
        <f t="shared" si="103"/>
        <v>115414548</v>
      </c>
      <c r="CT651" s="53">
        <v>45007712</v>
      </c>
      <c r="CU651" s="53">
        <f t="shared" si="104"/>
        <v>70406836</v>
      </c>
      <c r="CV651" s="54">
        <f t="shared" si="107"/>
        <v>115414548</v>
      </c>
      <c r="CW651" s="55">
        <f t="shared" si="108"/>
        <v>0</v>
      </c>
      <c r="CX651" s="16"/>
      <c r="CY651" s="16"/>
      <c r="CZ651" s="16"/>
    </row>
    <row r="652" spans="1:108" ht="15" customHeight="1" x14ac:dyDescent="0.2">
      <c r="A652" s="1">
        <v>8905011022</v>
      </c>
      <c r="B652" s="1">
        <v>890501102</v>
      </c>
      <c r="C652" s="9">
        <v>219854498</v>
      </c>
      <c r="D652" s="10" t="s">
        <v>774</v>
      </c>
      <c r="E652" s="42" t="s">
        <v>1791</v>
      </c>
      <c r="F652" s="21"/>
      <c r="G652" s="50"/>
      <c r="H652" s="21"/>
      <c r="I652" s="50"/>
      <c r="J652" s="21"/>
      <c r="K652" s="21"/>
      <c r="L652" s="50"/>
      <c r="M652" s="51"/>
      <c r="N652" s="21"/>
      <c r="O652" s="50"/>
      <c r="P652" s="21"/>
      <c r="Q652" s="50"/>
      <c r="R652" s="21"/>
      <c r="S652" s="21"/>
      <c r="T652" s="50"/>
      <c r="U652" s="51">
        <f t="shared" si="102"/>
        <v>0</v>
      </c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>
        <v>704845756</v>
      </c>
      <c r="AN652" s="51">
        <f t="shared" si="109"/>
        <v>704845756</v>
      </c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>
        <v>605639625</v>
      </c>
      <c r="AZ652" s="51"/>
      <c r="BA652" s="51">
        <f>VLOOKUP(B652,[1]Hoja3!J$3:K$674,2,0)</f>
        <v>732080624</v>
      </c>
      <c r="BB652" s="51"/>
      <c r="BC652" s="52">
        <f t="shared" si="105"/>
        <v>2042566005</v>
      </c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>
        <v>121127925</v>
      </c>
      <c r="BO652" s="51"/>
      <c r="BP652" s="52">
        <v>2163693930</v>
      </c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>
        <v>121127925</v>
      </c>
      <c r="CD652" s="52"/>
      <c r="CE652" s="52"/>
      <c r="CF652" s="52"/>
      <c r="CG652" s="52">
        <f t="shared" si="106"/>
        <v>2284821855</v>
      </c>
      <c r="CH652" s="52"/>
      <c r="CI652" s="52"/>
      <c r="CJ652" s="52"/>
      <c r="CK652" s="52"/>
      <c r="CL652" s="52"/>
      <c r="CM652" s="52"/>
      <c r="CN652" s="52"/>
      <c r="CO652" s="52"/>
      <c r="CP652" s="52"/>
      <c r="CQ652" s="52">
        <v>121127925</v>
      </c>
      <c r="CR652" s="52"/>
      <c r="CS652" s="52">
        <f t="shared" si="103"/>
        <v>2405949780</v>
      </c>
      <c r="CT652" s="53">
        <v>969023400</v>
      </c>
      <c r="CU652" s="53">
        <f t="shared" si="104"/>
        <v>1436926380</v>
      </c>
      <c r="CV652" s="54">
        <f t="shared" si="107"/>
        <v>2405949780</v>
      </c>
      <c r="CW652" s="55">
        <f t="shared" si="108"/>
        <v>0</v>
      </c>
      <c r="CX652" s="16"/>
      <c r="CY652" s="16"/>
      <c r="CZ652" s="16"/>
    </row>
    <row r="653" spans="1:108" ht="15" customHeight="1" x14ac:dyDescent="0.2">
      <c r="A653" s="1">
        <v>8902109487</v>
      </c>
      <c r="B653" s="1">
        <v>890210948</v>
      </c>
      <c r="C653" s="9">
        <v>210068500</v>
      </c>
      <c r="D653" s="10" t="s">
        <v>861</v>
      </c>
      <c r="E653" s="42" t="s">
        <v>1874</v>
      </c>
      <c r="F653" s="21"/>
      <c r="G653" s="50"/>
      <c r="H653" s="21"/>
      <c r="I653" s="50"/>
      <c r="J653" s="21"/>
      <c r="K653" s="21"/>
      <c r="L653" s="50"/>
      <c r="M653" s="51"/>
      <c r="N653" s="21"/>
      <c r="O653" s="50"/>
      <c r="P653" s="21"/>
      <c r="Q653" s="50"/>
      <c r="R653" s="21"/>
      <c r="S653" s="21"/>
      <c r="T653" s="50"/>
      <c r="U653" s="51">
        <f t="shared" si="102"/>
        <v>0</v>
      </c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>
        <v>178480150</v>
      </c>
      <c r="AN653" s="51">
        <f t="shared" si="109"/>
        <v>178480150</v>
      </c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>
        <v>77436015</v>
      </c>
      <c r="AZ653" s="51"/>
      <c r="BA653" s="51"/>
      <c r="BB653" s="51"/>
      <c r="BC653" s="52">
        <f t="shared" si="105"/>
        <v>255916165</v>
      </c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>
        <v>15487203</v>
      </c>
      <c r="BO653" s="51"/>
      <c r="BP653" s="52">
        <v>271403368</v>
      </c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>
        <v>15487203</v>
      </c>
      <c r="CD653" s="52"/>
      <c r="CE653" s="52"/>
      <c r="CF653" s="52"/>
      <c r="CG653" s="52">
        <f t="shared" si="106"/>
        <v>286890571</v>
      </c>
      <c r="CH653" s="52"/>
      <c r="CI653" s="52"/>
      <c r="CJ653" s="52"/>
      <c r="CK653" s="52"/>
      <c r="CL653" s="52"/>
      <c r="CM653" s="52"/>
      <c r="CN653" s="52"/>
      <c r="CO653" s="52"/>
      <c r="CP653" s="52"/>
      <c r="CQ653" s="52">
        <v>15487203</v>
      </c>
      <c r="CR653" s="52"/>
      <c r="CS653" s="52">
        <f t="shared" si="103"/>
        <v>302377774</v>
      </c>
      <c r="CT653" s="53">
        <v>123897624</v>
      </c>
      <c r="CU653" s="53">
        <f t="shared" si="104"/>
        <v>178480150</v>
      </c>
      <c r="CV653" s="54">
        <f t="shared" si="107"/>
        <v>302377774</v>
      </c>
      <c r="CW653" s="55">
        <f t="shared" si="108"/>
        <v>0</v>
      </c>
      <c r="CX653" s="16"/>
      <c r="CY653" s="16"/>
      <c r="CZ653" s="16"/>
    </row>
    <row r="654" spans="1:108" ht="15" customHeight="1" x14ac:dyDescent="0.2">
      <c r="A654" s="1">
        <v>8000261565</v>
      </c>
      <c r="B654" s="1">
        <v>800026156</v>
      </c>
      <c r="C654" s="9">
        <v>210015500</v>
      </c>
      <c r="D654" s="10" t="s">
        <v>276</v>
      </c>
      <c r="E654" s="42" t="s">
        <v>1310</v>
      </c>
      <c r="F654" s="21"/>
      <c r="G654" s="50"/>
      <c r="H654" s="21"/>
      <c r="I654" s="50"/>
      <c r="J654" s="21"/>
      <c r="K654" s="21"/>
      <c r="L654" s="50"/>
      <c r="M654" s="51"/>
      <c r="N654" s="21"/>
      <c r="O654" s="50"/>
      <c r="P654" s="21"/>
      <c r="Q654" s="50"/>
      <c r="R654" s="21"/>
      <c r="S654" s="21"/>
      <c r="T654" s="50"/>
      <c r="U654" s="51">
        <f t="shared" si="102"/>
        <v>0</v>
      </c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>
        <v>31126673</v>
      </c>
      <c r="AN654" s="51">
        <f t="shared" si="109"/>
        <v>31126673</v>
      </c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>
        <v>18219275</v>
      </c>
      <c r="AZ654" s="51"/>
      <c r="BA654" s="51"/>
      <c r="BB654" s="51"/>
      <c r="BC654" s="52">
        <f t="shared" si="105"/>
        <v>49345948</v>
      </c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>
        <v>3643855</v>
      </c>
      <c r="BO654" s="51"/>
      <c r="BP654" s="52">
        <v>52989803</v>
      </c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>
        <v>3643855</v>
      </c>
      <c r="CD654" s="52"/>
      <c r="CE654" s="52"/>
      <c r="CF654" s="52"/>
      <c r="CG654" s="52">
        <f t="shared" si="106"/>
        <v>56633658</v>
      </c>
      <c r="CH654" s="52"/>
      <c r="CI654" s="52"/>
      <c r="CJ654" s="52"/>
      <c r="CK654" s="52"/>
      <c r="CL654" s="52"/>
      <c r="CM654" s="52"/>
      <c r="CN654" s="52"/>
      <c r="CO654" s="52"/>
      <c r="CP654" s="52"/>
      <c r="CQ654" s="52">
        <v>3643855</v>
      </c>
      <c r="CR654" s="52"/>
      <c r="CS654" s="52">
        <f t="shared" si="103"/>
        <v>60277513</v>
      </c>
      <c r="CT654" s="53">
        <v>29150840</v>
      </c>
      <c r="CU654" s="53">
        <f t="shared" si="104"/>
        <v>31126673</v>
      </c>
      <c r="CV654" s="54">
        <f t="shared" si="107"/>
        <v>60277513</v>
      </c>
      <c r="CW654" s="55">
        <f t="shared" si="108"/>
        <v>0</v>
      </c>
      <c r="CX654" s="16"/>
      <c r="CY654" s="8"/>
      <c r="CZ654" s="8"/>
      <c r="DA654" s="8"/>
      <c r="DB654" s="8"/>
      <c r="DC654" s="8"/>
      <c r="DD654" s="8"/>
    </row>
    <row r="655" spans="1:108" ht="15" customHeight="1" x14ac:dyDescent="0.2">
      <c r="A655" s="1">
        <v>8000991131</v>
      </c>
      <c r="B655" s="1">
        <v>800099113</v>
      </c>
      <c r="C655" s="9">
        <v>219052490</v>
      </c>
      <c r="D655" s="10" t="s">
        <v>728</v>
      </c>
      <c r="E655" s="42" t="s">
        <v>1751</v>
      </c>
      <c r="F655" s="21"/>
      <c r="G655" s="50"/>
      <c r="H655" s="21"/>
      <c r="I655" s="50"/>
      <c r="J655" s="21"/>
      <c r="K655" s="21"/>
      <c r="L655" s="50"/>
      <c r="M655" s="51"/>
      <c r="N655" s="21"/>
      <c r="O655" s="50"/>
      <c r="P655" s="21"/>
      <c r="Q655" s="50"/>
      <c r="R655" s="21"/>
      <c r="S655" s="21"/>
      <c r="T655" s="50"/>
      <c r="U655" s="51">
        <f t="shared" si="102"/>
        <v>0</v>
      </c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>
        <v>368204085</v>
      </c>
      <c r="AZ655" s="51"/>
      <c r="BA655" s="51">
        <f>VLOOKUP(B655,[1]Hoja3!J$3:K$674,2,0)</f>
        <v>518351795</v>
      </c>
      <c r="BB655" s="51"/>
      <c r="BC655" s="52">
        <f t="shared" si="105"/>
        <v>886555880</v>
      </c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>
        <v>73640817</v>
      </c>
      <c r="BO655" s="51"/>
      <c r="BP655" s="52">
        <v>960196697</v>
      </c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>
        <v>73640817</v>
      </c>
      <c r="CD655" s="52"/>
      <c r="CE655" s="52"/>
      <c r="CF655" s="52"/>
      <c r="CG655" s="52">
        <f t="shared" si="106"/>
        <v>1033837514</v>
      </c>
      <c r="CH655" s="52"/>
      <c r="CI655" s="52"/>
      <c r="CJ655" s="52"/>
      <c r="CK655" s="52"/>
      <c r="CL655" s="52"/>
      <c r="CM655" s="52"/>
      <c r="CN655" s="52"/>
      <c r="CO655" s="52"/>
      <c r="CP655" s="52"/>
      <c r="CQ655" s="52">
        <v>73640817</v>
      </c>
      <c r="CR655" s="52"/>
      <c r="CS655" s="52">
        <f t="shared" si="103"/>
        <v>1107478331</v>
      </c>
      <c r="CT655" s="53">
        <v>589126536</v>
      </c>
      <c r="CU655" s="53">
        <f t="shared" si="104"/>
        <v>518351795</v>
      </c>
      <c r="CV655" s="54">
        <f t="shared" si="107"/>
        <v>1107478331</v>
      </c>
      <c r="CW655" s="55">
        <f t="shared" si="108"/>
        <v>0</v>
      </c>
      <c r="CX655" s="16"/>
      <c r="CY655" s="16"/>
      <c r="CZ655" s="16"/>
    </row>
    <row r="656" spans="1:108" ht="15" customHeight="1" x14ac:dyDescent="0.2">
      <c r="A656" s="1">
        <v>8909841619</v>
      </c>
      <c r="B656" s="1">
        <v>890984161</v>
      </c>
      <c r="C656" s="9">
        <v>210105501</v>
      </c>
      <c r="D656" s="10" t="s">
        <v>114</v>
      </c>
      <c r="E656" s="42" t="s">
        <v>1097</v>
      </c>
      <c r="F656" s="21"/>
      <c r="G656" s="50"/>
      <c r="H656" s="21"/>
      <c r="I656" s="50"/>
      <c r="J656" s="21"/>
      <c r="K656" s="21"/>
      <c r="L656" s="50"/>
      <c r="M656" s="51"/>
      <c r="N656" s="21"/>
      <c r="O656" s="50"/>
      <c r="P656" s="21"/>
      <c r="Q656" s="50"/>
      <c r="R656" s="21"/>
      <c r="S656" s="21"/>
      <c r="T656" s="50"/>
      <c r="U656" s="51">
        <f t="shared" si="102"/>
        <v>0</v>
      </c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>
        <v>20796520</v>
      </c>
      <c r="AZ656" s="51"/>
      <c r="BA656" s="51">
        <f>VLOOKUP(B656,[1]Hoja3!J$3:K$674,2,0)</f>
        <v>46486544</v>
      </c>
      <c r="BB656" s="51"/>
      <c r="BC656" s="52">
        <f t="shared" si="105"/>
        <v>67283064</v>
      </c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>
        <v>4159304</v>
      </c>
      <c r="BO656" s="51"/>
      <c r="BP656" s="52">
        <v>71442368</v>
      </c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>
        <v>4159304</v>
      </c>
      <c r="CD656" s="52"/>
      <c r="CE656" s="52"/>
      <c r="CF656" s="52"/>
      <c r="CG656" s="52">
        <f t="shared" si="106"/>
        <v>75601672</v>
      </c>
      <c r="CH656" s="52"/>
      <c r="CI656" s="52"/>
      <c r="CJ656" s="52"/>
      <c r="CK656" s="52"/>
      <c r="CL656" s="52"/>
      <c r="CM656" s="52"/>
      <c r="CN656" s="52"/>
      <c r="CO656" s="52"/>
      <c r="CP656" s="52"/>
      <c r="CQ656" s="52">
        <v>4159304</v>
      </c>
      <c r="CR656" s="52"/>
      <c r="CS656" s="52">
        <f t="shared" si="103"/>
        <v>79760976</v>
      </c>
      <c r="CT656" s="53">
        <v>33274432</v>
      </c>
      <c r="CU656" s="53">
        <f t="shared" si="104"/>
        <v>46486544</v>
      </c>
      <c r="CV656" s="54">
        <f t="shared" si="107"/>
        <v>79760976</v>
      </c>
      <c r="CW656" s="55">
        <f t="shared" si="108"/>
        <v>0</v>
      </c>
      <c r="CX656" s="16"/>
      <c r="CY656" s="8"/>
      <c r="CZ656" s="8"/>
      <c r="DA656" s="8"/>
      <c r="DB656" s="8"/>
      <c r="DC656" s="8"/>
      <c r="DD656" s="8"/>
    </row>
    <row r="657" spans="1:108" ht="15" customHeight="1" x14ac:dyDescent="0.2">
      <c r="A657" s="1">
        <v>8902081485</v>
      </c>
      <c r="B657" s="1">
        <v>890208148</v>
      </c>
      <c r="C657" s="9">
        <v>210268502</v>
      </c>
      <c r="D657" s="10" t="s">
        <v>862</v>
      </c>
      <c r="E657" s="42" t="s">
        <v>1875</v>
      </c>
      <c r="F657" s="21"/>
      <c r="G657" s="50"/>
      <c r="H657" s="21"/>
      <c r="I657" s="50"/>
      <c r="J657" s="21"/>
      <c r="K657" s="21"/>
      <c r="L657" s="50"/>
      <c r="M657" s="51"/>
      <c r="N657" s="21"/>
      <c r="O657" s="50"/>
      <c r="P657" s="21"/>
      <c r="Q657" s="50"/>
      <c r="R657" s="21"/>
      <c r="S657" s="21"/>
      <c r="T657" s="50"/>
      <c r="U657" s="51">
        <f t="shared" si="102"/>
        <v>0</v>
      </c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>
        <v>31848195</v>
      </c>
      <c r="AZ657" s="51"/>
      <c r="BA657" s="51">
        <f>VLOOKUP(B657,[1]Hoja3!J$3:K$674,2,0)</f>
        <v>52593474</v>
      </c>
      <c r="BB657" s="51"/>
      <c r="BC657" s="52">
        <f t="shared" si="105"/>
        <v>84441669</v>
      </c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>
        <v>6369639</v>
      </c>
      <c r="BO657" s="51"/>
      <c r="BP657" s="52">
        <v>90811308</v>
      </c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>
        <v>6369639</v>
      </c>
      <c r="CD657" s="52"/>
      <c r="CE657" s="52"/>
      <c r="CF657" s="52"/>
      <c r="CG657" s="52">
        <f t="shared" si="106"/>
        <v>97180947</v>
      </c>
      <c r="CH657" s="52"/>
      <c r="CI657" s="52"/>
      <c r="CJ657" s="52"/>
      <c r="CK657" s="52"/>
      <c r="CL657" s="52"/>
      <c r="CM657" s="52"/>
      <c r="CN657" s="52"/>
      <c r="CO657" s="52"/>
      <c r="CP657" s="52"/>
      <c r="CQ657" s="52">
        <v>6369639</v>
      </c>
      <c r="CR657" s="52"/>
      <c r="CS657" s="52">
        <f t="shared" si="103"/>
        <v>103550586</v>
      </c>
      <c r="CT657" s="53">
        <v>50957112</v>
      </c>
      <c r="CU657" s="53">
        <f t="shared" si="104"/>
        <v>52593474</v>
      </c>
      <c r="CV657" s="54">
        <f t="shared" si="107"/>
        <v>103550586</v>
      </c>
      <c r="CW657" s="55">
        <f t="shared" si="108"/>
        <v>0</v>
      </c>
      <c r="CX657" s="16"/>
      <c r="CY657" s="16"/>
      <c r="CZ657" s="16"/>
    </row>
    <row r="658" spans="1:108" ht="15" customHeight="1" x14ac:dyDescent="0.2">
      <c r="A658" s="1">
        <v>8911801793</v>
      </c>
      <c r="B658" s="1">
        <v>891180179</v>
      </c>
      <c r="C658" s="9">
        <v>210341503</v>
      </c>
      <c r="D658" s="10" t="s">
        <v>611</v>
      </c>
      <c r="E658" s="42" t="s">
        <v>1630</v>
      </c>
      <c r="F658" s="21"/>
      <c r="G658" s="50"/>
      <c r="H658" s="21"/>
      <c r="I658" s="50"/>
      <c r="J658" s="21"/>
      <c r="K658" s="21"/>
      <c r="L658" s="50"/>
      <c r="M658" s="51"/>
      <c r="N658" s="21"/>
      <c r="O658" s="50"/>
      <c r="P658" s="21"/>
      <c r="Q658" s="50"/>
      <c r="R658" s="21"/>
      <c r="S658" s="21"/>
      <c r="T658" s="50"/>
      <c r="U658" s="51">
        <f t="shared" si="102"/>
        <v>0</v>
      </c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>
        <v>103959155</v>
      </c>
      <c r="AN658" s="51">
        <f t="shared" ref="AN658:AN663" si="110">SUBTOTAL(9,AC658:AM658)</f>
        <v>103959155</v>
      </c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>
        <f>VLOOKUP(B658,[1]Hoja3!J$3:K$674,2,0)</f>
        <v>111988192</v>
      </c>
      <c r="BB658" s="51"/>
      <c r="BC658" s="52">
        <f t="shared" si="105"/>
        <v>215947347</v>
      </c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>
        <v>0</v>
      </c>
      <c r="BO658" s="51"/>
      <c r="BP658" s="52">
        <v>215947347</v>
      </c>
      <c r="BQ658" s="52"/>
      <c r="BR658" s="52"/>
      <c r="BS658" s="52"/>
      <c r="BT658" s="52"/>
      <c r="BU658" s="52"/>
      <c r="BV658" s="52"/>
      <c r="BW658" s="52"/>
      <c r="BX658" s="52"/>
      <c r="BY658" s="52"/>
      <c r="BZ658" s="52"/>
      <c r="CA658" s="52"/>
      <c r="CB658" s="52"/>
      <c r="CC658" s="52">
        <v>0</v>
      </c>
      <c r="CD658" s="52"/>
      <c r="CE658" s="52"/>
      <c r="CF658" s="52"/>
      <c r="CG658" s="52">
        <f t="shared" si="106"/>
        <v>215947347</v>
      </c>
      <c r="CH658" s="52"/>
      <c r="CI658" s="52"/>
      <c r="CJ658" s="52"/>
      <c r="CK658" s="52"/>
      <c r="CL658" s="52"/>
      <c r="CM658" s="52"/>
      <c r="CN658" s="52"/>
      <c r="CO658" s="52"/>
      <c r="CP658" s="52"/>
      <c r="CQ658" s="52">
        <v>0</v>
      </c>
      <c r="CR658" s="52"/>
      <c r="CS658" s="52">
        <f t="shared" si="103"/>
        <v>215947347</v>
      </c>
      <c r="CT658" s="53"/>
      <c r="CU658" s="53">
        <f t="shared" si="104"/>
        <v>215947347</v>
      </c>
      <c r="CV658" s="54">
        <f t="shared" si="107"/>
        <v>215947347</v>
      </c>
      <c r="CW658" s="55">
        <f t="shared" si="108"/>
        <v>0</v>
      </c>
      <c r="CX658" s="16"/>
      <c r="CY658" s="16"/>
      <c r="CZ658" s="16"/>
    </row>
    <row r="659" spans="1:108" ht="15" customHeight="1" x14ac:dyDescent="0.2">
      <c r="A659" s="1">
        <v>8001028962</v>
      </c>
      <c r="B659" s="1">
        <v>800102896</v>
      </c>
      <c r="C659" s="9">
        <v>212086320</v>
      </c>
      <c r="D659" s="10" t="s">
        <v>976</v>
      </c>
      <c r="E659" s="42" t="s">
        <v>2063</v>
      </c>
      <c r="F659" s="21"/>
      <c r="G659" s="50"/>
      <c r="H659" s="21"/>
      <c r="I659" s="50"/>
      <c r="J659" s="21"/>
      <c r="K659" s="21"/>
      <c r="L659" s="50"/>
      <c r="M659" s="51"/>
      <c r="N659" s="21"/>
      <c r="O659" s="50"/>
      <c r="P659" s="21"/>
      <c r="Q659" s="50"/>
      <c r="R659" s="21"/>
      <c r="S659" s="21"/>
      <c r="T659" s="50"/>
      <c r="U659" s="51">
        <f t="shared" si="102"/>
        <v>0</v>
      </c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>
        <v>202546857</v>
      </c>
      <c r="AN659" s="51">
        <f t="shared" si="110"/>
        <v>202546857</v>
      </c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>
        <v>409930015</v>
      </c>
      <c r="AZ659" s="51"/>
      <c r="BA659" s="51">
        <f>VLOOKUP(B659,[1]Hoja3!J$3:K$674,2,0)</f>
        <v>513946915</v>
      </c>
      <c r="BB659" s="51"/>
      <c r="BC659" s="52">
        <f t="shared" si="105"/>
        <v>1126423787</v>
      </c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>
        <v>81986003</v>
      </c>
      <c r="BO659" s="51"/>
      <c r="BP659" s="52">
        <v>1208409790</v>
      </c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>
        <v>81986003</v>
      </c>
      <c r="CD659" s="52"/>
      <c r="CE659" s="52"/>
      <c r="CF659" s="52"/>
      <c r="CG659" s="52">
        <f t="shared" si="106"/>
        <v>1290395793</v>
      </c>
      <c r="CH659" s="52"/>
      <c r="CI659" s="52"/>
      <c r="CJ659" s="52"/>
      <c r="CK659" s="52"/>
      <c r="CL659" s="52"/>
      <c r="CM659" s="52"/>
      <c r="CN659" s="52"/>
      <c r="CO659" s="52"/>
      <c r="CP659" s="52"/>
      <c r="CQ659" s="52">
        <v>81986003</v>
      </c>
      <c r="CR659" s="52"/>
      <c r="CS659" s="52">
        <f t="shared" si="103"/>
        <v>1372381796</v>
      </c>
      <c r="CT659" s="53">
        <v>655888024</v>
      </c>
      <c r="CU659" s="53">
        <f t="shared" si="104"/>
        <v>716493772</v>
      </c>
      <c r="CV659" s="54">
        <f t="shared" si="107"/>
        <v>1372381796</v>
      </c>
      <c r="CW659" s="55">
        <f t="shared" si="108"/>
        <v>0</v>
      </c>
      <c r="CX659" s="16"/>
      <c r="CY659" s="16"/>
      <c r="CZ659" s="16"/>
    </row>
    <row r="660" spans="1:108" ht="15" customHeight="1" x14ac:dyDescent="0.2">
      <c r="A660" s="1">
        <v>8920993924</v>
      </c>
      <c r="B660" s="1">
        <v>892099392</v>
      </c>
      <c r="C660" s="9">
        <v>213085230</v>
      </c>
      <c r="D660" s="10" t="s">
        <v>963</v>
      </c>
      <c r="E660" s="42" t="s">
        <v>2023</v>
      </c>
      <c r="F660" s="21"/>
      <c r="G660" s="50"/>
      <c r="H660" s="21"/>
      <c r="I660" s="50"/>
      <c r="J660" s="21"/>
      <c r="K660" s="21"/>
      <c r="L660" s="50"/>
      <c r="M660" s="51"/>
      <c r="N660" s="21"/>
      <c r="O660" s="50"/>
      <c r="P660" s="21"/>
      <c r="Q660" s="50"/>
      <c r="R660" s="21"/>
      <c r="S660" s="21"/>
      <c r="T660" s="50"/>
      <c r="U660" s="51">
        <f t="shared" si="102"/>
        <v>0</v>
      </c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>
        <v>209059843</v>
      </c>
      <c r="AN660" s="51">
        <f t="shared" si="110"/>
        <v>209059843</v>
      </c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>
        <v>138880395</v>
      </c>
      <c r="AZ660" s="51"/>
      <c r="BA660" s="51"/>
      <c r="BB660" s="51"/>
      <c r="BC660" s="52">
        <f t="shared" si="105"/>
        <v>347940238</v>
      </c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>
        <v>27776079</v>
      </c>
      <c r="BO660" s="51"/>
      <c r="BP660" s="52">
        <v>375716317</v>
      </c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>
        <v>27776079</v>
      </c>
      <c r="CD660" s="52"/>
      <c r="CE660" s="52"/>
      <c r="CF660" s="52"/>
      <c r="CG660" s="52">
        <f t="shared" si="106"/>
        <v>403492396</v>
      </c>
      <c r="CH660" s="52"/>
      <c r="CI660" s="52"/>
      <c r="CJ660" s="52"/>
      <c r="CK660" s="52"/>
      <c r="CL660" s="52"/>
      <c r="CM660" s="52"/>
      <c r="CN660" s="52"/>
      <c r="CO660" s="52"/>
      <c r="CP660" s="52"/>
      <c r="CQ660" s="52">
        <v>27776079</v>
      </c>
      <c r="CR660" s="52"/>
      <c r="CS660" s="52">
        <f t="shared" si="103"/>
        <v>431268475</v>
      </c>
      <c r="CT660" s="53">
        <v>222208632</v>
      </c>
      <c r="CU660" s="53">
        <f t="shared" si="104"/>
        <v>209059843</v>
      </c>
      <c r="CV660" s="54">
        <f t="shared" si="107"/>
        <v>431268475</v>
      </c>
      <c r="CW660" s="55">
        <f t="shared" si="108"/>
        <v>0</v>
      </c>
      <c r="CX660" s="16"/>
      <c r="CY660" s="16"/>
      <c r="CZ660" s="16"/>
    </row>
    <row r="661" spans="1:108" ht="15" customHeight="1" x14ac:dyDescent="0.2">
      <c r="A661" s="1">
        <v>8907009426</v>
      </c>
      <c r="B661" s="1">
        <v>890700942</v>
      </c>
      <c r="C661" s="9">
        <v>210473504</v>
      </c>
      <c r="D661" s="10" t="s">
        <v>2229</v>
      </c>
      <c r="E661" s="42" t="s">
        <v>1955</v>
      </c>
      <c r="F661" s="21"/>
      <c r="G661" s="50"/>
      <c r="H661" s="21"/>
      <c r="I661" s="50"/>
      <c r="J661" s="21"/>
      <c r="K661" s="21"/>
      <c r="L661" s="50"/>
      <c r="M661" s="51"/>
      <c r="N661" s="21"/>
      <c r="O661" s="50"/>
      <c r="P661" s="21"/>
      <c r="Q661" s="50"/>
      <c r="R661" s="21"/>
      <c r="S661" s="21"/>
      <c r="T661" s="50"/>
      <c r="U661" s="51">
        <f t="shared" si="102"/>
        <v>0</v>
      </c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>
        <v>434541183</v>
      </c>
      <c r="AN661" s="51">
        <f t="shared" si="110"/>
        <v>434541183</v>
      </c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>
        <v>321284075</v>
      </c>
      <c r="AZ661" s="51"/>
      <c r="BA661" s="51">
        <f>VLOOKUP(B661,[1]Hoja3!J$3:K$674,2,0)</f>
        <v>150284929</v>
      </c>
      <c r="BB661" s="51"/>
      <c r="BC661" s="52">
        <f t="shared" si="105"/>
        <v>906110187</v>
      </c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>
        <v>64256815</v>
      </c>
      <c r="BO661" s="51"/>
      <c r="BP661" s="52">
        <v>970367002</v>
      </c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>
        <v>64256815</v>
      </c>
      <c r="CD661" s="52"/>
      <c r="CE661" s="52"/>
      <c r="CF661" s="52"/>
      <c r="CG661" s="52">
        <f t="shared" si="106"/>
        <v>1034623817</v>
      </c>
      <c r="CH661" s="52"/>
      <c r="CI661" s="52"/>
      <c r="CJ661" s="52"/>
      <c r="CK661" s="52"/>
      <c r="CL661" s="52"/>
      <c r="CM661" s="52"/>
      <c r="CN661" s="52"/>
      <c r="CO661" s="52"/>
      <c r="CP661" s="52"/>
      <c r="CQ661" s="52">
        <v>64256815</v>
      </c>
      <c r="CR661" s="52"/>
      <c r="CS661" s="52">
        <f t="shared" si="103"/>
        <v>1098880632</v>
      </c>
      <c r="CT661" s="53">
        <v>514054520</v>
      </c>
      <c r="CU661" s="53">
        <f t="shared" si="104"/>
        <v>584826112</v>
      </c>
      <c r="CV661" s="54">
        <f t="shared" si="107"/>
        <v>1098880632</v>
      </c>
      <c r="CW661" s="55">
        <f t="shared" si="108"/>
        <v>0</v>
      </c>
      <c r="CX661" s="16"/>
      <c r="CY661" s="16"/>
      <c r="CZ661" s="16"/>
    </row>
    <row r="662" spans="1:108" ht="15" customHeight="1" x14ac:dyDescent="0.2">
      <c r="A662" s="1">
        <v>8906800883</v>
      </c>
      <c r="B662" s="1">
        <v>890680088</v>
      </c>
      <c r="C662" s="9">
        <v>210625506</v>
      </c>
      <c r="D662" s="10" t="s">
        <v>2120</v>
      </c>
      <c r="E662" s="42" t="s">
        <v>1495</v>
      </c>
      <c r="F662" s="21"/>
      <c r="G662" s="50"/>
      <c r="H662" s="21"/>
      <c r="I662" s="50"/>
      <c r="J662" s="21"/>
      <c r="K662" s="21"/>
      <c r="L662" s="50"/>
      <c r="M662" s="51"/>
      <c r="N662" s="21"/>
      <c r="O662" s="50"/>
      <c r="P662" s="21"/>
      <c r="Q662" s="50"/>
      <c r="R662" s="21"/>
      <c r="S662" s="21"/>
      <c r="T662" s="50"/>
      <c r="U662" s="51">
        <f t="shared" si="102"/>
        <v>0</v>
      </c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>
        <v>71017415</v>
      </c>
      <c r="AN662" s="51">
        <f t="shared" si="110"/>
        <v>71017415</v>
      </c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>
        <v>28278290</v>
      </c>
      <c r="AZ662" s="51"/>
      <c r="BA662" s="51"/>
      <c r="BB662" s="51"/>
      <c r="BC662" s="52">
        <f t="shared" si="105"/>
        <v>99295705</v>
      </c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>
        <v>5655658</v>
      </c>
      <c r="BO662" s="51"/>
      <c r="BP662" s="52">
        <v>104951363</v>
      </c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>
        <v>5655658</v>
      </c>
      <c r="CD662" s="52"/>
      <c r="CE662" s="52"/>
      <c r="CF662" s="52"/>
      <c r="CG662" s="52">
        <f t="shared" si="106"/>
        <v>110607021</v>
      </c>
      <c r="CH662" s="52"/>
      <c r="CI662" s="52"/>
      <c r="CJ662" s="52"/>
      <c r="CK662" s="52"/>
      <c r="CL662" s="52"/>
      <c r="CM662" s="52"/>
      <c r="CN662" s="52"/>
      <c r="CO662" s="52"/>
      <c r="CP662" s="52"/>
      <c r="CQ662" s="52">
        <v>5655658</v>
      </c>
      <c r="CR662" s="52"/>
      <c r="CS662" s="52">
        <f t="shared" si="103"/>
        <v>116262679</v>
      </c>
      <c r="CT662" s="53">
        <v>45245264</v>
      </c>
      <c r="CU662" s="53">
        <f t="shared" si="104"/>
        <v>71017415</v>
      </c>
      <c r="CV662" s="54">
        <f t="shared" si="107"/>
        <v>116262679</v>
      </c>
      <c r="CW662" s="55">
        <f t="shared" si="108"/>
        <v>0</v>
      </c>
      <c r="CX662" s="16"/>
      <c r="CY662" s="8"/>
      <c r="CZ662" s="8"/>
      <c r="DA662" s="8"/>
      <c r="DB662" s="8"/>
      <c r="DC662" s="8"/>
      <c r="DD662" s="8"/>
    </row>
    <row r="663" spans="1:108" ht="15" customHeight="1" x14ac:dyDescent="0.2">
      <c r="A663" s="1">
        <v>8000991156</v>
      </c>
      <c r="B663" s="1">
        <v>800099115</v>
      </c>
      <c r="C663" s="9">
        <v>210652506</v>
      </c>
      <c r="D663" s="10" t="s">
        <v>729</v>
      </c>
      <c r="E663" s="42" t="s">
        <v>1735</v>
      </c>
      <c r="F663" s="21"/>
      <c r="G663" s="50"/>
      <c r="H663" s="21"/>
      <c r="I663" s="50"/>
      <c r="J663" s="21"/>
      <c r="K663" s="21"/>
      <c r="L663" s="50"/>
      <c r="M663" s="51"/>
      <c r="N663" s="21"/>
      <c r="O663" s="50"/>
      <c r="P663" s="21"/>
      <c r="Q663" s="50"/>
      <c r="R663" s="21"/>
      <c r="S663" s="21"/>
      <c r="T663" s="50"/>
      <c r="U663" s="51">
        <f t="shared" si="102"/>
        <v>0</v>
      </c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>
        <v>89697871</v>
      </c>
      <c r="AN663" s="51">
        <f t="shared" si="110"/>
        <v>89697871</v>
      </c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>
        <v>48473680</v>
      </c>
      <c r="AZ663" s="51"/>
      <c r="BA663" s="51"/>
      <c r="BB663" s="51"/>
      <c r="BC663" s="52">
        <f t="shared" si="105"/>
        <v>138171551</v>
      </c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>
        <v>9694736</v>
      </c>
      <c r="BO663" s="51"/>
      <c r="BP663" s="52">
        <v>147866287</v>
      </c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>
        <v>9694736</v>
      </c>
      <c r="CD663" s="52"/>
      <c r="CE663" s="52"/>
      <c r="CF663" s="52"/>
      <c r="CG663" s="52">
        <f t="shared" si="106"/>
        <v>157561023</v>
      </c>
      <c r="CH663" s="52"/>
      <c r="CI663" s="52"/>
      <c r="CJ663" s="52"/>
      <c r="CK663" s="52"/>
      <c r="CL663" s="52"/>
      <c r="CM663" s="52"/>
      <c r="CN663" s="52"/>
      <c r="CO663" s="52"/>
      <c r="CP663" s="52"/>
      <c r="CQ663" s="52">
        <v>9694736</v>
      </c>
      <c r="CR663" s="52"/>
      <c r="CS663" s="52">
        <f t="shared" si="103"/>
        <v>167255759</v>
      </c>
      <c r="CT663" s="53">
        <v>77557888</v>
      </c>
      <c r="CU663" s="53">
        <f t="shared" si="104"/>
        <v>89697871</v>
      </c>
      <c r="CV663" s="54">
        <f t="shared" si="107"/>
        <v>167255759</v>
      </c>
      <c r="CW663" s="55">
        <f t="shared" si="108"/>
        <v>0</v>
      </c>
      <c r="CX663" s="16"/>
      <c r="CY663" s="16"/>
      <c r="CZ663" s="16"/>
    </row>
    <row r="664" spans="1:108" ht="15" customHeight="1" x14ac:dyDescent="0.2">
      <c r="A664" s="1">
        <v>8918013621</v>
      </c>
      <c r="B664" s="1">
        <v>891801362</v>
      </c>
      <c r="C664" s="9">
        <v>210715507</v>
      </c>
      <c r="D664" s="10" t="s">
        <v>277</v>
      </c>
      <c r="E664" s="42" t="s">
        <v>2079</v>
      </c>
      <c r="F664" s="21"/>
      <c r="G664" s="50"/>
      <c r="H664" s="21"/>
      <c r="I664" s="50"/>
      <c r="J664" s="21"/>
      <c r="K664" s="21"/>
      <c r="L664" s="50"/>
      <c r="M664" s="51"/>
      <c r="N664" s="21"/>
      <c r="O664" s="50"/>
      <c r="P664" s="21"/>
      <c r="Q664" s="50"/>
      <c r="R664" s="21"/>
      <c r="S664" s="21"/>
      <c r="T664" s="50"/>
      <c r="U664" s="51">
        <f t="shared" si="102"/>
        <v>0</v>
      </c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>
        <v>74475970</v>
      </c>
      <c r="AZ664" s="51"/>
      <c r="BA664" s="51">
        <f>VLOOKUP(B664,[1]Hoja3!J$3:K$674,2,0)</f>
        <v>121497439</v>
      </c>
      <c r="BB664" s="51"/>
      <c r="BC664" s="52">
        <f t="shared" si="105"/>
        <v>195973409</v>
      </c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>
        <v>14895194</v>
      </c>
      <c r="BO664" s="51"/>
      <c r="BP664" s="52">
        <v>210868603</v>
      </c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>
        <v>14895194</v>
      </c>
      <c r="CD664" s="52"/>
      <c r="CE664" s="52"/>
      <c r="CF664" s="52"/>
      <c r="CG664" s="52">
        <f t="shared" si="106"/>
        <v>225763797</v>
      </c>
      <c r="CH664" s="52"/>
      <c r="CI664" s="52"/>
      <c r="CJ664" s="52"/>
      <c r="CK664" s="52"/>
      <c r="CL664" s="52"/>
      <c r="CM664" s="52"/>
      <c r="CN664" s="52"/>
      <c r="CO664" s="52"/>
      <c r="CP664" s="52"/>
      <c r="CQ664" s="52">
        <v>14895194</v>
      </c>
      <c r="CR664" s="52"/>
      <c r="CS664" s="52">
        <f t="shared" si="103"/>
        <v>240658991</v>
      </c>
      <c r="CT664" s="53">
        <v>119161552</v>
      </c>
      <c r="CU664" s="53">
        <f t="shared" si="104"/>
        <v>121497439</v>
      </c>
      <c r="CV664" s="54">
        <f t="shared" si="107"/>
        <v>240658991</v>
      </c>
      <c r="CW664" s="55">
        <f t="shared" si="108"/>
        <v>0</v>
      </c>
      <c r="CX664" s="16"/>
      <c r="CY664" s="8"/>
      <c r="CZ664" s="8"/>
      <c r="DA664" s="8"/>
      <c r="DB664" s="8"/>
      <c r="DC664" s="8"/>
      <c r="DD664" s="8"/>
    </row>
    <row r="665" spans="1:108" ht="15" customHeight="1" x14ac:dyDescent="0.2">
      <c r="A665" s="1">
        <v>8001007291</v>
      </c>
      <c r="B665" s="1">
        <v>800100729</v>
      </c>
      <c r="C665" s="9">
        <v>210870508</v>
      </c>
      <c r="D665" s="10" t="s">
        <v>903</v>
      </c>
      <c r="E665" s="42" t="s">
        <v>1916</v>
      </c>
      <c r="F665" s="21"/>
      <c r="G665" s="50"/>
      <c r="H665" s="21"/>
      <c r="I665" s="50"/>
      <c r="J665" s="21"/>
      <c r="K665" s="21"/>
      <c r="L665" s="50"/>
      <c r="M665" s="51"/>
      <c r="N665" s="21"/>
      <c r="O665" s="50"/>
      <c r="P665" s="21"/>
      <c r="Q665" s="50"/>
      <c r="R665" s="21"/>
      <c r="S665" s="21"/>
      <c r="T665" s="50"/>
      <c r="U665" s="51">
        <f t="shared" si="102"/>
        <v>0</v>
      </c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>
        <f>VLOOKUP(B665,[1]Hoja3!J$3:K$674,2,0)</f>
        <v>411266447</v>
      </c>
      <c r="BB665" s="51"/>
      <c r="BC665" s="52">
        <f t="shared" si="105"/>
        <v>411266447</v>
      </c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>
        <v>0</v>
      </c>
      <c r="BO665" s="51"/>
      <c r="BP665" s="52">
        <v>411266447</v>
      </c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>
        <v>0</v>
      </c>
      <c r="CD665" s="52"/>
      <c r="CE665" s="52"/>
      <c r="CF665" s="52"/>
      <c r="CG665" s="52">
        <f t="shared" si="106"/>
        <v>411266447</v>
      </c>
      <c r="CH665" s="52"/>
      <c r="CI665" s="52"/>
      <c r="CJ665" s="52"/>
      <c r="CK665" s="52"/>
      <c r="CL665" s="52"/>
      <c r="CM665" s="52"/>
      <c r="CN665" s="52"/>
      <c r="CO665" s="52"/>
      <c r="CP665" s="52"/>
      <c r="CQ665" s="52">
        <v>0</v>
      </c>
      <c r="CR665" s="52"/>
      <c r="CS665" s="52">
        <f t="shared" si="103"/>
        <v>411266447</v>
      </c>
      <c r="CT665" s="53"/>
      <c r="CU665" s="53">
        <f t="shared" si="104"/>
        <v>411266447</v>
      </c>
      <c r="CV665" s="54">
        <f t="shared" si="107"/>
        <v>411266447</v>
      </c>
      <c r="CW665" s="55">
        <f t="shared" si="108"/>
        <v>0</v>
      </c>
      <c r="CX665" s="16"/>
      <c r="CY665" s="16"/>
      <c r="CZ665" s="16"/>
    </row>
    <row r="666" spans="1:108" ht="15" customHeight="1" x14ac:dyDescent="0.2">
      <c r="A666" s="1">
        <v>8000284616</v>
      </c>
      <c r="B666" s="1">
        <v>800028461</v>
      </c>
      <c r="C666" s="9">
        <v>211115511</v>
      </c>
      <c r="D666" s="10" t="s">
        <v>278</v>
      </c>
      <c r="E666" s="42" t="s">
        <v>1311</v>
      </c>
      <c r="F666" s="21"/>
      <c r="G666" s="50"/>
      <c r="H666" s="21"/>
      <c r="I666" s="50"/>
      <c r="J666" s="21"/>
      <c r="K666" s="21"/>
      <c r="L666" s="50"/>
      <c r="M666" s="51"/>
      <c r="N666" s="21"/>
      <c r="O666" s="50"/>
      <c r="P666" s="21"/>
      <c r="Q666" s="50"/>
      <c r="R666" s="21"/>
      <c r="S666" s="21"/>
      <c r="T666" s="50"/>
      <c r="U666" s="51">
        <f t="shared" si="102"/>
        <v>0</v>
      </c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>
        <v>12910565</v>
      </c>
      <c r="AZ666" s="51"/>
      <c r="BA666" s="51">
        <f>VLOOKUP(B666,[1]Hoja3!J$3:K$674,2,0)</f>
        <v>29334488</v>
      </c>
      <c r="BB666" s="51"/>
      <c r="BC666" s="52">
        <f t="shared" si="105"/>
        <v>42245053</v>
      </c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>
        <v>2582113</v>
      </c>
      <c r="BO666" s="51"/>
      <c r="BP666" s="52">
        <v>44827166</v>
      </c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>
        <v>2582113</v>
      </c>
      <c r="CD666" s="52"/>
      <c r="CE666" s="52"/>
      <c r="CF666" s="52"/>
      <c r="CG666" s="52">
        <f t="shared" si="106"/>
        <v>47409279</v>
      </c>
      <c r="CH666" s="52"/>
      <c r="CI666" s="52"/>
      <c r="CJ666" s="52"/>
      <c r="CK666" s="52"/>
      <c r="CL666" s="52"/>
      <c r="CM666" s="52"/>
      <c r="CN666" s="52"/>
      <c r="CO666" s="52"/>
      <c r="CP666" s="52"/>
      <c r="CQ666" s="52">
        <v>2582113</v>
      </c>
      <c r="CR666" s="52"/>
      <c r="CS666" s="52">
        <f t="shared" si="103"/>
        <v>49991392</v>
      </c>
      <c r="CT666" s="53">
        <v>20656904</v>
      </c>
      <c r="CU666" s="53">
        <f t="shared" si="104"/>
        <v>29334488</v>
      </c>
      <c r="CV666" s="54">
        <f t="shared" si="107"/>
        <v>49991392</v>
      </c>
      <c r="CW666" s="55">
        <f t="shared" si="108"/>
        <v>0</v>
      </c>
      <c r="CX666" s="16"/>
      <c r="CY666" s="8"/>
      <c r="CZ666" s="8"/>
      <c r="DA666" s="8"/>
      <c r="DB666" s="8"/>
      <c r="DC666" s="8"/>
      <c r="DD666" s="8"/>
    </row>
    <row r="667" spans="1:108" ht="15" customHeight="1" x14ac:dyDescent="0.2">
      <c r="A667" s="1">
        <v>8999994754</v>
      </c>
      <c r="B667" s="1">
        <v>899999475</v>
      </c>
      <c r="C667" s="9">
        <v>211325513</v>
      </c>
      <c r="D667" s="10" t="s">
        <v>519</v>
      </c>
      <c r="E667" s="42" t="s">
        <v>1545</v>
      </c>
      <c r="F667" s="21"/>
      <c r="G667" s="50"/>
      <c r="H667" s="21"/>
      <c r="I667" s="50"/>
      <c r="J667" s="21"/>
      <c r="K667" s="21"/>
      <c r="L667" s="50"/>
      <c r="M667" s="51"/>
      <c r="N667" s="21"/>
      <c r="O667" s="50"/>
      <c r="P667" s="21"/>
      <c r="Q667" s="50"/>
      <c r="R667" s="21"/>
      <c r="S667" s="21"/>
      <c r="T667" s="50"/>
      <c r="U667" s="51">
        <f t="shared" si="102"/>
        <v>0</v>
      </c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>
        <v>377204060</v>
      </c>
      <c r="AN667" s="51">
        <f>SUBTOTAL(9,AC667:AM667)</f>
        <v>377204060</v>
      </c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>
        <v>180618040</v>
      </c>
      <c r="AZ667" s="51"/>
      <c r="BA667" s="51"/>
      <c r="BB667" s="51"/>
      <c r="BC667" s="52">
        <f t="shared" si="105"/>
        <v>557822100</v>
      </c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>
        <v>36123608</v>
      </c>
      <c r="BO667" s="51"/>
      <c r="BP667" s="52">
        <v>593945708</v>
      </c>
      <c r="BQ667" s="52"/>
      <c r="BR667" s="52"/>
      <c r="BS667" s="52"/>
      <c r="BT667" s="52"/>
      <c r="BU667" s="52"/>
      <c r="BV667" s="52"/>
      <c r="BW667" s="52"/>
      <c r="BX667" s="52"/>
      <c r="BY667" s="52"/>
      <c r="BZ667" s="52"/>
      <c r="CA667" s="52"/>
      <c r="CB667" s="52"/>
      <c r="CC667" s="52">
        <v>36123608</v>
      </c>
      <c r="CD667" s="52"/>
      <c r="CE667" s="52"/>
      <c r="CF667" s="52"/>
      <c r="CG667" s="52">
        <f t="shared" si="106"/>
        <v>630069316</v>
      </c>
      <c r="CH667" s="52"/>
      <c r="CI667" s="52"/>
      <c r="CJ667" s="52"/>
      <c r="CK667" s="52"/>
      <c r="CL667" s="52"/>
      <c r="CM667" s="52"/>
      <c r="CN667" s="52"/>
      <c r="CO667" s="52"/>
      <c r="CP667" s="52"/>
      <c r="CQ667" s="52">
        <v>36123608</v>
      </c>
      <c r="CR667" s="52"/>
      <c r="CS667" s="52">
        <f t="shared" si="103"/>
        <v>666192924</v>
      </c>
      <c r="CT667" s="53">
        <v>288988864</v>
      </c>
      <c r="CU667" s="53">
        <f t="shared" si="104"/>
        <v>377204060</v>
      </c>
      <c r="CV667" s="54">
        <f t="shared" si="107"/>
        <v>666192924</v>
      </c>
      <c r="CW667" s="55">
        <f t="shared" si="108"/>
        <v>0</v>
      </c>
      <c r="CX667" s="16"/>
      <c r="CY667" s="16"/>
      <c r="CZ667" s="16"/>
    </row>
    <row r="668" spans="1:108" ht="15" customHeight="1" x14ac:dyDescent="0.2">
      <c r="A668" s="1">
        <v>8908011361</v>
      </c>
      <c r="B668" s="1">
        <v>890801136</v>
      </c>
      <c r="C668" s="9">
        <v>211317513</v>
      </c>
      <c r="D668" s="10" t="s">
        <v>350</v>
      </c>
      <c r="E668" s="42" t="s">
        <v>1380</v>
      </c>
      <c r="F668" s="21"/>
      <c r="G668" s="50"/>
      <c r="H668" s="21"/>
      <c r="I668" s="50"/>
      <c r="J668" s="21"/>
      <c r="K668" s="21"/>
      <c r="L668" s="50"/>
      <c r="M668" s="51"/>
      <c r="N668" s="21"/>
      <c r="O668" s="50"/>
      <c r="P668" s="21"/>
      <c r="Q668" s="50"/>
      <c r="R668" s="21"/>
      <c r="S668" s="21"/>
      <c r="T668" s="50"/>
      <c r="U668" s="51">
        <f t="shared" si="102"/>
        <v>0</v>
      </c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>
        <v>185926779</v>
      </c>
      <c r="AN668" s="51">
        <f>SUBTOTAL(9,AC668:AM668)</f>
        <v>185926779</v>
      </c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>
        <v>101874730</v>
      </c>
      <c r="AZ668" s="51"/>
      <c r="BA668" s="51"/>
      <c r="BB668" s="51"/>
      <c r="BC668" s="52">
        <f t="shared" si="105"/>
        <v>287801509</v>
      </c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>
        <v>20374946</v>
      </c>
      <c r="BO668" s="51"/>
      <c r="BP668" s="52">
        <v>308176455</v>
      </c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>
        <v>20374946</v>
      </c>
      <c r="CD668" s="52"/>
      <c r="CE668" s="52"/>
      <c r="CF668" s="52"/>
      <c r="CG668" s="52">
        <f t="shared" si="106"/>
        <v>328551401</v>
      </c>
      <c r="CH668" s="52"/>
      <c r="CI668" s="52"/>
      <c r="CJ668" s="52"/>
      <c r="CK668" s="52"/>
      <c r="CL668" s="52"/>
      <c r="CM668" s="52"/>
      <c r="CN668" s="52"/>
      <c r="CO668" s="52"/>
      <c r="CP668" s="52"/>
      <c r="CQ668" s="52">
        <v>20374946</v>
      </c>
      <c r="CR668" s="52"/>
      <c r="CS668" s="52">
        <f t="shared" si="103"/>
        <v>348926347</v>
      </c>
      <c r="CT668" s="53">
        <v>162999568</v>
      </c>
      <c r="CU668" s="53">
        <f t="shared" si="104"/>
        <v>185926779</v>
      </c>
      <c r="CV668" s="54">
        <f t="shared" si="107"/>
        <v>348926347</v>
      </c>
      <c r="CW668" s="55">
        <f t="shared" si="108"/>
        <v>0</v>
      </c>
      <c r="CX668" s="16"/>
      <c r="CY668" s="16"/>
      <c r="CZ668" s="16"/>
    </row>
    <row r="669" spans="1:108" ht="15" customHeight="1" x14ac:dyDescent="0.2">
      <c r="A669" s="1">
        <v>8000959787</v>
      </c>
      <c r="B669" s="1">
        <v>800095978</v>
      </c>
      <c r="C669" s="9">
        <v>211319513</v>
      </c>
      <c r="D669" s="10" t="s">
        <v>394</v>
      </c>
      <c r="E669" s="42" t="s">
        <v>1423</v>
      </c>
      <c r="F669" s="21"/>
      <c r="G669" s="50"/>
      <c r="H669" s="21"/>
      <c r="I669" s="50"/>
      <c r="J669" s="21"/>
      <c r="K669" s="21"/>
      <c r="L669" s="50"/>
      <c r="M669" s="51"/>
      <c r="N669" s="21"/>
      <c r="O669" s="50"/>
      <c r="P669" s="21"/>
      <c r="Q669" s="50"/>
      <c r="R669" s="21"/>
      <c r="S669" s="21"/>
      <c r="T669" s="50"/>
      <c r="U669" s="51">
        <f t="shared" si="102"/>
        <v>0</v>
      </c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>
        <v>67173895</v>
      </c>
      <c r="AZ669" s="51"/>
      <c r="BA669" s="51">
        <f>VLOOKUP(B669,[1]Hoja3!J$3:K$674,2,0)</f>
        <v>146941093</v>
      </c>
      <c r="BB669" s="51"/>
      <c r="BC669" s="52">
        <f t="shared" si="105"/>
        <v>214114988</v>
      </c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>
        <v>13434779</v>
      </c>
      <c r="BO669" s="51"/>
      <c r="BP669" s="52">
        <v>227549767</v>
      </c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>
        <v>13434779</v>
      </c>
      <c r="CD669" s="52"/>
      <c r="CE669" s="52"/>
      <c r="CF669" s="52"/>
      <c r="CG669" s="52">
        <f t="shared" si="106"/>
        <v>240984546</v>
      </c>
      <c r="CH669" s="52"/>
      <c r="CI669" s="52"/>
      <c r="CJ669" s="52"/>
      <c r="CK669" s="52"/>
      <c r="CL669" s="52"/>
      <c r="CM669" s="52"/>
      <c r="CN669" s="52"/>
      <c r="CO669" s="52"/>
      <c r="CP669" s="52"/>
      <c r="CQ669" s="52">
        <v>13434779</v>
      </c>
      <c r="CR669" s="52"/>
      <c r="CS669" s="52">
        <f t="shared" si="103"/>
        <v>254419325</v>
      </c>
      <c r="CT669" s="53">
        <v>107478232</v>
      </c>
      <c r="CU669" s="53">
        <f t="shared" si="104"/>
        <v>146941093</v>
      </c>
      <c r="CV669" s="54">
        <f t="shared" si="107"/>
        <v>254419325</v>
      </c>
      <c r="CW669" s="55">
        <f t="shared" si="108"/>
        <v>0</v>
      </c>
      <c r="CX669" s="16"/>
      <c r="CY669" s="16"/>
      <c r="CZ669" s="16"/>
    </row>
    <row r="670" spans="1:108" ht="15" customHeight="1" x14ac:dyDescent="0.2">
      <c r="A670" s="1">
        <v>8000495083</v>
      </c>
      <c r="B670" s="1">
        <v>800049508</v>
      </c>
      <c r="C670" s="9">
        <v>211415514</v>
      </c>
      <c r="D670" s="10" t="s">
        <v>279</v>
      </c>
      <c r="E670" s="42" t="s">
        <v>1312</v>
      </c>
      <c r="F670" s="21"/>
      <c r="G670" s="50"/>
      <c r="H670" s="21"/>
      <c r="I670" s="50"/>
      <c r="J670" s="21"/>
      <c r="K670" s="21"/>
      <c r="L670" s="50"/>
      <c r="M670" s="51"/>
      <c r="N670" s="21"/>
      <c r="O670" s="50"/>
      <c r="P670" s="21"/>
      <c r="Q670" s="50"/>
      <c r="R670" s="21"/>
      <c r="S670" s="21"/>
      <c r="T670" s="50"/>
      <c r="U670" s="51">
        <f t="shared" si="102"/>
        <v>0</v>
      </c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>
        <v>22383220</v>
      </c>
      <c r="AZ670" s="51"/>
      <c r="BA670" s="51">
        <f>VLOOKUP(B670,[1]Hoja3!J$3:K$674,2,0)</f>
        <v>44206296</v>
      </c>
      <c r="BB670" s="51"/>
      <c r="BC670" s="52">
        <f t="shared" si="105"/>
        <v>66589516</v>
      </c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>
        <v>4476644</v>
      </c>
      <c r="BO670" s="51"/>
      <c r="BP670" s="52">
        <v>71066160</v>
      </c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>
        <v>4476644</v>
      </c>
      <c r="CD670" s="52"/>
      <c r="CE670" s="52"/>
      <c r="CF670" s="52"/>
      <c r="CG670" s="52">
        <f t="shared" si="106"/>
        <v>75542804</v>
      </c>
      <c r="CH670" s="52"/>
      <c r="CI670" s="52"/>
      <c r="CJ670" s="52"/>
      <c r="CK670" s="52"/>
      <c r="CL670" s="52"/>
      <c r="CM670" s="52"/>
      <c r="CN670" s="52"/>
      <c r="CO670" s="52"/>
      <c r="CP670" s="52"/>
      <c r="CQ670" s="52">
        <v>4476644</v>
      </c>
      <c r="CR670" s="52"/>
      <c r="CS670" s="52">
        <f t="shared" si="103"/>
        <v>80019448</v>
      </c>
      <c r="CT670" s="53">
        <v>35813152</v>
      </c>
      <c r="CU670" s="53">
        <f t="shared" si="104"/>
        <v>44206296</v>
      </c>
      <c r="CV670" s="54">
        <f t="shared" si="107"/>
        <v>80019448</v>
      </c>
      <c r="CW670" s="55">
        <f t="shared" si="108"/>
        <v>0</v>
      </c>
      <c r="CX670" s="16"/>
      <c r="CY670" s="16"/>
      <c r="CZ670" s="16"/>
    </row>
    <row r="671" spans="1:108" ht="15" customHeight="1" x14ac:dyDescent="0.2">
      <c r="A671" s="1">
        <v>8000959802</v>
      </c>
      <c r="B671" s="1">
        <v>800095980</v>
      </c>
      <c r="C671" s="9">
        <v>211719517</v>
      </c>
      <c r="D671" s="10" t="s">
        <v>395</v>
      </c>
      <c r="E671" s="42" t="s">
        <v>1424</v>
      </c>
      <c r="F671" s="21"/>
      <c r="G671" s="50"/>
      <c r="H671" s="21"/>
      <c r="I671" s="50"/>
      <c r="J671" s="21"/>
      <c r="K671" s="21"/>
      <c r="L671" s="50"/>
      <c r="M671" s="51"/>
      <c r="N671" s="21"/>
      <c r="O671" s="50"/>
      <c r="P671" s="21"/>
      <c r="Q671" s="50"/>
      <c r="R671" s="21"/>
      <c r="S671" s="21"/>
      <c r="T671" s="50"/>
      <c r="U671" s="51">
        <f t="shared" si="102"/>
        <v>0</v>
      </c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>
        <f>VLOOKUP(B671,[1]Hoja3!J$3:K$674,2,0)</f>
        <v>122000177</v>
      </c>
      <c r="BB671" s="51"/>
      <c r="BC671" s="52">
        <f t="shared" si="105"/>
        <v>122000177</v>
      </c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>
        <v>0</v>
      </c>
      <c r="BO671" s="51"/>
      <c r="BP671" s="52">
        <v>122000177</v>
      </c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>
        <v>0</v>
      </c>
      <c r="CD671" s="52"/>
      <c r="CE671" s="52"/>
      <c r="CF671" s="52"/>
      <c r="CG671" s="52">
        <f t="shared" si="106"/>
        <v>122000177</v>
      </c>
      <c r="CH671" s="52"/>
      <c r="CI671" s="52"/>
      <c r="CJ671" s="52"/>
      <c r="CK671" s="52"/>
      <c r="CL671" s="52"/>
      <c r="CM671" s="52"/>
      <c r="CN671" s="52"/>
      <c r="CO671" s="52"/>
      <c r="CP671" s="52"/>
      <c r="CQ671" s="52">
        <v>0</v>
      </c>
      <c r="CR671" s="52"/>
      <c r="CS671" s="52">
        <f t="shared" si="103"/>
        <v>122000177</v>
      </c>
      <c r="CT671" s="53"/>
      <c r="CU671" s="53">
        <f t="shared" si="104"/>
        <v>122000177</v>
      </c>
      <c r="CV671" s="54">
        <f t="shared" si="107"/>
        <v>122000177</v>
      </c>
      <c r="CW671" s="55">
        <f t="shared" si="108"/>
        <v>0</v>
      </c>
      <c r="CX671" s="16"/>
      <c r="CY671" s="8"/>
      <c r="CZ671" s="8"/>
      <c r="DA671" s="8"/>
      <c r="DB671" s="8"/>
      <c r="DC671" s="8"/>
      <c r="DD671" s="8"/>
    </row>
    <row r="672" spans="1:108" ht="15" customHeight="1" x14ac:dyDescent="0.2">
      <c r="A672" s="1">
        <v>8911801944</v>
      </c>
      <c r="B672" s="1">
        <v>891180194</v>
      </c>
      <c r="C672" s="9">
        <v>211841518</v>
      </c>
      <c r="D672" s="10" t="s">
        <v>612</v>
      </c>
      <c r="E672" s="42" t="s">
        <v>1631</v>
      </c>
      <c r="F672" s="21"/>
      <c r="G672" s="50"/>
      <c r="H672" s="21"/>
      <c r="I672" s="50"/>
      <c r="J672" s="21"/>
      <c r="K672" s="21"/>
      <c r="L672" s="50"/>
      <c r="M672" s="51"/>
      <c r="N672" s="21"/>
      <c r="O672" s="50"/>
      <c r="P672" s="21"/>
      <c r="Q672" s="50"/>
      <c r="R672" s="21"/>
      <c r="S672" s="21"/>
      <c r="T672" s="50"/>
      <c r="U672" s="51">
        <f t="shared" si="102"/>
        <v>0</v>
      </c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>
        <v>40515250</v>
      </c>
      <c r="AZ672" s="51"/>
      <c r="BA672" s="51">
        <f>VLOOKUP(B672,[1]Hoja3!J$3:K$674,2,0)</f>
        <v>95999155</v>
      </c>
      <c r="BB672" s="51"/>
      <c r="BC672" s="52">
        <f t="shared" si="105"/>
        <v>136514405</v>
      </c>
      <c r="BD672" s="51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>
        <v>8103050</v>
      </c>
      <c r="BO672" s="51"/>
      <c r="BP672" s="52">
        <v>144617455</v>
      </c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>
        <v>8103050</v>
      </c>
      <c r="CD672" s="52"/>
      <c r="CE672" s="52"/>
      <c r="CF672" s="52"/>
      <c r="CG672" s="52">
        <f t="shared" si="106"/>
        <v>152720505</v>
      </c>
      <c r="CH672" s="52"/>
      <c r="CI672" s="52"/>
      <c r="CJ672" s="52"/>
      <c r="CK672" s="52"/>
      <c r="CL672" s="52"/>
      <c r="CM672" s="52"/>
      <c r="CN672" s="52"/>
      <c r="CO672" s="52"/>
      <c r="CP672" s="52"/>
      <c r="CQ672" s="52">
        <v>8103050</v>
      </c>
      <c r="CR672" s="52"/>
      <c r="CS672" s="52">
        <f t="shared" si="103"/>
        <v>160823555</v>
      </c>
      <c r="CT672" s="53">
        <v>64824400</v>
      </c>
      <c r="CU672" s="53">
        <f t="shared" si="104"/>
        <v>95999155</v>
      </c>
      <c r="CV672" s="54">
        <f t="shared" si="107"/>
        <v>160823555</v>
      </c>
      <c r="CW672" s="55">
        <f t="shared" si="108"/>
        <v>0</v>
      </c>
      <c r="CX672" s="16"/>
      <c r="CY672" s="16"/>
      <c r="CZ672" s="16"/>
    </row>
    <row r="673" spans="1:108" ht="15" customHeight="1" x14ac:dyDescent="0.2">
      <c r="A673" s="1">
        <v>8000966107</v>
      </c>
      <c r="B673" s="1">
        <v>800096610</v>
      </c>
      <c r="C673" s="9">
        <v>211720517</v>
      </c>
      <c r="D673" s="10" t="s">
        <v>428</v>
      </c>
      <c r="E673" s="42" t="s">
        <v>1455</v>
      </c>
      <c r="F673" s="21"/>
      <c r="G673" s="50"/>
      <c r="H673" s="21"/>
      <c r="I673" s="50"/>
      <c r="J673" s="21"/>
      <c r="K673" s="21"/>
      <c r="L673" s="50"/>
      <c r="M673" s="51"/>
      <c r="N673" s="21"/>
      <c r="O673" s="50"/>
      <c r="P673" s="21"/>
      <c r="Q673" s="50"/>
      <c r="R673" s="21"/>
      <c r="S673" s="21"/>
      <c r="T673" s="50"/>
      <c r="U673" s="51">
        <f t="shared" si="102"/>
        <v>0</v>
      </c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>
        <v>243743704</v>
      </c>
      <c r="AN673" s="51">
        <f t="shared" ref="AN673:AN678" si="111">SUBTOTAL(9,AC673:AM673)</f>
        <v>243743704</v>
      </c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>
        <v>158759990</v>
      </c>
      <c r="AZ673" s="51"/>
      <c r="BA673" s="51">
        <f>VLOOKUP(B673,[1]Hoja3!J$3:K$674,2,0)</f>
        <v>18422494</v>
      </c>
      <c r="BB673" s="51"/>
      <c r="BC673" s="52">
        <f t="shared" si="105"/>
        <v>420926188</v>
      </c>
      <c r="BD673" s="51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>
        <v>31751998</v>
      </c>
      <c r="BO673" s="51"/>
      <c r="BP673" s="52">
        <v>452678186</v>
      </c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>
        <v>31751998</v>
      </c>
      <c r="CD673" s="52"/>
      <c r="CE673" s="52"/>
      <c r="CF673" s="52"/>
      <c r="CG673" s="52">
        <f t="shared" si="106"/>
        <v>484430184</v>
      </c>
      <c r="CH673" s="52"/>
      <c r="CI673" s="52"/>
      <c r="CJ673" s="52"/>
      <c r="CK673" s="52"/>
      <c r="CL673" s="52"/>
      <c r="CM673" s="52"/>
      <c r="CN673" s="52"/>
      <c r="CO673" s="52"/>
      <c r="CP673" s="52"/>
      <c r="CQ673" s="52">
        <v>31751998</v>
      </c>
      <c r="CR673" s="52"/>
      <c r="CS673" s="52">
        <f t="shared" si="103"/>
        <v>516182182</v>
      </c>
      <c r="CT673" s="53">
        <v>254015984</v>
      </c>
      <c r="CU673" s="53">
        <f t="shared" si="104"/>
        <v>262166198</v>
      </c>
      <c r="CV673" s="54">
        <f t="shared" si="107"/>
        <v>516182182</v>
      </c>
      <c r="CW673" s="55">
        <f t="shared" si="108"/>
        <v>0</v>
      </c>
      <c r="CX673" s="16"/>
      <c r="CY673" s="16"/>
      <c r="CZ673" s="16"/>
    </row>
    <row r="674" spans="1:108" ht="15" customHeight="1" x14ac:dyDescent="0.2">
      <c r="A674" s="1">
        <v>8999997046</v>
      </c>
      <c r="B674" s="1">
        <v>899999704</v>
      </c>
      <c r="C674" s="9">
        <v>211825518</v>
      </c>
      <c r="D674" s="10" t="s">
        <v>520</v>
      </c>
      <c r="E674" s="42" t="s">
        <v>1546</v>
      </c>
      <c r="F674" s="21"/>
      <c r="G674" s="50"/>
      <c r="H674" s="21"/>
      <c r="I674" s="50"/>
      <c r="J674" s="21"/>
      <c r="K674" s="21"/>
      <c r="L674" s="50"/>
      <c r="M674" s="51"/>
      <c r="N674" s="21"/>
      <c r="O674" s="50"/>
      <c r="P674" s="21"/>
      <c r="Q674" s="50"/>
      <c r="R674" s="21"/>
      <c r="S674" s="21"/>
      <c r="T674" s="50"/>
      <c r="U674" s="51">
        <f t="shared" si="102"/>
        <v>0</v>
      </c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>
        <v>62210214</v>
      </c>
      <c r="AN674" s="51">
        <f t="shared" si="111"/>
        <v>62210214</v>
      </c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>
        <v>43907810</v>
      </c>
      <c r="AZ674" s="51"/>
      <c r="BA674" s="51"/>
      <c r="BB674" s="51"/>
      <c r="BC674" s="52">
        <f t="shared" si="105"/>
        <v>106118024</v>
      </c>
      <c r="BD674" s="51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>
        <v>8781562</v>
      </c>
      <c r="BO674" s="51"/>
      <c r="BP674" s="52">
        <v>114899586</v>
      </c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>
        <v>8781562</v>
      </c>
      <c r="CD674" s="52"/>
      <c r="CE674" s="52"/>
      <c r="CF674" s="52"/>
      <c r="CG674" s="52">
        <f t="shared" si="106"/>
        <v>123681148</v>
      </c>
      <c r="CH674" s="52"/>
      <c r="CI674" s="52"/>
      <c r="CJ674" s="52"/>
      <c r="CK674" s="52"/>
      <c r="CL674" s="52"/>
      <c r="CM674" s="52"/>
      <c r="CN674" s="52"/>
      <c r="CO674" s="52"/>
      <c r="CP674" s="52"/>
      <c r="CQ674" s="52">
        <v>8781562</v>
      </c>
      <c r="CR674" s="52"/>
      <c r="CS674" s="52">
        <f t="shared" si="103"/>
        <v>132462710</v>
      </c>
      <c r="CT674" s="53">
        <v>70252496</v>
      </c>
      <c r="CU674" s="53">
        <f t="shared" si="104"/>
        <v>62210214</v>
      </c>
      <c r="CV674" s="54">
        <f t="shared" si="107"/>
        <v>132462710</v>
      </c>
      <c r="CW674" s="55">
        <f t="shared" si="108"/>
        <v>0</v>
      </c>
      <c r="CX674" s="16"/>
      <c r="CY674" s="16"/>
      <c r="CZ674" s="16"/>
    </row>
    <row r="675" spans="1:108" ht="15" customHeight="1" x14ac:dyDescent="0.2">
      <c r="A675" s="1">
        <v>8918012401</v>
      </c>
      <c r="B675" s="1">
        <v>891801240</v>
      </c>
      <c r="C675" s="9">
        <v>211615516</v>
      </c>
      <c r="D675" s="10" t="s">
        <v>280</v>
      </c>
      <c r="E675" s="42" t="s">
        <v>1313</v>
      </c>
      <c r="F675" s="21"/>
      <c r="G675" s="50"/>
      <c r="H675" s="21"/>
      <c r="I675" s="50"/>
      <c r="J675" s="21"/>
      <c r="K675" s="21"/>
      <c r="L675" s="50"/>
      <c r="M675" s="51"/>
      <c r="N675" s="21"/>
      <c r="O675" s="50"/>
      <c r="P675" s="21"/>
      <c r="Q675" s="50"/>
      <c r="R675" s="21"/>
      <c r="S675" s="21"/>
      <c r="T675" s="50"/>
      <c r="U675" s="51">
        <f t="shared" si="102"/>
        <v>0</v>
      </c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>
        <v>42384193</v>
      </c>
      <c r="AN675" s="51">
        <f t="shared" si="111"/>
        <v>42384193</v>
      </c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>
        <v>179020200</v>
      </c>
      <c r="AZ675" s="51"/>
      <c r="BA675" s="51">
        <f>VLOOKUP(B675,[1]Hoja3!J$3:K$674,2,0)</f>
        <v>375559943</v>
      </c>
      <c r="BB675" s="51"/>
      <c r="BC675" s="52">
        <f t="shared" si="105"/>
        <v>596964336</v>
      </c>
      <c r="BD675" s="51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>
        <v>35804040</v>
      </c>
      <c r="BO675" s="51"/>
      <c r="BP675" s="52">
        <v>632768376</v>
      </c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>
        <v>35804040</v>
      </c>
      <c r="CD675" s="52"/>
      <c r="CE675" s="52"/>
      <c r="CF675" s="52"/>
      <c r="CG675" s="52">
        <f t="shared" si="106"/>
        <v>668572416</v>
      </c>
      <c r="CH675" s="52"/>
      <c r="CI675" s="52"/>
      <c r="CJ675" s="52"/>
      <c r="CK675" s="52"/>
      <c r="CL675" s="52"/>
      <c r="CM675" s="52"/>
      <c r="CN675" s="52"/>
      <c r="CO675" s="52"/>
      <c r="CP675" s="52"/>
      <c r="CQ675" s="52">
        <v>35804040</v>
      </c>
      <c r="CR675" s="52"/>
      <c r="CS675" s="52">
        <f t="shared" si="103"/>
        <v>704376456</v>
      </c>
      <c r="CT675" s="53">
        <v>286432320</v>
      </c>
      <c r="CU675" s="53">
        <f t="shared" si="104"/>
        <v>417944136</v>
      </c>
      <c r="CV675" s="54">
        <f t="shared" si="107"/>
        <v>704376456</v>
      </c>
      <c r="CW675" s="55">
        <f t="shared" si="108"/>
        <v>0</v>
      </c>
      <c r="CX675" s="16"/>
      <c r="CY675" s="8"/>
      <c r="CZ675" s="8"/>
      <c r="DA675" s="8"/>
      <c r="DB675" s="8"/>
      <c r="DC675" s="8"/>
      <c r="DD675" s="8"/>
    </row>
    <row r="676" spans="1:108" ht="15" customHeight="1" x14ac:dyDescent="0.2">
      <c r="A676" s="1">
        <v>8000655937</v>
      </c>
      <c r="B676" s="1">
        <v>800065593</v>
      </c>
      <c r="C676" s="9">
        <v>211815518</v>
      </c>
      <c r="D676" s="10" t="s">
        <v>281</v>
      </c>
      <c r="E676" s="42" t="s">
        <v>1314</v>
      </c>
      <c r="F676" s="21"/>
      <c r="G676" s="50"/>
      <c r="H676" s="21"/>
      <c r="I676" s="50"/>
      <c r="J676" s="21"/>
      <c r="K676" s="21"/>
      <c r="L676" s="50"/>
      <c r="M676" s="51"/>
      <c r="N676" s="21"/>
      <c r="O676" s="50"/>
      <c r="P676" s="21"/>
      <c r="Q676" s="50"/>
      <c r="R676" s="21"/>
      <c r="S676" s="21"/>
      <c r="T676" s="50"/>
      <c r="U676" s="51">
        <f t="shared" si="102"/>
        <v>0</v>
      </c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>
        <v>31464048</v>
      </c>
      <c r="AN676" s="51">
        <f t="shared" si="111"/>
        <v>31464048</v>
      </c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>
        <v>16869385</v>
      </c>
      <c r="AZ676" s="51"/>
      <c r="BA676" s="51"/>
      <c r="BB676" s="51"/>
      <c r="BC676" s="52">
        <f t="shared" si="105"/>
        <v>48333433</v>
      </c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>
        <v>3373877</v>
      </c>
      <c r="BO676" s="51"/>
      <c r="BP676" s="52">
        <v>51707310</v>
      </c>
      <c r="BQ676" s="52"/>
      <c r="BR676" s="52"/>
      <c r="BS676" s="52"/>
      <c r="BT676" s="52"/>
      <c r="BU676" s="52"/>
      <c r="BV676" s="52"/>
      <c r="BW676" s="52"/>
      <c r="BX676" s="52"/>
      <c r="BY676" s="52"/>
      <c r="BZ676" s="52"/>
      <c r="CA676" s="52"/>
      <c r="CB676" s="52"/>
      <c r="CC676" s="52">
        <v>3373877</v>
      </c>
      <c r="CD676" s="52"/>
      <c r="CE676" s="52"/>
      <c r="CF676" s="52"/>
      <c r="CG676" s="52">
        <f t="shared" si="106"/>
        <v>55081187</v>
      </c>
      <c r="CH676" s="52"/>
      <c r="CI676" s="52"/>
      <c r="CJ676" s="52"/>
      <c r="CK676" s="52"/>
      <c r="CL676" s="52"/>
      <c r="CM676" s="52"/>
      <c r="CN676" s="52"/>
      <c r="CO676" s="52"/>
      <c r="CP676" s="52"/>
      <c r="CQ676" s="52">
        <v>3373877</v>
      </c>
      <c r="CR676" s="52"/>
      <c r="CS676" s="52">
        <f t="shared" si="103"/>
        <v>58455064</v>
      </c>
      <c r="CT676" s="53">
        <v>26991016</v>
      </c>
      <c r="CU676" s="53">
        <f t="shared" si="104"/>
        <v>31464048</v>
      </c>
      <c r="CV676" s="54">
        <f t="shared" si="107"/>
        <v>58455064</v>
      </c>
      <c r="CW676" s="55">
        <f t="shared" si="108"/>
        <v>0</v>
      </c>
      <c r="CX676" s="16"/>
      <c r="CY676" s="8"/>
      <c r="CZ676" s="8"/>
      <c r="DA676" s="8"/>
      <c r="DB676" s="8"/>
      <c r="DC676" s="8"/>
      <c r="DD676" s="8"/>
    </row>
    <row r="677" spans="1:108" ht="15" customHeight="1" x14ac:dyDescent="0.2">
      <c r="A677" s="1">
        <v>8911800219</v>
      </c>
      <c r="B677" s="1">
        <v>891180021</v>
      </c>
      <c r="C677" s="9">
        <v>212441524</v>
      </c>
      <c r="D677" s="10" t="s">
        <v>613</v>
      </c>
      <c r="E677" s="42" t="s">
        <v>1632</v>
      </c>
      <c r="F677" s="21"/>
      <c r="G677" s="50"/>
      <c r="H677" s="21"/>
      <c r="I677" s="50"/>
      <c r="J677" s="21"/>
      <c r="K677" s="21"/>
      <c r="L677" s="50"/>
      <c r="M677" s="51"/>
      <c r="N677" s="21"/>
      <c r="O677" s="50"/>
      <c r="P677" s="21"/>
      <c r="Q677" s="50"/>
      <c r="R677" s="21"/>
      <c r="S677" s="21"/>
      <c r="T677" s="50"/>
      <c r="U677" s="51">
        <f t="shared" si="102"/>
        <v>0</v>
      </c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>
        <v>371791332</v>
      </c>
      <c r="AN677" s="51">
        <f t="shared" si="111"/>
        <v>371791332</v>
      </c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>
        <v>158944410</v>
      </c>
      <c r="AZ677" s="51"/>
      <c r="BA677" s="51"/>
      <c r="BB677" s="51"/>
      <c r="BC677" s="52">
        <f t="shared" si="105"/>
        <v>530735742</v>
      </c>
      <c r="BD677" s="51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>
        <v>31788882</v>
      </c>
      <c r="BO677" s="51"/>
      <c r="BP677" s="52">
        <v>562524624</v>
      </c>
      <c r="BQ677" s="52"/>
      <c r="BR677" s="52"/>
      <c r="BS677" s="52"/>
      <c r="BT677" s="52"/>
      <c r="BU677" s="52"/>
      <c r="BV677" s="52"/>
      <c r="BW677" s="52"/>
      <c r="BX677" s="52"/>
      <c r="BY677" s="52"/>
      <c r="BZ677" s="52"/>
      <c r="CA677" s="52"/>
      <c r="CB677" s="52"/>
      <c r="CC677" s="52">
        <v>31788882</v>
      </c>
      <c r="CD677" s="52"/>
      <c r="CE677" s="52"/>
      <c r="CF677" s="52"/>
      <c r="CG677" s="52">
        <f t="shared" si="106"/>
        <v>594313506</v>
      </c>
      <c r="CH677" s="52"/>
      <c r="CI677" s="52"/>
      <c r="CJ677" s="52"/>
      <c r="CK677" s="52"/>
      <c r="CL677" s="52"/>
      <c r="CM677" s="52"/>
      <c r="CN677" s="52"/>
      <c r="CO677" s="52"/>
      <c r="CP677" s="52"/>
      <c r="CQ677" s="52">
        <v>31788882</v>
      </c>
      <c r="CR677" s="52"/>
      <c r="CS677" s="52">
        <f t="shared" si="103"/>
        <v>626102388</v>
      </c>
      <c r="CT677" s="53">
        <v>254311056</v>
      </c>
      <c r="CU677" s="53">
        <f t="shared" si="104"/>
        <v>371791332</v>
      </c>
      <c r="CV677" s="54">
        <f t="shared" si="107"/>
        <v>626102388</v>
      </c>
      <c r="CW677" s="55">
        <f t="shared" si="108"/>
        <v>0</v>
      </c>
      <c r="CX677" s="16"/>
      <c r="CY677" s="16"/>
      <c r="CZ677" s="16"/>
    </row>
    <row r="678" spans="1:108" ht="15" customHeight="1" x14ac:dyDescent="0.2">
      <c r="A678" s="1">
        <v>8908011417</v>
      </c>
      <c r="B678" s="1">
        <v>890801141</v>
      </c>
      <c r="C678" s="9">
        <v>212417524</v>
      </c>
      <c r="D678" s="10" t="s">
        <v>351</v>
      </c>
      <c r="E678" s="42" t="s">
        <v>2084</v>
      </c>
      <c r="F678" s="21"/>
      <c r="G678" s="50"/>
      <c r="H678" s="21"/>
      <c r="I678" s="50"/>
      <c r="J678" s="21"/>
      <c r="K678" s="21"/>
      <c r="L678" s="50"/>
      <c r="M678" s="51"/>
      <c r="N678" s="21"/>
      <c r="O678" s="50"/>
      <c r="P678" s="21"/>
      <c r="Q678" s="50"/>
      <c r="R678" s="21"/>
      <c r="S678" s="21"/>
      <c r="T678" s="50"/>
      <c r="U678" s="51">
        <f t="shared" si="102"/>
        <v>0</v>
      </c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>
        <v>243541760</v>
      </c>
      <c r="AN678" s="51">
        <f t="shared" si="111"/>
        <v>243541760</v>
      </c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>
        <v>114603225</v>
      </c>
      <c r="AZ678" s="51"/>
      <c r="BA678" s="51"/>
      <c r="BB678" s="51"/>
      <c r="BC678" s="52">
        <f t="shared" si="105"/>
        <v>358144985</v>
      </c>
      <c r="BD678" s="51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>
        <v>22920645</v>
      </c>
      <c r="BO678" s="51"/>
      <c r="BP678" s="52">
        <v>381065630</v>
      </c>
      <c r="BQ678" s="52"/>
      <c r="BR678" s="52"/>
      <c r="BS678" s="52"/>
      <c r="BT678" s="52"/>
      <c r="BU678" s="52"/>
      <c r="BV678" s="52"/>
      <c r="BW678" s="52"/>
      <c r="BX678" s="52"/>
      <c r="BY678" s="52"/>
      <c r="BZ678" s="52"/>
      <c r="CA678" s="52"/>
      <c r="CB678" s="52"/>
      <c r="CC678" s="52">
        <v>22920645</v>
      </c>
      <c r="CD678" s="52"/>
      <c r="CE678" s="52"/>
      <c r="CF678" s="52"/>
      <c r="CG678" s="52">
        <f t="shared" si="106"/>
        <v>403986275</v>
      </c>
      <c r="CH678" s="52"/>
      <c r="CI678" s="52"/>
      <c r="CJ678" s="52"/>
      <c r="CK678" s="52"/>
      <c r="CL678" s="52"/>
      <c r="CM678" s="52"/>
      <c r="CN678" s="52"/>
      <c r="CO678" s="52"/>
      <c r="CP678" s="52"/>
      <c r="CQ678" s="52">
        <v>22920645</v>
      </c>
      <c r="CR678" s="52"/>
      <c r="CS678" s="52">
        <f t="shared" si="103"/>
        <v>426906920</v>
      </c>
      <c r="CT678" s="53">
        <v>183365160</v>
      </c>
      <c r="CU678" s="53">
        <f t="shared" si="104"/>
        <v>243541760</v>
      </c>
      <c r="CV678" s="54">
        <f t="shared" si="107"/>
        <v>426906920</v>
      </c>
      <c r="CW678" s="55">
        <f t="shared" si="108"/>
        <v>0</v>
      </c>
      <c r="CX678" s="16"/>
      <c r="CY678" s="16"/>
      <c r="CZ678" s="16"/>
    </row>
    <row r="679" spans="1:108" ht="15" customHeight="1" x14ac:dyDescent="0.2">
      <c r="A679" s="1">
        <v>8911027641</v>
      </c>
      <c r="B679" s="1">
        <v>891102764</v>
      </c>
      <c r="C679" s="9">
        <v>213041530</v>
      </c>
      <c r="D679" s="10" t="s">
        <v>614</v>
      </c>
      <c r="E679" s="42" t="s">
        <v>1633</v>
      </c>
      <c r="F679" s="21"/>
      <c r="G679" s="50"/>
      <c r="H679" s="21"/>
      <c r="I679" s="50"/>
      <c r="J679" s="21"/>
      <c r="K679" s="21"/>
      <c r="L679" s="50"/>
      <c r="M679" s="51"/>
      <c r="N679" s="21"/>
      <c r="O679" s="50"/>
      <c r="P679" s="21"/>
      <c r="Q679" s="50"/>
      <c r="R679" s="21"/>
      <c r="S679" s="21"/>
      <c r="T679" s="50"/>
      <c r="U679" s="51">
        <f t="shared" si="102"/>
        <v>0</v>
      </c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>
        <v>88308295</v>
      </c>
      <c r="AZ679" s="51"/>
      <c r="BA679" s="51">
        <f>VLOOKUP(B679,[1]Hoja3!J$3:K$674,2,0)</f>
        <v>206854243</v>
      </c>
      <c r="BB679" s="51"/>
      <c r="BC679" s="52">
        <f t="shared" si="105"/>
        <v>295162538</v>
      </c>
      <c r="BD679" s="51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>
        <v>17661659</v>
      </c>
      <c r="BO679" s="51"/>
      <c r="BP679" s="52">
        <v>312824197</v>
      </c>
      <c r="BQ679" s="52"/>
      <c r="BR679" s="52"/>
      <c r="BS679" s="52"/>
      <c r="BT679" s="52"/>
      <c r="BU679" s="52"/>
      <c r="BV679" s="52"/>
      <c r="BW679" s="52"/>
      <c r="BX679" s="52"/>
      <c r="BY679" s="52"/>
      <c r="BZ679" s="52"/>
      <c r="CA679" s="52"/>
      <c r="CB679" s="52"/>
      <c r="CC679" s="52">
        <v>17661659</v>
      </c>
      <c r="CD679" s="52"/>
      <c r="CE679" s="52"/>
      <c r="CF679" s="52"/>
      <c r="CG679" s="52">
        <f t="shared" si="106"/>
        <v>330485856</v>
      </c>
      <c r="CH679" s="52"/>
      <c r="CI679" s="52"/>
      <c r="CJ679" s="52"/>
      <c r="CK679" s="52"/>
      <c r="CL679" s="52"/>
      <c r="CM679" s="52"/>
      <c r="CN679" s="52"/>
      <c r="CO679" s="52"/>
      <c r="CP679" s="52"/>
      <c r="CQ679" s="52">
        <v>17661659</v>
      </c>
      <c r="CR679" s="52"/>
      <c r="CS679" s="52">
        <f t="shared" si="103"/>
        <v>348147515</v>
      </c>
      <c r="CT679" s="53">
        <v>141293272</v>
      </c>
      <c r="CU679" s="53">
        <f t="shared" si="104"/>
        <v>206854243</v>
      </c>
      <c r="CV679" s="54">
        <f t="shared" si="107"/>
        <v>348147515</v>
      </c>
      <c r="CW679" s="55">
        <f t="shared" si="108"/>
        <v>0</v>
      </c>
      <c r="CX679" s="16"/>
      <c r="CY679" s="8"/>
      <c r="CZ679" s="8"/>
      <c r="DA679" s="8"/>
      <c r="DB679" s="8"/>
      <c r="DC679" s="8"/>
      <c r="DD679" s="8"/>
    </row>
    <row r="680" spans="1:108" ht="15" customHeight="1" x14ac:dyDescent="0.2">
      <c r="A680" s="1">
        <v>8000944498</v>
      </c>
      <c r="B680" s="1">
        <v>800094449</v>
      </c>
      <c r="C680" s="9">
        <v>212008520</v>
      </c>
      <c r="D680" s="10" t="s">
        <v>2144</v>
      </c>
      <c r="E680" s="42" t="s">
        <v>1197</v>
      </c>
      <c r="F680" s="21"/>
      <c r="G680" s="50"/>
      <c r="H680" s="21"/>
      <c r="I680" s="50"/>
      <c r="J680" s="21"/>
      <c r="K680" s="21"/>
      <c r="L680" s="50"/>
      <c r="M680" s="51"/>
      <c r="N680" s="21"/>
      <c r="O680" s="50"/>
      <c r="P680" s="21"/>
      <c r="Q680" s="50"/>
      <c r="R680" s="21"/>
      <c r="S680" s="21"/>
      <c r="T680" s="50"/>
      <c r="U680" s="51">
        <f t="shared" si="102"/>
        <v>0</v>
      </c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>
        <v>286660649</v>
      </c>
      <c r="AN680" s="51">
        <f>SUBTOTAL(9,AC680:AM680)</f>
        <v>286660649</v>
      </c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>
        <v>179596765</v>
      </c>
      <c r="AZ680" s="51"/>
      <c r="BA680" s="51">
        <f>VLOOKUP(B680,[1]Hoja3!J$3:K$674,2,0)</f>
        <v>122409936</v>
      </c>
      <c r="BB680" s="51"/>
      <c r="BC680" s="52">
        <f t="shared" si="105"/>
        <v>588667350</v>
      </c>
      <c r="BD680" s="51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>
        <v>35919353</v>
      </c>
      <c r="BO680" s="51"/>
      <c r="BP680" s="52">
        <v>624586703</v>
      </c>
      <c r="BQ680" s="52"/>
      <c r="BR680" s="52"/>
      <c r="BS680" s="52"/>
      <c r="BT680" s="52"/>
      <c r="BU680" s="52"/>
      <c r="BV680" s="52"/>
      <c r="BW680" s="52"/>
      <c r="BX680" s="52"/>
      <c r="BY680" s="52"/>
      <c r="BZ680" s="52"/>
      <c r="CA680" s="52"/>
      <c r="CB680" s="52"/>
      <c r="CC680" s="52">
        <v>35919353</v>
      </c>
      <c r="CD680" s="52"/>
      <c r="CE680" s="52"/>
      <c r="CF680" s="52"/>
      <c r="CG680" s="52">
        <f t="shared" si="106"/>
        <v>660506056</v>
      </c>
      <c r="CH680" s="52"/>
      <c r="CI680" s="52"/>
      <c r="CJ680" s="52"/>
      <c r="CK680" s="52"/>
      <c r="CL680" s="52"/>
      <c r="CM680" s="52"/>
      <c r="CN680" s="52"/>
      <c r="CO680" s="52"/>
      <c r="CP680" s="52"/>
      <c r="CQ680" s="52">
        <v>35919353</v>
      </c>
      <c r="CR680" s="52"/>
      <c r="CS680" s="52">
        <f t="shared" si="103"/>
        <v>696425409</v>
      </c>
      <c r="CT680" s="53">
        <v>287354824</v>
      </c>
      <c r="CU680" s="53">
        <f t="shared" si="104"/>
        <v>409070585</v>
      </c>
      <c r="CV680" s="54">
        <f t="shared" si="107"/>
        <v>696425409</v>
      </c>
      <c r="CW680" s="55">
        <f t="shared" si="108"/>
        <v>0</v>
      </c>
      <c r="CX680" s="16"/>
      <c r="CY680" s="16"/>
      <c r="CZ680" s="16"/>
    </row>
    <row r="681" spans="1:108" ht="15" customHeight="1" x14ac:dyDescent="0.2">
      <c r="A681" s="1">
        <v>8000998185</v>
      </c>
      <c r="B681" s="1">
        <v>800099818</v>
      </c>
      <c r="C681" s="9">
        <v>212268522</v>
      </c>
      <c r="D681" s="10" t="s">
        <v>863</v>
      </c>
      <c r="E681" s="42" t="s">
        <v>1876</v>
      </c>
      <c r="F681" s="21"/>
      <c r="G681" s="50"/>
      <c r="H681" s="21"/>
      <c r="I681" s="50"/>
      <c r="J681" s="21"/>
      <c r="K681" s="21"/>
      <c r="L681" s="50"/>
      <c r="M681" s="51"/>
      <c r="N681" s="21"/>
      <c r="O681" s="50"/>
      <c r="P681" s="21"/>
      <c r="Q681" s="50"/>
      <c r="R681" s="21"/>
      <c r="S681" s="21"/>
      <c r="T681" s="50"/>
      <c r="U681" s="51">
        <f t="shared" si="102"/>
        <v>0</v>
      </c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>
        <v>21221908</v>
      </c>
      <c r="AN681" s="51">
        <f>SUBTOTAL(9,AC681:AM681)</f>
        <v>21221908</v>
      </c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2">
        <f t="shared" si="105"/>
        <v>21221908</v>
      </c>
      <c r="BD681" s="51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>
        <v>0</v>
      </c>
      <c r="BO681" s="51"/>
      <c r="BP681" s="52">
        <v>21221908</v>
      </c>
      <c r="BQ681" s="52"/>
      <c r="BR681" s="52"/>
      <c r="BS681" s="52"/>
      <c r="BT681" s="52"/>
      <c r="BU681" s="52"/>
      <c r="BV681" s="52"/>
      <c r="BW681" s="52"/>
      <c r="BX681" s="52"/>
      <c r="BY681" s="52"/>
      <c r="BZ681" s="52"/>
      <c r="CA681" s="52"/>
      <c r="CB681" s="52"/>
      <c r="CC681" s="52">
        <v>0</v>
      </c>
      <c r="CD681" s="52"/>
      <c r="CE681" s="52"/>
      <c r="CF681" s="52"/>
      <c r="CG681" s="52">
        <f t="shared" si="106"/>
        <v>21221908</v>
      </c>
      <c r="CH681" s="52"/>
      <c r="CI681" s="52"/>
      <c r="CJ681" s="52"/>
      <c r="CK681" s="52"/>
      <c r="CL681" s="52"/>
      <c r="CM681" s="52"/>
      <c r="CN681" s="52"/>
      <c r="CO681" s="52"/>
      <c r="CP681" s="52"/>
      <c r="CQ681" s="52">
        <v>0</v>
      </c>
      <c r="CR681" s="52"/>
      <c r="CS681" s="52">
        <f t="shared" si="103"/>
        <v>21221908</v>
      </c>
      <c r="CT681" s="53"/>
      <c r="CU681" s="53">
        <f t="shared" si="104"/>
        <v>21221908</v>
      </c>
      <c r="CV681" s="54">
        <f t="shared" si="107"/>
        <v>21221908</v>
      </c>
      <c r="CW681" s="55">
        <f t="shared" si="108"/>
        <v>0</v>
      </c>
      <c r="CX681" s="16"/>
      <c r="CY681" s="16"/>
      <c r="CZ681" s="16"/>
    </row>
    <row r="682" spans="1:108" ht="15" customHeight="1" x14ac:dyDescent="0.2">
      <c r="A682" s="1">
        <v>8000032532</v>
      </c>
      <c r="B682" s="1">
        <v>800003253</v>
      </c>
      <c r="C682" s="9">
        <v>212468524</v>
      </c>
      <c r="D682" s="10" t="s">
        <v>864</v>
      </c>
      <c r="E682" s="42" t="s">
        <v>1877</v>
      </c>
      <c r="F682" s="21"/>
      <c r="G682" s="50"/>
      <c r="H682" s="21"/>
      <c r="I682" s="50"/>
      <c r="J682" s="21"/>
      <c r="K682" s="21"/>
      <c r="L682" s="50"/>
      <c r="M682" s="51"/>
      <c r="N682" s="21"/>
      <c r="O682" s="50"/>
      <c r="P682" s="21"/>
      <c r="Q682" s="50"/>
      <c r="R682" s="21"/>
      <c r="S682" s="21"/>
      <c r="T682" s="50"/>
      <c r="U682" s="51">
        <f t="shared" si="102"/>
        <v>0</v>
      </c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>
        <v>37511658</v>
      </c>
      <c r="AN682" s="51">
        <f>SUBTOTAL(9,AC682:AM682)</f>
        <v>37511658</v>
      </c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>
        <v>14940980</v>
      </c>
      <c r="AZ682" s="51"/>
      <c r="BA682" s="51"/>
      <c r="BB682" s="51"/>
      <c r="BC682" s="52">
        <f t="shared" si="105"/>
        <v>52452638</v>
      </c>
      <c r="BD682" s="51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>
        <v>2988196</v>
      </c>
      <c r="BO682" s="51"/>
      <c r="BP682" s="52">
        <v>55440834</v>
      </c>
      <c r="BQ682" s="52"/>
      <c r="BR682" s="52"/>
      <c r="BS682" s="52"/>
      <c r="BT682" s="52"/>
      <c r="BU682" s="52"/>
      <c r="BV682" s="52"/>
      <c r="BW682" s="52"/>
      <c r="BX682" s="52"/>
      <c r="BY682" s="52"/>
      <c r="BZ682" s="52"/>
      <c r="CA682" s="52"/>
      <c r="CB682" s="52"/>
      <c r="CC682" s="52">
        <v>2988196</v>
      </c>
      <c r="CD682" s="52"/>
      <c r="CE682" s="52"/>
      <c r="CF682" s="52"/>
      <c r="CG682" s="52">
        <f t="shared" si="106"/>
        <v>58429030</v>
      </c>
      <c r="CH682" s="52"/>
      <c r="CI682" s="52"/>
      <c r="CJ682" s="52"/>
      <c r="CK682" s="52"/>
      <c r="CL682" s="52"/>
      <c r="CM682" s="52"/>
      <c r="CN682" s="52"/>
      <c r="CO682" s="52"/>
      <c r="CP682" s="52"/>
      <c r="CQ682" s="52">
        <v>2988196</v>
      </c>
      <c r="CR682" s="52"/>
      <c r="CS682" s="52">
        <f t="shared" si="103"/>
        <v>61417226</v>
      </c>
      <c r="CT682" s="53">
        <v>23905568</v>
      </c>
      <c r="CU682" s="53">
        <f t="shared" si="104"/>
        <v>37511658</v>
      </c>
      <c r="CV682" s="54">
        <f t="shared" si="107"/>
        <v>61417226</v>
      </c>
      <c r="CW682" s="55">
        <f t="shared" si="108"/>
        <v>0</v>
      </c>
      <c r="CX682" s="16"/>
      <c r="CY682" s="16"/>
      <c r="CZ682" s="16"/>
    </row>
    <row r="683" spans="1:108" ht="15" customHeight="1" x14ac:dyDescent="0.2">
      <c r="A683" s="1">
        <v>8913800073</v>
      </c>
      <c r="B683" s="1">
        <v>891380007</v>
      </c>
      <c r="C683" s="9">
        <v>212076520</v>
      </c>
      <c r="D683" s="10" t="s">
        <v>2179</v>
      </c>
      <c r="E683" s="43" t="s">
        <v>1054</v>
      </c>
      <c r="F683" s="21"/>
      <c r="G683" s="50"/>
      <c r="H683" s="21"/>
      <c r="I683" s="57">
        <f>6073048368+89039398</f>
        <v>6162087766</v>
      </c>
      <c r="J683" s="21">
        <v>413909452</v>
      </c>
      <c r="K683" s="21">
        <v>827272074</v>
      </c>
      <c r="L683" s="50"/>
      <c r="M683" s="52">
        <f>SUM(F683:L683)</f>
        <v>7403269292</v>
      </c>
      <c r="N683" s="21"/>
      <c r="O683" s="50"/>
      <c r="P683" s="21"/>
      <c r="Q683" s="50">
        <f>5927177024+40472453</f>
        <v>5967649477</v>
      </c>
      <c r="R683" s="21">
        <v>414062811</v>
      </c>
      <c r="S683" s="21">
        <f>413362622+414062811</f>
        <v>827425433</v>
      </c>
      <c r="T683" s="50"/>
      <c r="U683" s="51">
        <f t="shared" si="102"/>
        <v>14612407013</v>
      </c>
      <c r="V683" s="51"/>
      <c r="W683" s="51"/>
      <c r="X683" s="51"/>
      <c r="Y683" s="51">
        <v>7574901386</v>
      </c>
      <c r="Z683" s="51">
        <v>386909058</v>
      </c>
      <c r="AA683" s="51">
        <v>902489393</v>
      </c>
      <c r="AB683" s="51"/>
      <c r="AC683" s="51">
        <f t="shared" ref="AC683:AC707" si="112">SUM(U683:AB683)</f>
        <v>23476706850</v>
      </c>
      <c r="AD683" s="51"/>
      <c r="AE683" s="51"/>
      <c r="AF683" s="51"/>
      <c r="AG683" s="51"/>
      <c r="AH683" s="51">
        <v>6966348500</v>
      </c>
      <c r="AI683" s="51">
        <v>539746603</v>
      </c>
      <c r="AJ683" s="51">
        <v>422028973</v>
      </c>
      <c r="AK683" s="51">
        <v>1064239290</v>
      </c>
      <c r="AL683" s="51"/>
      <c r="AM683" s="51">
        <v>3062489252</v>
      </c>
      <c r="AN683" s="51">
        <f>SUBTOTAL(9,AC683:AM683)</f>
        <v>35531559468</v>
      </c>
      <c r="AO683" s="51"/>
      <c r="AP683" s="51"/>
      <c r="AQ683" s="51">
        <v>1016251440</v>
      </c>
      <c r="AR683" s="51"/>
      <c r="AS683" s="51"/>
      <c r="AT683" s="51">
        <v>6966348500</v>
      </c>
      <c r="AU683" s="51"/>
      <c r="AV683" s="51">
        <v>422028973</v>
      </c>
      <c r="AW683" s="51">
        <v>721033874</v>
      </c>
      <c r="AX683" s="51"/>
      <c r="AY683" s="51"/>
      <c r="AZ683" s="51"/>
      <c r="BA683" s="51">
        <f>VLOOKUP(B683,[1]Hoja3!J$3:K$674,2,0)</f>
        <v>66180672</v>
      </c>
      <c r="BB683" s="51">
        <f>VLOOKUP(B683,'[2]anuladas en mayo gratuidad}'!K$2:L$55,2,0)</f>
        <v>75390113</v>
      </c>
      <c r="BC683" s="52">
        <f t="shared" si="105"/>
        <v>44648012814</v>
      </c>
      <c r="BD683" s="51"/>
      <c r="BE683" s="51"/>
      <c r="BF683" s="51">
        <v>203250288</v>
      </c>
      <c r="BG683" s="51"/>
      <c r="BH683" s="51"/>
      <c r="BI683" s="51">
        <v>6668254500</v>
      </c>
      <c r="BJ683" s="51">
        <v>404007500</v>
      </c>
      <c r="BK683" s="51">
        <v>456283360</v>
      </c>
      <c r="BL683" s="51">
        <v>1133908960</v>
      </c>
      <c r="BM683" s="51"/>
      <c r="BN683" s="51"/>
      <c r="BO683" s="51"/>
      <c r="BP683" s="52">
        <v>53513717422</v>
      </c>
      <c r="BQ683" s="52"/>
      <c r="BR683" s="52"/>
      <c r="BS683" s="52">
        <v>203250288</v>
      </c>
      <c r="BT683" s="52"/>
      <c r="BU683" s="52"/>
      <c r="BV683" s="52"/>
      <c r="BW683" s="52">
        <v>6092877256</v>
      </c>
      <c r="BX683" s="52"/>
      <c r="BY683" s="52">
        <v>2650217033</v>
      </c>
      <c r="BZ683" s="52">
        <v>426954355</v>
      </c>
      <c r="CA683" s="52">
        <v>1117075093</v>
      </c>
      <c r="CB683" s="52"/>
      <c r="CC683" s="52"/>
      <c r="CD683" s="52"/>
      <c r="CE683" s="52">
        <v>75390113</v>
      </c>
      <c r="CF683" s="52"/>
      <c r="CG683" s="52">
        <f t="shared" si="106"/>
        <v>64079481560</v>
      </c>
      <c r="CH683" s="52"/>
      <c r="CI683" s="52"/>
      <c r="CJ683" s="52">
        <v>203250288</v>
      </c>
      <c r="CK683" s="52"/>
      <c r="CL683" s="52">
        <v>6086870467</v>
      </c>
      <c r="CM683" s="52">
        <v>2442103</v>
      </c>
      <c r="CN683" s="52">
        <v>425647256</v>
      </c>
      <c r="CO683" s="52">
        <v>775752392</v>
      </c>
      <c r="CP683" s="52"/>
      <c r="CQ683" s="52"/>
      <c r="CR683" s="52"/>
      <c r="CS683" s="52">
        <f t="shared" si="103"/>
        <v>71573444066</v>
      </c>
      <c r="CT683" s="53">
        <v>68444774142</v>
      </c>
      <c r="CU683" s="53">
        <f t="shared" si="104"/>
        <v>3128669924</v>
      </c>
      <c r="CV683" s="54">
        <f t="shared" si="107"/>
        <v>71573444066</v>
      </c>
      <c r="CW683" s="55">
        <f t="shared" si="108"/>
        <v>0</v>
      </c>
      <c r="CX683" s="16"/>
      <c r="CY683" s="16"/>
      <c r="CZ683" s="16"/>
    </row>
    <row r="684" spans="1:108" ht="15" customHeight="1" x14ac:dyDescent="0.2">
      <c r="A684" s="1">
        <v>8922003128</v>
      </c>
      <c r="B684" s="1">
        <v>892200312</v>
      </c>
      <c r="C684" s="9">
        <v>212370523</v>
      </c>
      <c r="D684" s="10" t="s">
        <v>904</v>
      </c>
      <c r="E684" s="42" t="s">
        <v>1917</v>
      </c>
      <c r="F684" s="21"/>
      <c r="G684" s="50"/>
      <c r="H684" s="21"/>
      <c r="I684" s="50"/>
      <c r="J684" s="21"/>
      <c r="K684" s="21"/>
      <c r="L684" s="50"/>
      <c r="M684" s="51"/>
      <c r="N684" s="21"/>
      <c r="O684" s="50"/>
      <c r="P684" s="21"/>
      <c r="Q684" s="50"/>
      <c r="R684" s="21"/>
      <c r="S684" s="21"/>
      <c r="T684" s="50"/>
      <c r="U684" s="51">
        <f t="shared" si="102"/>
        <v>0</v>
      </c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>
        <v>282348719</v>
      </c>
      <c r="AN684" s="51">
        <f>SUBTOTAL(9,AC684:AM684)</f>
        <v>282348719</v>
      </c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>
        <v>185494790</v>
      </c>
      <c r="AZ684" s="51"/>
      <c r="BA684" s="51"/>
      <c r="BB684" s="51"/>
      <c r="BC684" s="52">
        <f t="shared" si="105"/>
        <v>467843509</v>
      </c>
      <c r="BD684" s="51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>
        <v>37098958</v>
      </c>
      <c r="BO684" s="51"/>
      <c r="BP684" s="52">
        <v>504942467</v>
      </c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>
        <v>37098958</v>
      </c>
      <c r="CD684" s="52"/>
      <c r="CE684" s="52"/>
      <c r="CF684" s="52"/>
      <c r="CG684" s="52">
        <f t="shared" si="106"/>
        <v>542041425</v>
      </c>
      <c r="CH684" s="52"/>
      <c r="CI684" s="52"/>
      <c r="CJ684" s="52"/>
      <c r="CK684" s="52"/>
      <c r="CL684" s="52"/>
      <c r="CM684" s="52"/>
      <c r="CN684" s="52"/>
      <c r="CO684" s="52"/>
      <c r="CP684" s="52"/>
      <c r="CQ684" s="52">
        <v>37098958</v>
      </c>
      <c r="CR684" s="52"/>
      <c r="CS684" s="52">
        <f t="shared" si="103"/>
        <v>579140383</v>
      </c>
      <c r="CT684" s="53">
        <v>296791664</v>
      </c>
      <c r="CU684" s="53">
        <f t="shared" si="104"/>
        <v>282348719</v>
      </c>
      <c r="CV684" s="54">
        <f t="shared" si="107"/>
        <v>579140383</v>
      </c>
      <c r="CW684" s="55">
        <f t="shared" si="108"/>
        <v>0</v>
      </c>
      <c r="CX684" s="16"/>
      <c r="CY684" s="16"/>
      <c r="CZ684" s="16"/>
    </row>
    <row r="685" spans="1:108" ht="15" customHeight="1" x14ac:dyDescent="0.2">
      <c r="A685" s="1">
        <v>8090026375</v>
      </c>
      <c r="B685" s="1">
        <v>809002637</v>
      </c>
      <c r="C685" s="9">
        <v>212073520</v>
      </c>
      <c r="D685" s="10" t="s">
        <v>2230</v>
      </c>
      <c r="E685" s="42" t="s">
        <v>1956</v>
      </c>
      <c r="F685" s="21"/>
      <c r="G685" s="50"/>
      <c r="H685" s="21"/>
      <c r="I685" s="50"/>
      <c r="J685" s="21"/>
      <c r="K685" s="21"/>
      <c r="L685" s="50"/>
      <c r="M685" s="51"/>
      <c r="N685" s="21"/>
      <c r="O685" s="50"/>
      <c r="P685" s="21"/>
      <c r="Q685" s="50"/>
      <c r="R685" s="21"/>
      <c r="S685" s="21"/>
      <c r="T685" s="50"/>
      <c r="U685" s="51">
        <f t="shared" si="102"/>
        <v>0</v>
      </c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>
        <v>60253555</v>
      </c>
      <c r="AZ685" s="51"/>
      <c r="BA685" s="51">
        <f>VLOOKUP(B685,[1]Hoja3!J$3:K$674,2,0)</f>
        <v>136144900</v>
      </c>
      <c r="BB685" s="51"/>
      <c r="BC685" s="52">
        <f t="shared" si="105"/>
        <v>196398455</v>
      </c>
      <c r="BD685" s="51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>
        <v>12050711</v>
      </c>
      <c r="BO685" s="51"/>
      <c r="BP685" s="52">
        <v>208449166</v>
      </c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>
        <v>12050711</v>
      </c>
      <c r="CD685" s="52"/>
      <c r="CE685" s="52"/>
      <c r="CF685" s="52"/>
      <c r="CG685" s="52">
        <f t="shared" si="106"/>
        <v>220499877</v>
      </c>
      <c r="CH685" s="52"/>
      <c r="CI685" s="52"/>
      <c r="CJ685" s="52"/>
      <c r="CK685" s="52"/>
      <c r="CL685" s="52"/>
      <c r="CM685" s="52"/>
      <c r="CN685" s="52"/>
      <c r="CO685" s="52"/>
      <c r="CP685" s="52"/>
      <c r="CQ685" s="52">
        <v>12050711</v>
      </c>
      <c r="CR685" s="52"/>
      <c r="CS685" s="52">
        <f t="shared" si="103"/>
        <v>232550588</v>
      </c>
      <c r="CT685" s="53">
        <v>96405688</v>
      </c>
      <c r="CU685" s="53">
        <f t="shared" si="104"/>
        <v>136144900</v>
      </c>
      <c r="CV685" s="54">
        <f t="shared" si="107"/>
        <v>232550588</v>
      </c>
      <c r="CW685" s="55">
        <f t="shared" si="108"/>
        <v>0</v>
      </c>
      <c r="CX685" s="16"/>
      <c r="CY685" s="16"/>
      <c r="CZ685" s="16"/>
    </row>
    <row r="686" spans="1:108" ht="15" customHeight="1" x14ac:dyDescent="0.2">
      <c r="A686" s="1">
        <v>8000076526</v>
      </c>
      <c r="B686" s="1">
        <v>800007652</v>
      </c>
      <c r="C686" s="9">
        <v>211854518</v>
      </c>
      <c r="D686" s="10" t="s">
        <v>775</v>
      </c>
      <c r="E686" s="42" t="s">
        <v>1792</v>
      </c>
      <c r="F686" s="21"/>
      <c r="G686" s="50"/>
      <c r="H686" s="21"/>
      <c r="I686" s="50"/>
      <c r="J686" s="21"/>
      <c r="K686" s="21"/>
      <c r="L686" s="50"/>
      <c r="M686" s="51"/>
      <c r="N686" s="21"/>
      <c r="O686" s="50"/>
      <c r="P686" s="21"/>
      <c r="Q686" s="50"/>
      <c r="R686" s="21"/>
      <c r="S686" s="21"/>
      <c r="T686" s="50"/>
      <c r="U686" s="51">
        <f t="shared" si="102"/>
        <v>0</v>
      </c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>
        <v>465542125</v>
      </c>
      <c r="AN686" s="51">
        <f>SUBTOTAL(9,AC686:AM686)</f>
        <v>465542125</v>
      </c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>
        <v>295657425</v>
      </c>
      <c r="AZ686" s="51"/>
      <c r="BA686" s="51">
        <f>VLOOKUP(B686,[1]Hoja3!J$3:K$674,2,0)</f>
        <v>93343255</v>
      </c>
      <c r="BB686" s="51"/>
      <c r="BC686" s="52">
        <f t="shared" si="105"/>
        <v>854542805</v>
      </c>
      <c r="BD686" s="51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>
        <v>59131485</v>
      </c>
      <c r="BO686" s="51"/>
      <c r="BP686" s="52">
        <v>913674290</v>
      </c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>
        <v>59131485</v>
      </c>
      <c r="CD686" s="52"/>
      <c r="CE686" s="52"/>
      <c r="CF686" s="52"/>
      <c r="CG686" s="52">
        <f t="shared" si="106"/>
        <v>972805775</v>
      </c>
      <c r="CH686" s="52"/>
      <c r="CI686" s="52"/>
      <c r="CJ686" s="52"/>
      <c r="CK686" s="52"/>
      <c r="CL686" s="52"/>
      <c r="CM686" s="52"/>
      <c r="CN686" s="52"/>
      <c r="CO686" s="52"/>
      <c r="CP686" s="52"/>
      <c r="CQ686" s="52">
        <v>59131485</v>
      </c>
      <c r="CR686" s="52"/>
      <c r="CS686" s="52">
        <f t="shared" si="103"/>
        <v>1031937260</v>
      </c>
      <c r="CT686" s="53">
        <v>473051880</v>
      </c>
      <c r="CU686" s="53">
        <f t="shared" si="104"/>
        <v>558885380</v>
      </c>
      <c r="CV686" s="54">
        <f t="shared" si="107"/>
        <v>1031937260</v>
      </c>
      <c r="CW686" s="55">
        <f t="shared" si="108"/>
        <v>0</v>
      </c>
      <c r="CX686" s="16"/>
      <c r="CY686" s="16"/>
      <c r="CZ686" s="16"/>
    </row>
    <row r="687" spans="1:108" ht="15" customHeight="1" x14ac:dyDescent="0.2">
      <c r="A687" s="1">
        <v>8905061168</v>
      </c>
      <c r="B687" s="1">
        <v>890506116</v>
      </c>
      <c r="C687" s="9">
        <v>212054520</v>
      </c>
      <c r="D687" s="10" t="s">
        <v>776</v>
      </c>
      <c r="E687" s="42" t="s">
        <v>1793</v>
      </c>
      <c r="F687" s="21"/>
      <c r="G687" s="50"/>
      <c r="H687" s="21"/>
      <c r="I687" s="50"/>
      <c r="J687" s="21"/>
      <c r="K687" s="21"/>
      <c r="L687" s="50"/>
      <c r="M687" s="51"/>
      <c r="N687" s="21"/>
      <c r="O687" s="50"/>
      <c r="P687" s="21"/>
      <c r="Q687" s="50"/>
      <c r="R687" s="21"/>
      <c r="S687" s="21"/>
      <c r="T687" s="50"/>
      <c r="U687" s="51">
        <f t="shared" si="102"/>
        <v>0</v>
      </c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>
        <v>45118822</v>
      </c>
      <c r="AN687" s="51">
        <f>SUBTOTAL(9,AC687:AM687)</f>
        <v>45118822</v>
      </c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>
        <v>37955275</v>
      </c>
      <c r="AZ687" s="51"/>
      <c r="BA687" s="51">
        <f>VLOOKUP(B687,[1]Hoja3!J$3:K$674,2,0)</f>
        <v>37665089</v>
      </c>
      <c r="BB687" s="51"/>
      <c r="BC687" s="52">
        <f t="shared" si="105"/>
        <v>120739186</v>
      </c>
      <c r="BD687" s="51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>
        <v>7591055</v>
      </c>
      <c r="BO687" s="51"/>
      <c r="BP687" s="52">
        <v>128330241</v>
      </c>
      <c r="BQ687" s="52"/>
      <c r="BR687" s="52"/>
      <c r="BS687" s="52"/>
      <c r="BT687" s="52"/>
      <c r="BU687" s="52"/>
      <c r="BV687" s="52"/>
      <c r="BW687" s="52"/>
      <c r="BX687" s="52"/>
      <c r="BY687" s="52"/>
      <c r="BZ687" s="52"/>
      <c r="CA687" s="52"/>
      <c r="CB687" s="52"/>
      <c r="CC687" s="52">
        <v>7591055</v>
      </c>
      <c r="CD687" s="52"/>
      <c r="CE687" s="52"/>
      <c r="CF687" s="52"/>
      <c r="CG687" s="52">
        <f t="shared" si="106"/>
        <v>135921296</v>
      </c>
      <c r="CH687" s="52"/>
      <c r="CI687" s="52"/>
      <c r="CJ687" s="52"/>
      <c r="CK687" s="52"/>
      <c r="CL687" s="52"/>
      <c r="CM687" s="52"/>
      <c r="CN687" s="52"/>
      <c r="CO687" s="52"/>
      <c r="CP687" s="52"/>
      <c r="CQ687" s="52">
        <v>7591055</v>
      </c>
      <c r="CR687" s="52"/>
      <c r="CS687" s="52">
        <f t="shared" si="103"/>
        <v>143512351</v>
      </c>
      <c r="CT687" s="53">
        <v>60728440</v>
      </c>
      <c r="CU687" s="53">
        <f t="shared" si="104"/>
        <v>82783911</v>
      </c>
      <c r="CV687" s="54">
        <f t="shared" si="107"/>
        <v>143512351</v>
      </c>
      <c r="CW687" s="55">
        <f t="shared" si="108"/>
        <v>0</v>
      </c>
      <c r="CX687" s="16"/>
      <c r="CY687" s="8"/>
      <c r="CZ687" s="8"/>
      <c r="DA687" s="8"/>
      <c r="DB687" s="8"/>
      <c r="DC687" s="8"/>
      <c r="DD687" s="8"/>
    </row>
    <row r="688" spans="1:108" ht="15" customHeight="1" x14ac:dyDescent="0.2">
      <c r="A688" s="1">
        <v>8906801731</v>
      </c>
      <c r="B688" s="1">
        <v>890680173</v>
      </c>
      <c r="C688" s="9">
        <v>212425524</v>
      </c>
      <c r="D688" s="10" t="s">
        <v>521</v>
      </c>
      <c r="E688" s="42" t="s">
        <v>1547</v>
      </c>
      <c r="F688" s="21"/>
      <c r="G688" s="50"/>
      <c r="H688" s="21"/>
      <c r="I688" s="50"/>
      <c r="J688" s="21"/>
      <c r="K688" s="21"/>
      <c r="L688" s="50"/>
      <c r="M688" s="51"/>
      <c r="N688" s="21"/>
      <c r="O688" s="50"/>
      <c r="P688" s="21"/>
      <c r="Q688" s="50"/>
      <c r="R688" s="21"/>
      <c r="S688" s="21"/>
      <c r="T688" s="50"/>
      <c r="U688" s="51">
        <f t="shared" si="102"/>
        <v>0</v>
      </c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>
        <v>68521380</v>
      </c>
      <c r="AN688" s="51">
        <f>SUBTOTAL(9,AC688:AM688)</f>
        <v>68521380</v>
      </c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>
        <v>36800890</v>
      </c>
      <c r="AZ688" s="51"/>
      <c r="BA688" s="51"/>
      <c r="BB688" s="51"/>
      <c r="BC688" s="52">
        <f t="shared" si="105"/>
        <v>105322270</v>
      </c>
      <c r="BD688" s="51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>
        <v>7360178</v>
      </c>
      <c r="BO688" s="51"/>
      <c r="BP688" s="52">
        <v>112682448</v>
      </c>
      <c r="BQ688" s="52"/>
      <c r="BR688" s="52"/>
      <c r="BS688" s="52"/>
      <c r="BT688" s="52"/>
      <c r="BU688" s="52"/>
      <c r="BV688" s="52"/>
      <c r="BW688" s="52"/>
      <c r="BX688" s="52"/>
      <c r="BY688" s="52"/>
      <c r="BZ688" s="52"/>
      <c r="CA688" s="52"/>
      <c r="CB688" s="52"/>
      <c r="CC688" s="52">
        <v>7360178</v>
      </c>
      <c r="CD688" s="52"/>
      <c r="CE688" s="52"/>
      <c r="CF688" s="52"/>
      <c r="CG688" s="52">
        <f t="shared" si="106"/>
        <v>120042626</v>
      </c>
      <c r="CH688" s="52"/>
      <c r="CI688" s="52"/>
      <c r="CJ688" s="52"/>
      <c r="CK688" s="52"/>
      <c r="CL688" s="52"/>
      <c r="CM688" s="52"/>
      <c r="CN688" s="52"/>
      <c r="CO688" s="52"/>
      <c r="CP688" s="52"/>
      <c r="CQ688" s="52">
        <v>7360178</v>
      </c>
      <c r="CR688" s="52"/>
      <c r="CS688" s="52">
        <f t="shared" si="103"/>
        <v>127402804</v>
      </c>
      <c r="CT688" s="53">
        <v>58881424</v>
      </c>
      <c r="CU688" s="53">
        <f t="shared" si="104"/>
        <v>68521380</v>
      </c>
      <c r="CV688" s="54">
        <f t="shared" si="107"/>
        <v>127402804</v>
      </c>
      <c r="CW688" s="55">
        <f t="shared" si="108"/>
        <v>0</v>
      </c>
      <c r="CX688" s="16"/>
      <c r="CY688" s="16"/>
      <c r="CZ688" s="16"/>
    </row>
    <row r="689" spans="1:108" ht="15" customHeight="1" x14ac:dyDescent="0.2">
      <c r="A689" s="1">
        <v>8000126289</v>
      </c>
      <c r="B689" s="1">
        <v>800012628</v>
      </c>
      <c r="C689" s="9">
        <v>212215522</v>
      </c>
      <c r="D689" s="10" t="s">
        <v>282</v>
      </c>
      <c r="E689" s="42" t="s">
        <v>1315</v>
      </c>
      <c r="F689" s="21"/>
      <c r="G689" s="50"/>
      <c r="H689" s="21"/>
      <c r="I689" s="50"/>
      <c r="J689" s="21"/>
      <c r="K689" s="21"/>
      <c r="L689" s="50"/>
      <c r="M689" s="51"/>
      <c r="N689" s="21"/>
      <c r="O689" s="50"/>
      <c r="P689" s="21"/>
      <c r="Q689" s="50"/>
      <c r="R689" s="21"/>
      <c r="S689" s="21"/>
      <c r="T689" s="50"/>
      <c r="U689" s="51">
        <f t="shared" si="102"/>
        <v>0</v>
      </c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>
        <v>14765465</v>
      </c>
      <c r="AZ689" s="51"/>
      <c r="BA689" s="51">
        <f>VLOOKUP(B689,[1]Hoja3!J$3:K$674,2,0)</f>
        <v>29151559</v>
      </c>
      <c r="BB689" s="51"/>
      <c r="BC689" s="52">
        <f t="shared" si="105"/>
        <v>43917024</v>
      </c>
      <c r="BD689" s="51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>
        <v>2953093</v>
      </c>
      <c r="BO689" s="51"/>
      <c r="BP689" s="52">
        <v>46870117</v>
      </c>
      <c r="BQ689" s="52"/>
      <c r="BR689" s="52"/>
      <c r="BS689" s="52"/>
      <c r="BT689" s="52"/>
      <c r="BU689" s="52"/>
      <c r="BV689" s="52"/>
      <c r="BW689" s="52"/>
      <c r="BX689" s="52"/>
      <c r="BY689" s="52"/>
      <c r="BZ689" s="52"/>
      <c r="CA689" s="52"/>
      <c r="CB689" s="52"/>
      <c r="CC689" s="52">
        <v>2953093</v>
      </c>
      <c r="CD689" s="52"/>
      <c r="CE689" s="52"/>
      <c r="CF689" s="52"/>
      <c r="CG689" s="52">
        <f t="shared" si="106"/>
        <v>49823210</v>
      </c>
      <c r="CH689" s="52"/>
      <c r="CI689" s="52"/>
      <c r="CJ689" s="52"/>
      <c r="CK689" s="52"/>
      <c r="CL689" s="52"/>
      <c r="CM689" s="52"/>
      <c r="CN689" s="52"/>
      <c r="CO689" s="52"/>
      <c r="CP689" s="52"/>
      <c r="CQ689" s="52">
        <v>2953093</v>
      </c>
      <c r="CR689" s="52"/>
      <c r="CS689" s="52">
        <f t="shared" si="103"/>
        <v>52776303</v>
      </c>
      <c r="CT689" s="53">
        <v>23624744</v>
      </c>
      <c r="CU689" s="53">
        <f t="shared" si="104"/>
        <v>29151559</v>
      </c>
      <c r="CV689" s="54">
        <f t="shared" si="107"/>
        <v>52776303</v>
      </c>
      <c r="CW689" s="55">
        <f t="shared" si="108"/>
        <v>0</v>
      </c>
      <c r="CX689" s="16"/>
      <c r="CY689" s="8"/>
      <c r="CZ689" s="8"/>
      <c r="DA689" s="8"/>
      <c r="DB689" s="8"/>
      <c r="DC689" s="8"/>
      <c r="DD689" s="8"/>
    </row>
    <row r="690" spans="1:108" ht="15" customHeight="1" x14ac:dyDescent="0.2">
      <c r="A690" s="1">
        <v>8000998192</v>
      </c>
      <c r="B690" s="1">
        <v>800099819</v>
      </c>
      <c r="C690" s="9">
        <v>213368533</v>
      </c>
      <c r="D690" s="10" t="s">
        <v>865</v>
      </c>
      <c r="E690" s="42" t="s">
        <v>1878</v>
      </c>
      <c r="F690" s="21"/>
      <c r="G690" s="50"/>
      <c r="H690" s="21"/>
      <c r="I690" s="50"/>
      <c r="J690" s="21"/>
      <c r="K690" s="21"/>
      <c r="L690" s="50"/>
      <c r="M690" s="51"/>
      <c r="N690" s="21"/>
      <c r="O690" s="50"/>
      <c r="P690" s="21"/>
      <c r="Q690" s="50"/>
      <c r="R690" s="21"/>
      <c r="S690" s="21"/>
      <c r="T690" s="50"/>
      <c r="U690" s="51">
        <f t="shared" si="102"/>
        <v>0</v>
      </c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>
        <v>65522676</v>
      </c>
      <c r="AN690" s="51">
        <f>SUBTOTAL(9,AC690:AM690)</f>
        <v>65522676</v>
      </c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>
        <v>21570755</v>
      </c>
      <c r="AZ690" s="51"/>
      <c r="BA690" s="51"/>
      <c r="BB690" s="51"/>
      <c r="BC690" s="52">
        <f t="shared" si="105"/>
        <v>87093431</v>
      </c>
      <c r="BD690" s="51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>
        <v>4314151</v>
      </c>
      <c r="BO690" s="51"/>
      <c r="BP690" s="52">
        <v>91407582</v>
      </c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>
        <v>4314151</v>
      </c>
      <c r="CD690" s="52"/>
      <c r="CE690" s="52"/>
      <c r="CF690" s="52"/>
      <c r="CG690" s="52">
        <f t="shared" si="106"/>
        <v>95721733</v>
      </c>
      <c r="CH690" s="52"/>
      <c r="CI690" s="52"/>
      <c r="CJ690" s="52"/>
      <c r="CK690" s="52"/>
      <c r="CL690" s="52"/>
      <c r="CM690" s="52"/>
      <c r="CN690" s="52"/>
      <c r="CO690" s="52"/>
      <c r="CP690" s="52"/>
      <c r="CQ690" s="52">
        <v>4314151</v>
      </c>
      <c r="CR690" s="52"/>
      <c r="CS690" s="52">
        <f t="shared" si="103"/>
        <v>100035884</v>
      </c>
      <c r="CT690" s="53">
        <v>34513208</v>
      </c>
      <c r="CU690" s="53">
        <f t="shared" si="104"/>
        <v>65522676</v>
      </c>
      <c r="CV690" s="54">
        <f t="shared" si="107"/>
        <v>100035884</v>
      </c>
      <c r="CW690" s="55">
        <f t="shared" si="108"/>
        <v>0</v>
      </c>
      <c r="CX690" s="16"/>
      <c r="CY690" s="16"/>
      <c r="CZ690" s="16"/>
    </row>
    <row r="691" spans="1:108" ht="15" customHeight="1" x14ac:dyDescent="0.2">
      <c r="A691" s="1">
        <v>8000741205</v>
      </c>
      <c r="B691" s="1">
        <v>800074120</v>
      </c>
      <c r="C691" s="9">
        <v>213025530</v>
      </c>
      <c r="D691" s="10" t="s">
        <v>522</v>
      </c>
      <c r="E691" s="42" t="s">
        <v>1548</v>
      </c>
      <c r="F691" s="21"/>
      <c r="G691" s="50"/>
      <c r="H691" s="21"/>
      <c r="I691" s="50"/>
      <c r="J691" s="21"/>
      <c r="K691" s="21"/>
      <c r="L691" s="50"/>
      <c r="M691" s="51"/>
      <c r="N691" s="21"/>
      <c r="O691" s="50"/>
      <c r="P691" s="21"/>
      <c r="Q691" s="50"/>
      <c r="R691" s="21"/>
      <c r="S691" s="21"/>
      <c r="T691" s="50"/>
      <c r="U691" s="51">
        <f t="shared" si="102"/>
        <v>0</v>
      </c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>
        <v>170950761</v>
      </c>
      <c r="AN691" s="51">
        <f>SUBTOTAL(9,AC691:AM691)</f>
        <v>170950761</v>
      </c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>
        <v>60383115</v>
      </c>
      <c r="AZ691" s="51"/>
      <c r="BA691" s="51"/>
      <c r="BB691" s="51"/>
      <c r="BC691" s="52">
        <f t="shared" si="105"/>
        <v>231333876</v>
      </c>
      <c r="BD691" s="51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>
        <v>12076623</v>
      </c>
      <c r="BO691" s="51"/>
      <c r="BP691" s="52">
        <v>243410499</v>
      </c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>
        <v>12076623</v>
      </c>
      <c r="CD691" s="52"/>
      <c r="CE691" s="52"/>
      <c r="CF691" s="52"/>
      <c r="CG691" s="52">
        <f t="shared" si="106"/>
        <v>255487122</v>
      </c>
      <c r="CH691" s="52"/>
      <c r="CI691" s="52"/>
      <c r="CJ691" s="52"/>
      <c r="CK691" s="52"/>
      <c r="CL691" s="52"/>
      <c r="CM691" s="52"/>
      <c r="CN691" s="52"/>
      <c r="CO691" s="52"/>
      <c r="CP691" s="52"/>
      <c r="CQ691" s="52">
        <v>12076623</v>
      </c>
      <c r="CR691" s="52"/>
      <c r="CS691" s="52">
        <f t="shared" si="103"/>
        <v>267563745</v>
      </c>
      <c r="CT691" s="53">
        <v>96612984</v>
      </c>
      <c r="CU691" s="53">
        <f t="shared" si="104"/>
        <v>170950761</v>
      </c>
      <c r="CV691" s="54">
        <f t="shared" si="107"/>
        <v>267563745</v>
      </c>
      <c r="CW691" s="55">
        <f t="shared" si="108"/>
        <v>0</v>
      </c>
      <c r="CX691" s="16"/>
      <c r="CY691" s="16"/>
      <c r="CZ691" s="16"/>
    </row>
    <row r="692" spans="1:108" ht="15" customHeight="1" x14ac:dyDescent="0.2">
      <c r="A692" s="1">
        <v>8906801541</v>
      </c>
      <c r="B692" s="1">
        <v>890680154</v>
      </c>
      <c r="C692" s="9">
        <v>213525535</v>
      </c>
      <c r="D692" s="10" t="s">
        <v>523</v>
      </c>
      <c r="E692" s="42" t="s">
        <v>1549</v>
      </c>
      <c r="F692" s="21"/>
      <c r="G692" s="50"/>
      <c r="H692" s="21"/>
      <c r="I692" s="50"/>
      <c r="J692" s="21"/>
      <c r="K692" s="21"/>
      <c r="L692" s="50"/>
      <c r="M692" s="51"/>
      <c r="N692" s="21"/>
      <c r="O692" s="50"/>
      <c r="P692" s="21"/>
      <c r="Q692" s="50"/>
      <c r="R692" s="21"/>
      <c r="S692" s="21"/>
      <c r="T692" s="50"/>
      <c r="U692" s="51">
        <f t="shared" si="102"/>
        <v>0</v>
      </c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>
        <v>181528535</v>
      </c>
      <c r="AN692" s="51">
        <f>SUBTOTAL(9,AC692:AM692)</f>
        <v>181528535</v>
      </c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>
        <v>88232765</v>
      </c>
      <c r="AZ692" s="51"/>
      <c r="BA692" s="51"/>
      <c r="BB692" s="51"/>
      <c r="BC692" s="52">
        <f t="shared" si="105"/>
        <v>269761300</v>
      </c>
      <c r="BD692" s="51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>
        <v>17646553</v>
      </c>
      <c r="BO692" s="51"/>
      <c r="BP692" s="52">
        <v>287407853</v>
      </c>
      <c r="BQ692" s="52"/>
      <c r="BR692" s="52"/>
      <c r="BS692" s="52"/>
      <c r="BT692" s="52"/>
      <c r="BU692" s="52"/>
      <c r="BV692" s="52"/>
      <c r="BW692" s="52"/>
      <c r="BX692" s="52"/>
      <c r="BY692" s="52"/>
      <c r="BZ692" s="52"/>
      <c r="CA692" s="52"/>
      <c r="CB692" s="52"/>
      <c r="CC692" s="52">
        <v>17646553</v>
      </c>
      <c r="CD692" s="52"/>
      <c r="CE692" s="52"/>
      <c r="CF692" s="52"/>
      <c r="CG692" s="52">
        <f t="shared" si="106"/>
        <v>305054406</v>
      </c>
      <c r="CH692" s="52"/>
      <c r="CI692" s="52"/>
      <c r="CJ692" s="52"/>
      <c r="CK692" s="52"/>
      <c r="CL692" s="52"/>
      <c r="CM692" s="52"/>
      <c r="CN692" s="52"/>
      <c r="CO692" s="52"/>
      <c r="CP692" s="52"/>
      <c r="CQ692" s="52">
        <v>17646553</v>
      </c>
      <c r="CR692" s="52"/>
      <c r="CS692" s="52">
        <f t="shared" si="103"/>
        <v>322700959</v>
      </c>
      <c r="CT692" s="53">
        <v>141172424</v>
      </c>
      <c r="CU692" s="53">
        <f t="shared" si="104"/>
        <v>181528535</v>
      </c>
      <c r="CV692" s="54">
        <f t="shared" si="107"/>
        <v>322700959</v>
      </c>
      <c r="CW692" s="55">
        <f t="shared" si="108"/>
        <v>0</v>
      </c>
      <c r="CX692" s="16"/>
      <c r="CY692" s="16"/>
      <c r="CZ692" s="16"/>
    </row>
    <row r="693" spans="1:108" ht="15" customHeight="1" x14ac:dyDescent="0.2">
      <c r="A693" s="1">
        <v>8912800003</v>
      </c>
      <c r="B693" s="1">
        <v>891280000</v>
      </c>
      <c r="C693" s="9">
        <v>210152001</v>
      </c>
      <c r="D693" s="10" t="s">
        <v>2180</v>
      </c>
      <c r="E693" s="43" t="s">
        <v>1053</v>
      </c>
      <c r="F693" s="21"/>
      <c r="G693" s="50"/>
      <c r="H693" s="21"/>
      <c r="I693" s="57">
        <f>10455417641+339545569</f>
        <v>10794963210</v>
      </c>
      <c r="J693" s="21">
        <v>706971757</v>
      </c>
      <c r="K693" s="21">
        <v>1407608905</v>
      </c>
      <c r="L693" s="50"/>
      <c r="M693" s="52">
        <f>SUM(F693:L693)</f>
        <v>12909543872</v>
      </c>
      <c r="N693" s="21"/>
      <c r="O693" s="50"/>
      <c r="P693" s="21"/>
      <c r="Q693" s="50">
        <f>9909954592+154338895</f>
        <v>10064293487</v>
      </c>
      <c r="R693" s="21">
        <v>706971757</v>
      </c>
      <c r="S693" s="21">
        <f>700637148+706971757</f>
        <v>1407608905</v>
      </c>
      <c r="T693" s="50"/>
      <c r="U693" s="51">
        <f t="shared" si="102"/>
        <v>25088418021</v>
      </c>
      <c r="V693" s="51"/>
      <c r="W693" s="51"/>
      <c r="X693" s="51"/>
      <c r="Y693" s="51">
        <v>17793449635</v>
      </c>
      <c r="Z693" s="51">
        <v>733343707</v>
      </c>
      <c r="AA693" s="51">
        <v>1666145270</v>
      </c>
      <c r="AB693" s="51"/>
      <c r="AC693" s="51">
        <f t="shared" si="112"/>
        <v>45281356633</v>
      </c>
      <c r="AD693" s="51"/>
      <c r="AE693" s="51"/>
      <c r="AF693" s="51"/>
      <c r="AG693" s="51"/>
      <c r="AH693" s="51">
        <v>10675344804</v>
      </c>
      <c r="AI693" s="51">
        <v>1395406373</v>
      </c>
      <c r="AJ693" s="51">
        <v>738151242</v>
      </c>
      <c r="AK693" s="51">
        <v>1859696997</v>
      </c>
      <c r="AL693" s="51"/>
      <c r="AM693" s="51">
        <v>3055277401</v>
      </c>
      <c r="AN693" s="51">
        <f>SUBTOTAL(9,AC693:AM693)</f>
        <v>63005233450</v>
      </c>
      <c r="AO693" s="51"/>
      <c r="AP693" s="51"/>
      <c r="AQ693" s="51">
        <v>1501340580</v>
      </c>
      <c r="AR693" s="51"/>
      <c r="AS693" s="51"/>
      <c r="AT693" s="51">
        <v>10675344804</v>
      </c>
      <c r="AU693" s="51"/>
      <c r="AV693" s="51">
        <v>738151242</v>
      </c>
      <c r="AW693" s="51">
        <v>1259441977</v>
      </c>
      <c r="AX693" s="51"/>
      <c r="AY693" s="51"/>
      <c r="AZ693" s="51"/>
      <c r="BA693" s="51">
        <f>VLOOKUP(B693,[1]Hoja3!J$3:K$674,2,0)</f>
        <v>401735692</v>
      </c>
      <c r="BB693" s="51"/>
      <c r="BC693" s="52">
        <f t="shared" si="105"/>
        <v>77581247745</v>
      </c>
      <c r="BD693" s="51"/>
      <c r="BE693" s="51"/>
      <c r="BF693" s="51">
        <v>300268116</v>
      </c>
      <c r="BG693" s="51"/>
      <c r="BH693" s="51"/>
      <c r="BI693" s="51">
        <v>10658960386</v>
      </c>
      <c r="BJ693" s="51">
        <v>178190607</v>
      </c>
      <c r="BK693" s="51">
        <v>721448731</v>
      </c>
      <c r="BL693" s="51">
        <v>1839964022</v>
      </c>
      <c r="BM693" s="51"/>
      <c r="BN693" s="51"/>
      <c r="BO693" s="51"/>
      <c r="BP693" s="52">
        <v>91280079607</v>
      </c>
      <c r="BQ693" s="52"/>
      <c r="BR693" s="52"/>
      <c r="BS693" s="52">
        <v>300268116</v>
      </c>
      <c r="BT693" s="52"/>
      <c r="BU693" s="52"/>
      <c r="BV693" s="52"/>
      <c r="BW693" s="52">
        <v>11048647214</v>
      </c>
      <c r="BX693" s="52"/>
      <c r="BY693" s="52">
        <v>4996469109</v>
      </c>
      <c r="BZ693" s="52">
        <v>729002509</v>
      </c>
      <c r="CA693" s="52">
        <v>1943556229</v>
      </c>
      <c r="CB693" s="52"/>
      <c r="CC693" s="52"/>
      <c r="CD693" s="52"/>
      <c r="CE693" s="52"/>
      <c r="CF693" s="52"/>
      <c r="CG693" s="52">
        <f t="shared" si="106"/>
        <v>110298022784</v>
      </c>
      <c r="CH693" s="52"/>
      <c r="CI693" s="52"/>
      <c r="CJ693" s="52">
        <v>300268116</v>
      </c>
      <c r="CK693" s="52"/>
      <c r="CL693" s="52">
        <v>10829123770</v>
      </c>
      <c r="CM693" s="52">
        <v>367940891</v>
      </c>
      <c r="CN693" s="52">
        <v>736701339</v>
      </c>
      <c r="CO693" s="52">
        <v>1336453889</v>
      </c>
      <c r="CP693" s="52"/>
      <c r="CQ693" s="52"/>
      <c r="CR693" s="52"/>
      <c r="CS693" s="52">
        <f t="shared" si="103"/>
        <v>123868510789</v>
      </c>
      <c r="CT693" s="53">
        <v>120411497696</v>
      </c>
      <c r="CU693" s="53">
        <f t="shared" si="104"/>
        <v>3457013093</v>
      </c>
      <c r="CV693" s="54">
        <f t="shared" si="107"/>
        <v>123868510789</v>
      </c>
      <c r="CW693" s="55">
        <f t="shared" si="108"/>
        <v>0</v>
      </c>
      <c r="CX693" s="16"/>
      <c r="CY693" s="16"/>
      <c r="CZ693" s="16"/>
    </row>
    <row r="694" spans="1:108" ht="15" customHeight="1" x14ac:dyDescent="0.2">
      <c r="A694" s="1">
        <v>8915021948</v>
      </c>
      <c r="B694" s="1">
        <v>891502194</v>
      </c>
      <c r="C694" s="9">
        <v>213219532</v>
      </c>
      <c r="D694" s="10" t="s">
        <v>396</v>
      </c>
      <c r="E694" s="42" t="s">
        <v>1425</v>
      </c>
      <c r="F694" s="21"/>
      <c r="G694" s="50"/>
      <c r="H694" s="21"/>
      <c r="I694" s="50"/>
      <c r="J694" s="21"/>
      <c r="K694" s="21"/>
      <c r="L694" s="50"/>
      <c r="M694" s="51"/>
      <c r="N694" s="21"/>
      <c r="O694" s="50"/>
      <c r="P694" s="21"/>
      <c r="Q694" s="50"/>
      <c r="R694" s="21"/>
      <c r="S694" s="21"/>
      <c r="T694" s="50"/>
      <c r="U694" s="51">
        <f t="shared" si="102"/>
        <v>0</v>
      </c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>
        <v>21156569</v>
      </c>
      <c r="AN694" s="51">
        <f>SUBTOTAL(9,AC694:AM694)</f>
        <v>21156569</v>
      </c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>
        <v>233793590</v>
      </c>
      <c r="AZ694" s="51"/>
      <c r="BA694" s="51">
        <f>VLOOKUP(B694,[1]Hoja3!J$3:K$674,2,0)</f>
        <v>454918575</v>
      </c>
      <c r="BB694" s="51"/>
      <c r="BC694" s="52">
        <f t="shared" si="105"/>
        <v>709868734</v>
      </c>
      <c r="BD694" s="51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>
        <v>46758718</v>
      </c>
      <c r="BO694" s="51"/>
      <c r="BP694" s="52">
        <v>756627452</v>
      </c>
      <c r="BQ694" s="52"/>
      <c r="BR694" s="52"/>
      <c r="BS694" s="52"/>
      <c r="BT694" s="52"/>
      <c r="BU694" s="52"/>
      <c r="BV694" s="52"/>
      <c r="BW694" s="52"/>
      <c r="BX694" s="52"/>
      <c r="BY694" s="52"/>
      <c r="BZ694" s="52"/>
      <c r="CA694" s="52"/>
      <c r="CB694" s="52"/>
      <c r="CC694" s="52">
        <v>46758718</v>
      </c>
      <c r="CD694" s="52"/>
      <c r="CE694" s="52"/>
      <c r="CF694" s="52"/>
      <c r="CG694" s="52">
        <f t="shared" si="106"/>
        <v>803386170</v>
      </c>
      <c r="CH694" s="52"/>
      <c r="CI694" s="52"/>
      <c r="CJ694" s="52"/>
      <c r="CK694" s="52"/>
      <c r="CL694" s="52"/>
      <c r="CM694" s="52"/>
      <c r="CN694" s="52"/>
      <c r="CO694" s="52"/>
      <c r="CP694" s="52"/>
      <c r="CQ694" s="52">
        <v>46758718</v>
      </c>
      <c r="CR694" s="52"/>
      <c r="CS694" s="52">
        <f t="shared" si="103"/>
        <v>850144888</v>
      </c>
      <c r="CT694" s="53">
        <v>374069744</v>
      </c>
      <c r="CU694" s="53">
        <f t="shared" si="104"/>
        <v>476075144</v>
      </c>
      <c r="CV694" s="54">
        <f t="shared" si="107"/>
        <v>850144888</v>
      </c>
      <c r="CW694" s="55">
        <f t="shared" si="108"/>
        <v>0</v>
      </c>
      <c r="CX694" s="16"/>
      <c r="CY694" s="16"/>
      <c r="CZ694" s="16"/>
    </row>
    <row r="695" spans="1:108" ht="15" customHeight="1" x14ac:dyDescent="0.2">
      <c r="A695" s="1">
        <v>8918013685</v>
      </c>
      <c r="B695" s="1">
        <v>891801368</v>
      </c>
      <c r="C695" s="9">
        <v>213115531</v>
      </c>
      <c r="D695" s="10" t="s">
        <v>283</v>
      </c>
      <c r="E695" s="42" t="s">
        <v>1254</v>
      </c>
      <c r="F695" s="21"/>
      <c r="G695" s="50"/>
      <c r="H695" s="21"/>
      <c r="I695" s="50"/>
      <c r="J695" s="21"/>
      <c r="K695" s="21"/>
      <c r="L695" s="50"/>
      <c r="M695" s="51"/>
      <c r="N695" s="21"/>
      <c r="O695" s="50"/>
      <c r="P695" s="21"/>
      <c r="Q695" s="50"/>
      <c r="R695" s="21"/>
      <c r="S695" s="21"/>
      <c r="T695" s="50"/>
      <c r="U695" s="51">
        <f t="shared" si="102"/>
        <v>0</v>
      </c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>
        <v>70533710</v>
      </c>
      <c r="AZ695" s="51"/>
      <c r="BA695" s="51">
        <f>VLOOKUP(B695,[1]Hoja3!J$3:K$674,2,0)</f>
        <v>127842999</v>
      </c>
      <c r="BB695" s="51"/>
      <c r="BC695" s="52">
        <f t="shared" si="105"/>
        <v>198376709</v>
      </c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>
        <v>14106742</v>
      </c>
      <c r="BO695" s="51"/>
      <c r="BP695" s="52">
        <v>212483451</v>
      </c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>
        <v>14106742</v>
      </c>
      <c r="CD695" s="52"/>
      <c r="CE695" s="52"/>
      <c r="CF695" s="52"/>
      <c r="CG695" s="52">
        <f t="shared" si="106"/>
        <v>226590193</v>
      </c>
      <c r="CH695" s="52"/>
      <c r="CI695" s="52"/>
      <c r="CJ695" s="52"/>
      <c r="CK695" s="52"/>
      <c r="CL695" s="52"/>
      <c r="CM695" s="52"/>
      <c r="CN695" s="52"/>
      <c r="CO695" s="52"/>
      <c r="CP695" s="52"/>
      <c r="CQ695" s="52">
        <v>14106742</v>
      </c>
      <c r="CR695" s="52"/>
      <c r="CS695" s="52">
        <f t="shared" si="103"/>
        <v>240696935</v>
      </c>
      <c r="CT695" s="53">
        <v>112853936</v>
      </c>
      <c r="CU695" s="53">
        <f t="shared" si="104"/>
        <v>127842999</v>
      </c>
      <c r="CV695" s="54">
        <f t="shared" si="107"/>
        <v>240696935</v>
      </c>
      <c r="CW695" s="55">
        <f t="shared" si="108"/>
        <v>0</v>
      </c>
      <c r="CX695" s="16"/>
      <c r="CY695" s="8"/>
      <c r="CZ695" s="8"/>
      <c r="DA695" s="8"/>
      <c r="DB695" s="8"/>
      <c r="DC695" s="8"/>
      <c r="DD695" s="8"/>
    </row>
    <row r="696" spans="1:108" ht="15" customHeight="1" x14ac:dyDescent="0.2">
      <c r="A696" s="1">
        <v>8000654115</v>
      </c>
      <c r="B696" s="1">
        <v>800065411</v>
      </c>
      <c r="C696" s="9">
        <v>213315533</v>
      </c>
      <c r="D696" s="10" t="s">
        <v>284</v>
      </c>
      <c r="E696" s="42" t="s">
        <v>1316</v>
      </c>
      <c r="F696" s="21"/>
      <c r="G696" s="50"/>
      <c r="H696" s="21"/>
      <c r="I696" s="50"/>
      <c r="J696" s="21"/>
      <c r="K696" s="21"/>
      <c r="L696" s="50"/>
      <c r="M696" s="51"/>
      <c r="N696" s="21"/>
      <c r="O696" s="50"/>
      <c r="P696" s="21"/>
      <c r="Q696" s="50"/>
      <c r="R696" s="21"/>
      <c r="S696" s="21"/>
      <c r="T696" s="50"/>
      <c r="U696" s="51">
        <f t="shared" si="102"/>
        <v>0</v>
      </c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>
        <v>27545630</v>
      </c>
      <c r="AN696" s="51">
        <f>SUBTOTAL(9,AC696:AM696)</f>
        <v>27545630</v>
      </c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>
        <v>29611195</v>
      </c>
      <c r="AZ696" s="51"/>
      <c r="BA696" s="51">
        <f>VLOOKUP(B696,[1]Hoja3!J$3:K$674,2,0)</f>
        <v>18229699</v>
      </c>
      <c r="BB696" s="51"/>
      <c r="BC696" s="52">
        <f t="shared" si="105"/>
        <v>75386524</v>
      </c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>
        <v>5922239</v>
      </c>
      <c r="BO696" s="51"/>
      <c r="BP696" s="52">
        <v>81308763</v>
      </c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>
        <v>5922239</v>
      </c>
      <c r="CD696" s="52"/>
      <c r="CE696" s="52"/>
      <c r="CF696" s="52"/>
      <c r="CG696" s="52">
        <f t="shared" si="106"/>
        <v>87231002</v>
      </c>
      <c r="CH696" s="52"/>
      <c r="CI696" s="52"/>
      <c r="CJ696" s="52"/>
      <c r="CK696" s="52"/>
      <c r="CL696" s="52"/>
      <c r="CM696" s="52"/>
      <c r="CN696" s="52"/>
      <c r="CO696" s="52"/>
      <c r="CP696" s="52"/>
      <c r="CQ696" s="52">
        <v>5922239</v>
      </c>
      <c r="CR696" s="52"/>
      <c r="CS696" s="52">
        <f t="shared" si="103"/>
        <v>93153241</v>
      </c>
      <c r="CT696" s="53">
        <v>47377912</v>
      </c>
      <c r="CU696" s="53">
        <f t="shared" si="104"/>
        <v>45775329</v>
      </c>
      <c r="CV696" s="54">
        <f t="shared" si="107"/>
        <v>93153241</v>
      </c>
      <c r="CW696" s="55">
        <f t="shared" si="108"/>
        <v>0</v>
      </c>
      <c r="CX696" s="16"/>
      <c r="CY696" s="8"/>
      <c r="CZ696" s="8"/>
      <c r="DA696" s="8"/>
      <c r="DB696" s="8"/>
      <c r="DC696" s="8"/>
      <c r="DD696" s="8"/>
    </row>
    <row r="697" spans="1:108" ht="15" customHeight="1" x14ac:dyDescent="0.2">
      <c r="A697" s="1">
        <v>8001036598</v>
      </c>
      <c r="B697" s="1">
        <v>800103659</v>
      </c>
      <c r="C697" s="9">
        <v>215085250</v>
      </c>
      <c r="D697" s="10" t="s">
        <v>964</v>
      </c>
      <c r="E697" s="42" t="s">
        <v>2024</v>
      </c>
      <c r="F697" s="21"/>
      <c r="G697" s="50"/>
      <c r="H697" s="21"/>
      <c r="I697" s="50"/>
      <c r="J697" s="21"/>
      <c r="K697" s="21"/>
      <c r="L697" s="50"/>
      <c r="M697" s="51"/>
      <c r="N697" s="21"/>
      <c r="O697" s="50"/>
      <c r="P697" s="21"/>
      <c r="Q697" s="50"/>
      <c r="R697" s="21"/>
      <c r="S697" s="21"/>
      <c r="T697" s="50"/>
      <c r="U697" s="51">
        <f t="shared" si="102"/>
        <v>0</v>
      </c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>
        <v>594659772</v>
      </c>
      <c r="AN697" s="51">
        <f>SUBTOTAL(9,AC697:AM697)</f>
        <v>594659772</v>
      </c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>
        <v>318930525</v>
      </c>
      <c r="AZ697" s="51"/>
      <c r="BA697" s="51"/>
      <c r="BB697" s="51"/>
      <c r="BC697" s="52">
        <f t="shared" si="105"/>
        <v>913590297</v>
      </c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>
        <v>63786105</v>
      </c>
      <c r="BO697" s="51"/>
      <c r="BP697" s="52">
        <v>977376402</v>
      </c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>
        <v>63786105</v>
      </c>
      <c r="CD697" s="52"/>
      <c r="CE697" s="52"/>
      <c r="CF697" s="52"/>
      <c r="CG697" s="52">
        <f t="shared" si="106"/>
        <v>1041162507</v>
      </c>
      <c r="CH697" s="52"/>
      <c r="CI697" s="52"/>
      <c r="CJ697" s="52"/>
      <c r="CK697" s="52"/>
      <c r="CL697" s="52"/>
      <c r="CM697" s="52"/>
      <c r="CN697" s="52"/>
      <c r="CO697" s="52"/>
      <c r="CP697" s="52"/>
      <c r="CQ697" s="52">
        <v>63786105</v>
      </c>
      <c r="CR697" s="52">
        <v>52836158</v>
      </c>
      <c r="CS697" s="52">
        <f t="shared" si="103"/>
        <v>1157784770</v>
      </c>
      <c r="CT697" s="53">
        <v>510288840</v>
      </c>
      <c r="CU697" s="53">
        <f t="shared" si="104"/>
        <v>647495930</v>
      </c>
      <c r="CV697" s="54">
        <f t="shared" si="107"/>
        <v>1157784770</v>
      </c>
      <c r="CW697" s="55">
        <f t="shared" si="108"/>
        <v>0</v>
      </c>
      <c r="CX697" s="16"/>
      <c r="CY697" s="16"/>
      <c r="CZ697" s="16"/>
    </row>
    <row r="698" spans="1:108" ht="15" customHeight="1" x14ac:dyDescent="0.2">
      <c r="A698" s="1">
        <v>8918550152</v>
      </c>
      <c r="B698" s="1">
        <v>891855015</v>
      </c>
      <c r="C698" s="9">
        <v>213715537</v>
      </c>
      <c r="D698" s="10" t="s">
        <v>285</v>
      </c>
      <c r="E698" s="42" t="s">
        <v>1317</v>
      </c>
      <c r="F698" s="21"/>
      <c r="G698" s="50"/>
      <c r="H698" s="21"/>
      <c r="I698" s="50"/>
      <c r="J698" s="21"/>
      <c r="K698" s="21"/>
      <c r="L698" s="50"/>
      <c r="M698" s="51"/>
      <c r="N698" s="21"/>
      <c r="O698" s="50"/>
      <c r="P698" s="21"/>
      <c r="Q698" s="50"/>
      <c r="R698" s="21"/>
      <c r="S698" s="21"/>
      <c r="T698" s="50"/>
      <c r="U698" s="51">
        <f t="shared" si="102"/>
        <v>0</v>
      </c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>
        <v>33288440</v>
      </c>
      <c r="AZ698" s="51"/>
      <c r="BA698" s="51">
        <f>VLOOKUP(B698,[1]Hoja3!J$3:K$674,2,0)</f>
        <v>52572774</v>
      </c>
      <c r="BB698" s="51"/>
      <c r="BC698" s="52">
        <f t="shared" si="105"/>
        <v>85861214</v>
      </c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>
        <v>6657688</v>
      </c>
      <c r="BO698" s="51"/>
      <c r="BP698" s="52">
        <v>92518902</v>
      </c>
      <c r="BQ698" s="52"/>
      <c r="BR698" s="52"/>
      <c r="BS698" s="52"/>
      <c r="BT698" s="52"/>
      <c r="BU698" s="52"/>
      <c r="BV698" s="52"/>
      <c r="BW698" s="52"/>
      <c r="BX698" s="52"/>
      <c r="BY698" s="52"/>
      <c r="BZ698" s="52"/>
      <c r="CA698" s="52"/>
      <c r="CB698" s="52"/>
      <c r="CC698" s="52">
        <v>6657688</v>
      </c>
      <c r="CD698" s="52"/>
      <c r="CE698" s="52"/>
      <c r="CF698" s="52"/>
      <c r="CG698" s="52">
        <f t="shared" si="106"/>
        <v>99176590</v>
      </c>
      <c r="CH698" s="52"/>
      <c r="CI698" s="52"/>
      <c r="CJ698" s="52"/>
      <c r="CK698" s="52"/>
      <c r="CL698" s="52"/>
      <c r="CM698" s="52"/>
      <c r="CN698" s="52"/>
      <c r="CO698" s="52"/>
      <c r="CP698" s="52"/>
      <c r="CQ698" s="52">
        <v>6657688</v>
      </c>
      <c r="CR698" s="52"/>
      <c r="CS698" s="52">
        <f t="shared" si="103"/>
        <v>105834278</v>
      </c>
      <c r="CT698" s="53">
        <v>53261504</v>
      </c>
      <c r="CU698" s="53">
        <f t="shared" si="104"/>
        <v>52572774</v>
      </c>
      <c r="CV698" s="54">
        <f t="shared" si="107"/>
        <v>105834278</v>
      </c>
      <c r="CW698" s="55">
        <f t="shared" si="108"/>
        <v>0</v>
      </c>
      <c r="CX698" s="16"/>
      <c r="CY698" s="8"/>
      <c r="CZ698" s="8"/>
      <c r="DA698" s="8"/>
      <c r="DB698" s="8"/>
      <c r="DC698" s="8"/>
      <c r="DD698" s="8"/>
    </row>
    <row r="699" spans="1:108" ht="15" customHeight="1" x14ac:dyDescent="0.2">
      <c r="A699" s="1">
        <v>8917800481</v>
      </c>
      <c r="B699" s="1">
        <v>891780048</v>
      </c>
      <c r="C699" s="9">
        <v>214147541</v>
      </c>
      <c r="D699" s="10" t="s">
        <v>651</v>
      </c>
      <c r="E699" s="42" t="s">
        <v>1670</v>
      </c>
      <c r="F699" s="21"/>
      <c r="G699" s="50"/>
      <c r="H699" s="21"/>
      <c r="I699" s="50"/>
      <c r="J699" s="21"/>
      <c r="K699" s="21"/>
      <c r="L699" s="50"/>
      <c r="M699" s="51"/>
      <c r="N699" s="21"/>
      <c r="O699" s="50"/>
      <c r="P699" s="21"/>
      <c r="Q699" s="50"/>
      <c r="R699" s="21"/>
      <c r="S699" s="21"/>
      <c r="T699" s="50"/>
      <c r="U699" s="51">
        <f t="shared" si="102"/>
        <v>0</v>
      </c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>
        <v>183961949</v>
      </c>
      <c r="AN699" s="51">
        <f>SUBTOTAL(9,AC699:AM699)</f>
        <v>183961949</v>
      </c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>
        <v>108832845</v>
      </c>
      <c r="AZ699" s="51"/>
      <c r="BA699" s="51">
        <f>VLOOKUP(B699,[1]Hoja3!J$3:K$674,2,0)</f>
        <v>9752572</v>
      </c>
      <c r="BB699" s="51">
        <f>VLOOKUP(B699,'[2]anuladas en mayo gratuidad}'!K$2:L$55,2,0)</f>
        <v>56541667</v>
      </c>
      <c r="BC699" s="52">
        <f t="shared" si="105"/>
        <v>246005699</v>
      </c>
      <c r="BD699" s="51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>
        <v>21766569</v>
      </c>
      <c r="BO699" s="51"/>
      <c r="BP699" s="52">
        <v>267772268</v>
      </c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>
        <v>21766569</v>
      </c>
      <c r="CD699" s="52"/>
      <c r="CE699" s="52">
        <v>56541667</v>
      </c>
      <c r="CF699" s="52"/>
      <c r="CG699" s="52">
        <f t="shared" si="106"/>
        <v>346080504</v>
      </c>
      <c r="CH699" s="52"/>
      <c r="CI699" s="52"/>
      <c r="CJ699" s="52"/>
      <c r="CK699" s="52"/>
      <c r="CL699" s="52"/>
      <c r="CM699" s="52"/>
      <c r="CN699" s="52"/>
      <c r="CO699" s="52"/>
      <c r="CP699" s="52"/>
      <c r="CQ699" s="52">
        <v>21766569</v>
      </c>
      <c r="CR699" s="52"/>
      <c r="CS699" s="52">
        <f t="shared" si="103"/>
        <v>367847073</v>
      </c>
      <c r="CT699" s="53">
        <v>174132552</v>
      </c>
      <c r="CU699" s="53">
        <f t="shared" si="104"/>
        <v>193714521</v>
      </c>
      <c r="CV699" s="54">
        <f t="shared" si="107"/>
        <v>367847073</v>
      </c>
      <c r="CW699" s="55">
        <f t="shared" si="108"/>
        <v>0</v>
      </c>
      <c r="CX699" s="16"/>
      <c r="CY699" s="16"/>
      <c r="CZ699" s="16"/>
    </row>
    <row r="700" spans="1:108" ht="15" customHeight="1" x14ac:dyDescent="0.2">
      <c r="A700" s="1">
        <v>8000966139</v>
      </c>
      <c r="B700" s="1">
        <v>800096613</v>
      </c>
      <c r="C700" s="9">
        <v>215020550</v>
      </c>
      <c r="D700" s="10" t="s">
        <v>429</v>
      </c>
      <c r="E700" s="42" t="s">
        <v>1456</v>
      </c>
      <c r="F700" s="21"/>
      <c r="G700" s="50"/>
      <c r="H700" s="21"/>
      <c r="I700" s="50"/>
      <c r="J700" s="21"/>
      <c r="K700" s="21"/>
      <c r="L700" s="50"/>
      <c r="M700" s="51"/>
      <c r="N700" s="21"/>
      <c r="O700" s="50"/>
      <c r="P700" s="21"/>
      <c r="Q700" s="50"/>
      <c r="R700" s="21"/>
      <c r="S700" s="21"/>
      <c r="T700" s="50"/>
      <c r="U700" s="51">
        <f t="shared" si="102"/>
        <v>0</v>
      </c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>
        <v>198206155</v>
      </c>
      <c r="AZ700" s="51"/>
      <c r="BA700" s="51">
        <f>VLOOKUP(B700,[1]Hoja3!J$3:K$674,2,0)</f>
        <v>259144316</v>
      </c>
      <c r="BB700" s="51"/>
      <c r="BC700" s="52">
        <f t="shared" si="105"/>
        <v>457350471</v>
      </c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>
        <v>39641231</v>
      </c>
      <c r="BO700" s="51"/>
      <c r="BP700" s="52">
        <v>496991702</v>
      </c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>
        <v>39641231</v>
      </c>
      <c r="CD700" s="52"/>
      <c r="CE700" s="52">
        <v>64869616</v>
      </c>
      <c r="CF700" s="52"/>
      <c r="CG700" s="52">
        <f t="shared" si="106"/>
        <v>601502549</v>
      </c>
      <c r="CH700" s="52"/>
      <c r="CI700" s="52"/>
      <c r="CJ700" s="52"/>
      <c r="CK700" s="52"/>
      <c r="CL700" s="52"/>
      <c r="CM700" s="52"/>
      <c r="CN700" s="52"/>
      <c r="CO700" s="52"/>
      <c r="CP700" s="52"/>
      <c r="CQ700" s="52">
        <v>39641231</v>
      </c>
      <c r="CR700" s="52"/>
      <c r="CS700" s="52">
        <f t="shared" si="103"/>
        <v>641143780</v>
      </c>
      <c r="CT700" s="53">
        <v>317129848</v>
      </c>
      <c r="CU700" s="53">
        <f t="shared" si="104"/>
        <v>324013932</v>
      </c>
      <c r="CV700" s="54">
        <f t="shared" si="107"/>
        <v>641143780</v>
      </c>
      <c r="CW700" s="55">
        <f t="shared" si="108"/>
        <v>0</v>
      </c>
      <c r="CX700" s="16"/>
      <c r="CY700" s="16"/>
      <c r="CZ700" s="16"/>
    </row>
    <row r="701" spans="1:108" ht="15" customHeight="1" x14ac:dyDescent="0.2">
      <c r="A701" s="1">
        <v>8909809171</v>
      </c>
      <c r="B701" s="1">
        <v>890980917</v>
      </c>
      <c r="C701" s="9">
        <v>214105541</v>
      </c>
      <c r="D701" s="10" t="s">
        <v>115</v>
      </c>
      <c r="E701" s="42" t="s">
        <v>1145</v>
      </c>
      <c r="F701" s="21"/>
      <c r="G701" s="50"/>
      <c r="H701" s="21"/>
      <c r="I701" s="50"/>
      <c r="J701" s="21"/>
      <c r="K701" s="21"/>
      <c r="L701" s="50"/>
      <c r="M701" s="51"/>
      <c r="N701" s="21"/>
      <c r="O701" s="50"/>
      <c r="P701" s="21"/>
      <c r="Q701" s="50"/>
      <c r="R701" s="21"/>
      <c r="S701" s="21"/>
      <c r="T701" s="50"/>
      <c r="U701" s="51">
        <f t="shared" si="102"/>
        <v>0</v>
      </c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>
        <v>104992915</v>
      </c>
      <c r="AZ701" s="51"/>
      <c r="BA701" s="51">
        <f>VLOOKUP(B701,[1]Hoja3!J$3:K$674,2,0)</f>
        <v>214314205</v>
      </c>
      <c r="BB701" s="51"/>
      <c r="BC701" s="52">
        <f t="shared" si="105"/>
        <v>319307120</v>
      </c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>
        <v>20998583</v>
      </c>
      <c r="BO701" s="51"/>
      <c r="BP701" s="52">
        <v>340305703</v>
      </c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>
        <v>20998583</v>
      </c>
      <c r="CD701" s="52"/>
      <c r="CE701" s="52"/>
      <c r="CF701" s="52"/>
      <c r="CG701" s="52">
        <f t="shared" si="106"/>
        <v>361304286</v>
      </c>
      <c r="CH701" s="52"/>
      <c r="CI701" s="52"/>
      <c r="CJ701" s="52"/>
      <c r="CK701" s="52"/>
      <c r="CL701" s="52"/>
      <c r="CM701" s="52"/>
      <c r="CN701" s="52"/>
      <c r="CO701" s="52"/>
      <c r="CP701" s="52"/>
      <c r="CQ701" s="52">
        <v>20998583</v>
      </c>
      <c r="CR701" s="52"/>
      <c r="CS701" s="52">
        <f t="shared" si="103"/>
        <v>382302869</v>
      </c>
      <c r="CT701" s="53">
        <v>167988664</v>
      </c>
      <c r="CU701" s="53">
        <f t="shared" si="104"/>
        <v>214314205</v>
      </c>
      <c r="CV701" s="54">
        <f t="shared" si="107"/>
        <v>382302869</v>
      </c>
      <c r="CW701" s="55">
        <f t="shared" si="108"/>
        <v>0</v>
      </c>
      <c r="CX701" s="16"/>
      <c r="CY701" s="16"/>
      <c r="CZ701" s="16"/>
    </row>
    <row r="702" spans="1:108" ht="15" customHeight="1" x14ac:dyDescent="0.2">
      <c r="A702" s="1">
        <v>8908011377</v>
      </c>
      <c r="B702" s="1">
        <v>890801137</v>
      </c>
      <c r="C702" s="9">
        <v>214117541</v>
      </c>
      <c r="D702" s="10" t="s">
        <v>352</v>
      </c>
      <c r="E702" s="42" t="s">
        <v>1381</v>
      </c>
      <c r="F702" s="21"/>
      <c r="G702" s="50"/>
      <c r="H702" s="21"/>
      <c r="I702" s="50"/>
      <c r="J702" s="21"/>
      <c r="K702" s="21"/>
      <c r="L702" s="50"/>
      <c r="M702" s="51"/>
      <c r="N702" s="21"/>
      <c r="O702" s="50"/>
      <c r="P702" s="21"/>
      <c r="Q702" s="50"/>
      <c r="R702" s="21"/>
      <c r="S702" s="21"/>
      <c r="T702" s="50"/>
      <c r="U702" s="51">
        <f t="shared" si="102"/>
        <v>0</v>
      </c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>
        <v>300096666</v>
      </c>
      <c r="AN702" s="51">
        <f>SUBTOTAL(9,AC702:AM702)</f>
        <v>300096666</v>
      </c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>
        <v>162108395</v>
      </c>
      <c r="AZ702" s="51"/>
      <c r="BA702" s="51"/>
      <c r="BB702" s="51"/>
      <c r="BC702" s="52">
        <f t="shared" si="105"/>
        <v>462205061</v>
      </c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>
        <v>32421679</v>
      </c>
      <c r="BO702" s="51"/>
      <c r="BP702" s="52">
        <v>494626740</v>
      </c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>
        <v>32421679</v>
      </c>
      <c r="CD702" s="52"/>
      <c r="CE702" s="52"/>
      <c r="CF702" s="52"/>
      <c r="CG702" s="52">
        <f t="shared" si="106"/>
        <v>527048419</v>
      </c>
      <c r="CH702" s="52"/>
      <c r="CI702" s="52"/>
      <c r="CJ702" s="52"/>
      <c r="CK702" s="52"/>
      <c r="CL702" s="52"/>
      <c r="CM702" s="52"/>
      <c r="CN702" s="52"/>
      <c r="CO702" s="52"/>
      <c r="CP702" s="52"/>
      <c r="CQ702" s="52">
        <v>32421679</v>
      </c>
      <c r="CR702" s="52"/>
      <c r="CS702" s="52">
        <f t="shared" si="103"/>
        <v>559470098</v>
      </c>
      <c r="CT702" s="53">
        <v>259373432</v>
      </c>
      <c r="CU702" s="53">
        <f t="shared" si="104"/>
        <v>300096666</v>
      </c>
      <c r="CV702" s="54">
        <f t="shared" si="107"/>
        <v>559470098</v>
      </c>
      <c r="CW702" s="55">
        <f t="shared" si="108"/>
        <v>0</v>
      </c>
      <c r="CX702" s="16"/>
      <c r="CY702" s="16"/>
      <c r="CZ702" s="16"/>
    </row>
    <row r="703" spans="1:108" ht="15" customHeight="1" x14ac:dyDescent="0.2">
      <c r="A703" s="1">
        <v>8909823014</v>
      </c>
      <c r="B703" s="1">
        <v>890982301</v>
      </c>
      <c r="C703" s="9">
        <v>214305543</v>
      </c>
      <c r="D703" s="10" t="s">
        <v>116</v>
      </c>
      <c r="E703" s="42" t="s">
        <v>1146</v>
      </c>
      <c r="F703" s="21"/>
      <c r="G703" s="50"/>
      <c r="H703" s="21"/>
      <c r="I703" s="50"/>
      <c r="J703" s="21"/>
      <c r="K703" s="21"/>
      <c r="L703" s="50"/>
      <c r="M703" s="51"/>
      <c r="N703" s="21"/>
      <c r="O703" s="50"/>
      <c r="P703" s="21"/>
      <c r="Q703" s="50"/>
      <c r="R703" s="21"/>
      <c r="S703" s="21"/>
      <c r="T703" s="50"/>
      <c r="U703" s="51">
        <f t="shared" si="102"/>
        <v>0</v>
      </c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>
        <v>76442700</v>
      </c>
      <c r="AZ703" s="51"/>
      <c r="BA703" s="51">
        <f>VLOOKUP(B703,[1]Hoja3!J$3:K$674,2,0)</f>
        <v>126411338</v>
      </c>
      <c r="BB703" s="51"/>
      <c r="BC703" s="52">
        <f t="shared" si="105"/>
        <v>202854038</v>
      </c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>
        <v>15288540</v>
      </c>
      <c r="BO703" s="51"/>
      <c r="BP703" s="52">
        <v>218142578</v>
      </c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>
        <v>15288540</v>
      </c>
      <c r="CD703" s="52"/>
      <c r="CE703" s="52"/>
      <c r="CF703" s="52"/>
      <c r="CG703" s="52">
        <f t="shared" si="106"/>
        <v>233431118</v>
      </c>
      <c r="CH703" s="52"/>
      <c r="CI703" s="52"/>
      <c r="CJ703" s="52"/>
      <c r="CK703" s="52"/>
      <c r="CL703" s="52"/>
      <c r="CM703" s="52"/>
      <c r="CN703" s="52"/>
      <c r="CO703" s="52"/>
      <c r="CP703" s="52"/>
      <c r="CQ703" s="52">
        <v>15288540</v>
      </c>
      <c r="CR703" s="52"/>
      <c r="CS703" s="52">
        <f t="shared" si="103"/>
        <v>248719658</v>
      </c>
      <c r="CT703" s="53">
        <v>122308320</v>
      </c>
      <c r="CU703" s="53">
        <f t="shared" si="104"/>
        <v>126411338</v>
      </c>
      <c r="CV703" s="54">
        <f t="shared" si="107"/>
        <v>248719658</v>
      </c>
      <c r="CW703" s="55">
        <f t="shared" si="108"/>
        <v>0</v>
      </c>
      <c r="CX703" s="16"/>
      <c r="CY703" s="16"/>
      <c r="CZ703" s="16"/>
    </row>
    <row r="704" spans="1:108" ht="15" customHeight="1" x14ac:dyDescent="0.2">
      <c r="A704" s="1">
        <v>8914800302</v>
      </c>
      <c r="B704" s="1">
        <v>891480030</v>
      </c>
      <c r="C704" s="9">
        <v>210166001</v>
      </c>
      <c r="D704" s="10" t="s">
        <v>2181</v>
      </c>
      <c r="E704" s="43" t="s">
        <v>1056</v>
      </c>
      <c r="F704" s="21"/>
      <c r="G704" s="50"/>
      <c r="H704" s="21"/>
      <c r="I704" s="57">
        <f>10398991823+583741396</f>
        <v>10982733219</v>
      </c>
      <c r="J704" s="21">
        <v>775045690</v>
      </c>
      <c r="K704" s="21">
        <v>1538088261</v>
      </c>
      <c r="L704" s="50"/>
      <c r="M704" s="52">
        <f>SUM(F704:L704)</f>
        <v>13295867170</v>
      </c>
      <c r="N704" s="21"/>
      <c r="O704" s="50"/>
      <c r="P704" s="21"/>
      <c r="Q704" s="50">
        <f>9904537257+265336998</f>
        <v>10169874255</v>
      </c>
      <c r="R704" s="21">
        <v>775045690</v>
      </c>
      <c r="S704" s="21">
        <f>763042571+775045690</f>
        <v>1538088261</v>
      </c>
      <c r="T704" s="50"/>
      <c r="U704" s="51">
        <f t="shared" si="102"/>
        <v>25778875376</v>
      </c>
      <c r="V704" s="51"/>
      <c r="W704" s="51"/>
      <c r="X704" s="51"/>
      <c r="Y704" s="51">
        <v>15021260523</v>
      </c>
      <c r="Z704" s="51">
        <v>742233133</v>
      </c>
      <c r="AA704" s="51">
        <v>1736164548</v>
      </c>
      <c r="AB704" s="51"/>
      <c r="AC704" s="51">
        <f t="shared" si="112"/>
        <v>43278533580</v>
      </c>
      <c r="AD704" s="51"/>
      <c r="AE704" s="51"/>
      <c r="AF704" s="51"/>
      <c r="AG704" s="51"/>
      <c r="AH704" s="51">
        <v>10750686953</v>
      </c>
      <c r="AI704" s="51">
        <v>2238634110</v>
      </c>
      <c r="AJ704" s="51">
        <v>802283216</v>
      </c>
      <c r="AK704" s="51">
        <v>2021144054</v>
      </c>
      <c r="AL704" s="51"/>
      <c r="AM704" s="51">
        <v>4629431226</v>
      </c>
      <c r="AN704" s="51">
        <f>SUBTOTAL(9,AC704:AM704)</f>
        <v>63720713139</v>
      </c>
      <c r="AO704" s="51"/>
      <c r="AP704" s="51"/>
      <c r="AQ704" s="51">
        <v>1823085020</v>
      </c>
      <c r="AR704" s="51"/>
      <c r="AS704" s="51"/>
      <c r="AT704" s="51">
        <v>10750686953</v>
      </c>
      <c r="AU704" s="51"/>
      <c r="AV704" s="51">
        <v>802283216</v>
      </c>
      <c r="AW704" s="51">
        <v>1369089740</v>
      </c>
      <c r="AX704" s="51"/>
      <c r="AY704" s="51"/>
      <c r="AZ704" s="51"/>
      <c r="BA704" s="51">
        <f>VLOOKUP(B704,[1]Hoja3!J$3:K$674,2,0)</f>
        <v>50243057</v>
      </c>
      <c r="BB704" s="51"/>
      <c r="BC704" s="52">
        <f t="shared" si="105"/>
        <v>78516101125</v>
      </c>
      <c r="BD704" s="51"/>
      <c r="BE704" s="51"/>
      <c r="BF704" s="51">
        <v>364617004</v>
      </c>
      <c r="BG704" s="51"/>
      <c r="BH704" s="51"/>
      <c r="BI704" s="51">
        <v>10869774582</v>
      </c>
      <c r="BJ704" s="51">
        <v>2303056178</v>
      </c>
      <c r="BK704" s="51">
        <v>808954547</v>
      </c>
      <c r="BL704" s="51">
        <v>2059970107</v>
      </c>
      <c r="BM704" s="51"/>
      <c r="BN704" s="51"/>
      <c r="BO704" s="51"/>
      <c r="BP704" s="52">
        <v>94922473543</v>
      </c>
      <c r="BQ704" s="52"/>
      <c r="BR704" s="52"/>
      <c r="BS704" s="52">
        <v>364617004</v>
      </c>
      <c r="BT704" s="52"/>
      <c r="BU704" s="52"/>
      <c r="BV704" s="52"/>
      <c r="BW704" s="52">
        <v>10825271065</v>
      </c>
      <c r="BX704" s="52">
        <v>1434955030</v>
      </c>
      <c r="BY704" s="52">
        <v>4914651589</v>
      </c>
      <c r="BZ704" s="52">
        <v>808522718</v>
      </c>
      <c r="CA704" s="52">
        <v>2089518680</v>
      </c>
      <c r="CB704" s="52"/>
      <c r="CC704" s="52"/>
      <c r="CD704" s="52"/>
      <c r="CE704" s="52"/>
      <c r="CF704" s="52"/>
      <c r="CG704" s="52">
        <f t="shared" si="106"/>
        <v>115360009629</v>
      </c>
      <c r="CH704" s="52"/>
      <c r="CI704" s="52"/>
      <c r="CJ704" s="52">
        <v>364617004</v>
      </c>
      <c r="CK704" s="52"/>
      <c r="CL704" s="52">
        <v>11013590777</v>
      </c>
      <c r="CM704" s="52">
        <v>1380248634</v>
      </c>
      <c r="CN704" s="52">
        <v>819380912</v>
      </c>
      <c r="CO704" s="52">
        <v>1477053803</v>
      </c>
      <c r="CP704" s="52"/>
      <c r="CQ704" s="52"/>
      <c r="CR704" s="52"/>
      <c r="CS704" s="52">
        <f t="shared" si="103"/>
        <v>130414900759</v>
      </c>
      <c r="CT704" s="53">
        <v>125735226476</v>
      </c>
      <c r="CU704" s="53">
        <f t="shared" si="104"/>
        <v>4679674283</v>
      </c>
      <c r="CV704" s="54">
        <f t="shared" si="107"/>
        <v>130414900759</v>
      </c>
      <c r="CW704" s="55">
        <f t="shared" si="108"/>
        <v>0</v>
      </c>
      <c r="CX704" s="16"/>
      <c r="CY704" s="16"/>
      <c r="CZ704" s="16"/>
    </row>
    <row r="705" spans="1:108" ht="15" customHeight="1" x14ac:dyDescent="0.2">
      <c r="A705" s="1">
        <v>8918564640</v>
      </c>
      <c r="B705" s="1">
        <v>891856464</v>
      </c>
      <c r="C705" s="9">
        <v>214215542</v>
      </c>
      <c r="D705" s="10" t="s">
        <v>286</v>
      </c>
      <c r="E705" s="42" t="s">
        <v>1318</v>
      </c>
      <c r="F705" s="21"/>
      <c r="G705" s="50"/>
      <c r="H705" s="21"/>
      <c r="I705" s="50"/>
      <c r="J705" s="21"/>
      <c r="K705" s="21"/>
      <c r="L705" s="50"/>
      <c r="M705" s="51"/>
      <c r="N705" s="21"/>
      <c r="O705" s="50"/>
      <c r="P705" s="21"/>
      <c r="Q705" s="50"/>
      <c r="R705" s="21"/>
      <c r="S705" s="21"/>
      <c r="T705" s="50"/>
      <c r="U705" s="51">
        <f t="shared" si="102"/>
        <v>0</v>
      </c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>
        <v>20196208</v>
      </c>
      <c r="AN705" s="51">
        <f>SUBTOTAL(9,AC705:AM705)</f>
        <v>20196208</v>
      </c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>
        <v>53686935</v>
      </c>
      <c r="AZ705" s="51"/>
      <c r="BA705" s="51">
        <f>VLOOKUP(B705,[1]Hoja3!J$3:K$674,2,0)</f>
        <v>79758802</v>
      </c>
      <c r="BB705" s="51"/>
      <c r="BC705" s="52">
        <f t="shared" si="105"/>
        <v>153641945</v>
      </c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>
        <v>10737387</v>
      </c>
      <c r="BO705" s="51"/>
      <c r="BP705" s="52">
        <v>164379332</v>
      </c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>
        <v>10737387</v>
      </c>
      <c r="CD705" s="52"/>
      <c r="CE705" s="52"/>
      <c r="CF705" s="52"/>
      <c r="CG705" s="52">
        <f t="shared" si="106"/>
        <v>175116719</v>
      </c>
      <c r="CH705" s="52"/>
      <c r="CI705" s="52"/>
      <c r="CJ705" s="52"/>
      <c r="CK705" s="52"/>
      <c r="CL705" s="52"/>
      <c r="CM705" s="52"/>
      <c r="CN705" s="52"/>
      <c r="CO705" s="52"/>
      <c r="CP705" s="52"/>
      <c r="CQ705" s="52">
        <v>10737387</v>
      </c>
      <c r="CR705" s="52"/>
      <c r="CS705" s="52">
        <f t="shared" si="103"/>
        <v>185854106</v>
      </c>
      <c r="CT705" s="53">
        <v>85899096</v>
      </c>
      <c r="CU705" s="53">
        <f t="shared" si="104"/>
        <v>99955010</v>
      </c>
      <c r="CV705" s="54">
        <f t="shared" si="107"/>
        <v>185854106</v>
      </c>
      <c r="CW705" s="55">
        <f t="shared" si="108"/>
        <v>0</v>
      </c>
      <c r="CX705" s="16"/>
      <c r="CY705" s="8"/>
      <c r="CZ705" s="8"/>
      <c r="DA705" s="8"/>
      <c r="DB705" s="8"/>
      <c r="DC705" s="8"/>
      <c r="DD705" s="8"/>
    </row>
    <row r="706" spans="1:108" ht="15" customHeight="1" x14ac:dyDescent="0.2">
      <c r="A706" s="1">
        <v>8170009925</v>
      </c>
      <c r="B706" s="1">
        <v>817000992</v>
      </c>
      <c r="C706" s="9">
        <v>213319533</v>
      </c>
      <c r="D706" s="10" t="s">
        <v>397</v>
      </c>
      <c r="E706" s="42" t="s">
        <v>1426</v>
      </c>
      <c r="F706" s="21"/>
      <c r="G706" s="50"/>
      <c r="H706" s="21"/>
      <c r="I706" s="50"/>
      <c r="J706" s="21"/>
      <c r="K706" s="21"/>
      <c r="L706" s="50"/>
      <c r="M706" s="51"/>
      <c r="N706" s="21"/>
      <c r="O706" s="50"/>
      <c r="P706" s="21"/>
      <c r="Q706" s="50"/>
      <c r="R706" s="21"/>
      <c r="S706" s="21"/>
      <c r="T706" s="50"/>
      <c r="U706" s="51">
        <f t="shared" si="102"/>
        <v>0</v>
      </c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>
        <v>121243415</v>
      </c>
      <c r="AZ706" s="51"/>
      <c r="BA706" s="51"/>
      <c r="BB706" s="51"/>
      <c r="BC706" s="52">
        <f t="shared" si="105"/>
        <v>121243415</v>
      </c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>
        <v>24248683</v>
      </c>
      <c r="BO706" s="51"/>
      <c r="BP706" s="52">
        <v>145492098</v>
      </c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>
        <v>24248683</v>
      </c>
      <c r="CD706" s="52"/>
      <c r="CE706" s="52"/>
      <c r="CF706" s="52"/>
      <c r="CG706" s="52">
        <f t="shared" si="106"/>
        <v>169740781</v>
      </c>
      <c r="CH706" s="52"/>
      <c r="CI706" s="52"/>
      <c r="CJ706" s="52"/>
      <c r="CK706" s="52"/>
      <c r="CL706" s="52"/>
      <c r="CM706" s="52"/>
      <c r="CN706" s="52"/>
      <c r="CO706" s="52"/>
      <c r="CP706" s="52"/>
      <c r="CQ706" s="52">
        <v>24248683</v>
      </c>
      <c r="CR706" s="52"/>
      <c r="CS706" s="52">
        <f t="shared" si="103"/>
        <v>193989464</v>
      </c>
      <c r="CT706" s="53">
        <v>193989464</v>
      </c>
      <c r="CU706" s="53">
        <f t="shared" si="104"/>
        <v>0</v>
      </c>
      <c r="CV706" s="54">
        <f t="shared" si="107"/>
        <v>193989464</v>
      </c>
      <c r="CW706" s="55">
        <f t="shared" si="108"/>
        <v>0</v>
      </c>
      <c r="CX706" s="16"/>
      <c r="CY706" s="8"/>
      <c r="CZ706" s="8"/>
      <c r="DA706" s="8"/>
      <c r="DB706" s="8"/>
      <c r="DC706" s="8"/>
      <c r="DD706" s="8"/>
    </row>
    <row r="707" spans="1:108" ht="15" customHeight="1" x14ac:dyDescent="0.2">
      <c r="A707" s="1">
        <v>8902053836</v>
      </c>
      <c r="B707" s="1">
        <v>890205383</v>
      </c>
      <c r="C707" s="9">
        <v>214768547</v>
      </c>
      <c r="D707" s="10" t="s">
        <v>866</v>
      </c>
      <c r="E707" s="43" t="s">
        <v>1839</v>
      </c>
      <c r="F707" s="21"/>
      <c r="G707" s="50"/>
      <c r="H707" s="21"/>
      <c r="I707" s="57">
        <f>4240064464+151364276</f>
        <v>4391428740</v>
      </c>
      <c r="J707" s="21">
        <v>272631596</v>
      </c>
      <c r="K707" s="21">
        <v>549406714</v>
      </c>
      <c r="L707" s="50"/>
      <c r="M707" s="52">
        <f>SUM(F707:L707)</f>
        <v>5213467050</v>
      </c>
      <c r="N707" s="21"/>
      <c r="O707" s="50"/>
      <c r="P707" s="21"/>
      <c r="Q707" s="50">
        <f>4121189038+68801944</f>
        <v>4189990982</v>
      </c>
      <c r="R707" s="21">
        <v>272692940</v>
      </c>
      <c r="S707" s="21">
        <f>276775118+272692940</f>
        <v>549468058</v>
      </c>
      <c r="T707" s="50"/>
      <c r="U707" s="51">
        <f t="shared" ref="U707:U770" si="113">SUM(M707:T707)</f>
        <v>10225619030</v>
      </c>
      <c r="V707" s="51"/>
      <c r="W707" s="51"/>
      <c r="X707" s="51"/>
      <c r="Y707" s="51">
        <v>5118321421</v>
      </c>
      <c r="Z707" s="51">
        <v>263425771</v>
      </c>
      <c r="AA707" s="51">
        <v>598032086</v>
      </c>
      <c r="AB707" s="51"/>
      <c r="AC707" s="51">
        <f t="shared" si="112"/>
        <v>16205398308</v>
      </c>
      <c r="AD707" s="51"/>
      <c r="AE707" s="51"/>
      <c r="AF707" s="51"/>
      <c r="AG707" s="51"/>
      <c r="AH707" s="51">
        <v>4041589273</v>
      </c>
      <c r="AI707" s="51">
        <v>648184338</v>
      </c>
      <c r="AJ707" s="51">
        <v>278699847</v>
      </c>
      <c r="AK707" s="51">
        <v>702298659</v>
      </c>
      <c r="AL707" s="51"/>
      <c r="AM707" s="51">
        <v>1912126684</v>
      </c>
      <c r="AN707" s="51">
        <f>SUBTOTAL(9,AC707:AM707)</f>
        <v>23788297109</v>
      </c>
      <c r="AO707" s="51"/>
      <c r="AP707" s="51"/>
      <c r="AQ707" s="51">
        <v>658805480</v>
      </c>
      <c r="AR707" s="51"/>
      <c r="AS707" s="51"/>
      <c r="AT707" s="51">
        <v>4041589273</v>
      </c>
      <c r="AU707" s="51"/>
      <c r="AV707" s="51">
        <v>278699847</v>
      </c>
      <c r="AW707" s="51">
        <v>475681927</v>
      </c>
      <c r="AX707" s="51"/>
      <c r="AY707" s="51"/>
      <c r="AZ707" s="51"/>
      <c r="BA707" s="51"/>
      <c r="BB707" s="51"/>
      <c r="BC707" s="52">
        <f t="shared" si="105"/>
        <v>29243073636</v>
      </c>
      <c r="BD707" s="51"/>
      <c r="BE707" s="51"/>
      <c r="BF707" s="51">
        <v>131761096</v>
      </c>
      <c r="BG707" s="51"/>
      <c r="BH707" s="51"/>
      <c r="BI707" s="51">
        <v>4393101588</v>
      </c>
      <c r="BJ707" s="51">
        <v>318968048</v>
      </c>
      <c r="BK707" s="51">
        <v>457641615</v>
      </c>
      <c r="BL707" s="51">
        <v>1084501782</v>
      </c>
      <c r="BM707" s="51"/>
      <c r="BN707" s="51"/>
      <c r="BO707" s="51"/>
      <c r="BP707" s="52">
        <v>35629047765</v>
      </c>
      <c r="BQ707" s="52"/>
      <c r="BR707" s="52"/>
      <c r="BS707" s="52">
        <v>131761096</v>
      </c>
      <c r="BT707" s="52"/>
      <c r="BU707" s="52"/>
      <c r="BV707" s="52"/>
      <c r="BW707" s="52">
        <v>4198324596</v>
      </c>
      <c r="BX707" s="52"/>
      <c r="BY707" s="52">
        <v>1865528069</v>
      </c>
      <c r="BZ707" s="52">
        <v>288419530</v>
      </c>
      <c r="CA707" s="52">
        <v>754992565</v>
      </c>
      <c r="CB707" s="52"/>
      <c r="CC707" s="52"/>
      <c r="CD707" s="52"/>
      <c r="CE707" s="52"/>
      <c r="CF707" s="52"/>
      <c r="CG707" s="52">
        <f t="shared" si="106"/>
        <v>42868073621</v>
      </c>
      <c r="CH707" s="52"/>
      <c r="CI707" s="52"/>
      <c r="CJ707" s="52">
        <v>131761096</v>
      </c>
      <c r="CK707" s="52"/>
      <c r="CL707" s="52">
        <v>4359924021</v>
      </c>
      <c r="CM707" s="52">
        <v>24025660</v>
      </c>
      <c r="CN707" s="52">
        <v>298648037</v>
      </c>
      <c r="CO707" s="52">
        <v>547500283</v>
      </c>
      <c r="CP707" s="52"/>
      <c r="CQ707" s="52"/>
      <c r="CR707" s="52"/>
      <c r="CS707" s="52">
        <f t="shared" ref="CS707:CS770" si="114">SUM(CG707:CR707)</f>
        <v>48229932718</v>
      </c>
      <c r="CT707" s="53">
        <v>46317806034</v>
      </c>
      <c r="CU707" s="53">
        <f t="shared" ref="CU707:CU770" si="115">+AM707+BA707-BB707+BO707+CE707+CF707+CR707</f>
        <v>1912126684</v>
      </c>
      <c r="CV707" s="54">
        <f t="shared" si="107"/>
        <v>48229932718</v>
      </c>
      <c r="CW707" s="55">
        <f t="shared" si="108"/>
        <v>0</v>
      </c>
      <c r="CX707" s="16"/>
      <c r="CY707" s="16"/>
      <c r="CZ707" s="16"/>
    </row>
    <row r="708" spans="1:108" ht="15" customHeight="1" x14ac:dyDescent="0.2">
      <c r="A708" s="1">
        <v>8001001364</v>
      </c>
      <c r="B708" s="1">
        <v>800100136</v>
      </c>
      <c r="C708" s="9">
        <v>214773547</v>
      </c>
      <c r="D708" s="10" t="s">
        <v>2231</v>
      </c>
      <c r="E708" s="42" t="s">
        <v>1957</v>
      </c>
      <c r="F708" s="21"/>
      <c r="G708" s="50"/>
      <c r="H708" s="21"/>
      <c r="I708" s="50"/>
      <c r="J708" s="21"/>
      <c r="K708" s="21"/>
      <c r="L708" s="50"/>
      <c r="M708" s="51"/>
      <c r="N708" s="21"/>
      <c r="O708" s="50"/>
      <c r="P708" s="21"/>
      <c r="Q708" s="50"/>
      <c r="R708" s="21"/>
      <c r="S708" s="21"/>
      <c r="T708" s="50"/>
      <c r="U708" s="51">
        <f t="shared" si="113"/>
        <v>0</v>
      </c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>
        <v>34771855</v>
      </c>
      <c r="AZ708" s="51"/>
      <c r="BA708" s="51">
        <f>VLOOKUP(B708,[1]Hoja3!J$3:K$674,2,0)</f>
        <v>89724767</v>
      </c>
      <c r="BB708" s="51"/>
      <c r="BC708" s="52">
        <f t="shared" ref="BC708:BC771" si="116">SUM(AN708:BA708)-BB708</f>
        <v>124496622</v>
      </c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>
        <v>6954371</v>
      </c>
      <c r="BO708" s="51"/>
      <c r="BP708" s="52">
        <v>131450993</v>
      </c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>
        <v>6954371</v>
      </c>
      <c r="CD708" s="52"/>
      <c r="CE708" s="52"/>
      <c r="CF708" s="52"/>
      <c r="CG708" s="52">
        <f t="shared" ref="CG708:CG771" si="117">SUM(BP708:CF708)</f>
        <v>138405364</v>
      </c>
      <c r="CH708" s="52"/>
      <c r="CI708" s="52"/>
      <c r="CJ708" s="52"/>
      <c r="CK708" s="52"/>
      <c r="CL708" s="52"/>
      <c r="CM708" s="52"/>
      <c r="CN708" s="52"/>
      <c r="CO708" s="52"/>
      <c r="CP708" s="52"/>
      <c r="CQ708" s="52">
        <v>6954371</v>
      </c>
      <c r="CR708" s="52"/>
      <c r="CS708" s="52">
        <f t="shared" si="114"/>
        <v>145359735</v>
      </c>
      <c r="CT708" s="53">
        <v>55634968</v>
      </c>
      <c r="CU708" s="53">
        <f t="shared" si="115"/>
        <v>89724767</v>
      </c>
      <c r="CV708" s="54">
        <f t="shared" ref="CV708:CV771" si="118">+CT708+CU708</f>
        <v>145359735</v>
      </c>
      <c r="CW708" s="55">
        <f t="shared" ref="CW708:CW771" si="119">+CS708-CV708</f>
        <v>0</v>
      </c>
      <c r="CX708" s="16"/>
      <c r="CY708" s="16"/>
      <c r="CZ708" s="16"/>
    </row>
    <row r="709" spans="1:108" ht="15" customHeight="1" x14ac:dyDescent="0.2">
      <c r="A709" s="1">
        <v>8915008566</v>
      </c>
      <c r="B709" s="1">
        <v>891500856</v>
      </c>
      <c r="C709" s="9">
        <v>214819548</v>
      </c>
      <c r="D709" s="10" t="s">
        <v>398</v>
      </c>
      <c r="E709" s="42" t="s">
        <v>1427</v>
      </c>
      <c r="F709" s="21"/>
      <c r="G709" s="50"/>
      <c r="H709" s="21"/>
      <c r="I709" s="50"/>
      <c r="J709" s="21"/>
      <c r="K709" s="21"/>
      <c r="L709" s="50"/>
      <c r="M709" s="51"/>
      <c r="N709" s="21"/>
      <c r="O709" s="50"/>
      <c r="P709" s="21"/>
      <c r="Q709" s="50"/>
      <c r="R709" s="21"/>
      <c r="S709" s="21"/>
      <c r="T709" s="50"/>
      <c r="U709" s="51">
        <f t="shared" si="113"/>
        <v>0</v>
      </c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>
        <v>58848847</v>
      </c>
      <c r="AN709" s="51">
        <f>SUBTOTAL(9,AC709:AM709)</f>
        <v>58848847</v>
      </c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>
        <f>VLOOKUP(B709,[1]Hoja3!J$3:K$674,2,0)</f>
        <v>502115636</v>
      </c>
      <c r="BB709" s="51"/>
      <c r="BC709" s="52">
        <f t="shared" si="116"/>
        <v>560964483</v>
      </c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>
        <v>0</v>
      </c>
      <c r="BO709" s="51"/>
      <c r="BP709" s="52">
        <v>560964483</v>
      </c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>
        <v>314411314</v>
      </c>
      <c r="CD709" s="52"/>
      <c r="CE709" s="52"/>
      <c r="CF709" s="52"/>
      <c r="CG709" s="52">
        <f t="shared" si="117"/>
        <v>875375797</v>
      </c>
      <c r="CH709" s="52"/>
      <c r="CI709" s="52"/>
      <c r="CJ709" s="52"/>
      <c r="CK709" s="52"/>
      <c r="CL709" s="52"/>
      <c r="CM709" s="52"/>
      <c r="CN709" s="52"/>
      <c r="CO709" s="52"/>
      <c r="CP709" s="52"/>
      <c r="CQ709" s="52">
        <v>44915902</v>
      </c>
      <c r="CR709" s="52"/>
      <c r="CS709" s="52">
        <f t="shared" si="114"/>
        <v>920291699</v>
      </c>
      <c r="CT709" s="53">
        <v>359327216</v>
      </c>
      <c r="CU709" s="53">
        <f t="shared" si="115"/>
        <v>560964483</v>
      </c>
      <c r="CV709" s="54">
        <f t="shared" si="118"/>
        <v>920291699</v>
      </c>
      <c r="CW709" s="55">
        <f t="shared" si="119"/>
        <v>0</v>
      </c>
      <c r="CX709" s="16"/>
      <c r="CY709" s="16"/>
      <c r="CZ709" s="16"/>
    </row>
    <row r="710" spans="1:108" ht="15" customHeight="1" x14ac:dyDescent="0.2">
      <c r="A710" s="1">
        <v>8900011819</v>
      </c>
      <c r="B710" s="1">
        <v>890001181</v>
      </c>
      <c r="C710" s="9">
        <v>214863548</v>
      </c>
      <c r="D710" s="10" t="s">
        <v>797</v>
      </c>
      <c r="E710" s="42" t="s">
        <v>1814</v>
      </c>
      <c r="F710" s="21"/>
      <c r="G710" s="50"/>
      <c r="H710" s="21"/>
      <c r="I710" s="50"/>
      <c r="J710" s="21"/>
      <c r="K710" s="21"/>
      <c r="L710" s="50"/>
      <c r="M710" s="51"/>
      <c r="N710" s="21"/>
      <c r="O710" s="50"/>
      <c r="P710" s="21"/>
      <c r="Q710" s="50"/>
      <c r="R710" s="21"/>
      <c r="S710" s="21"/>
      <c r="T710" s="50"/>
      <c r="U710" s="51">
        <f t="shared" si="113"/>
        <v>0</v>
      </c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>
        <v>76737745</v>
      </c>
      <c r="AZ710" s="51"/>
      <c r="BA710" s="51">
        <f>VLOOKUP(B710,[1]Hoja3!J$3:K$674,2,0)</f>
        <v>82792528</v>
      </c>
      <c r="BB710" s="51"/>
      <c r="BC710" s="52">
        <f t="shared" si="116"/>
        <v>159530273</v>
      </c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>
        <v>15347549</v>
      </c>
      <c r="BO710" s="51"/>
      <c r="BP710" s="52">
        <v>174877822</v>
      </c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>
        <v>15347549</v>
      </c>
      <c r="CD710" s="52"/>
      <c r="CE710" s="52"/>
      <c r="CF710" s="52"/>
      <c r="CG710" s="52">
        <f t="shared" si="117"/>
        <v>190225371</v>
      </c>
      <c r="CH710" s="52"/>
      <c r="CI710" s="52"/>
      <c r="CJ710" s="52"/>
      <c r="CK710" s="52"/>
      <c r="CL710" s="52"/>
      <c r="CM710" s="52"/>
      <c r="CN710" s="52"/>
      <c r="CO710" s="52"/>
      <c r="CP710" s="52"/>
      <c r="CQ710" s="52">
        <v>15347549</v>
      </c>
      <c r="CR710" s="52"/>
      <c r="CS710" s="52">
        <f t="shared" si="114"/>
        <v>205572920</v>
      </c>
      <c r="CT710" s="53">
        <v>122780392</v>
      </c>
      <c r="CU710" s="53">
        <f t="shared" si="115"/>
        <v>82792528</v>
      </c>
      <c r="CV710" s="54">
        <f t="shared" si="118"/>
        <v>205572920</v>
      </c>
      <c r="CW710" s="55">
        <f t="shared" si="119"/>
        <v>0</v>
      </c>
      <c r="CX710" s="16"/>
      <c r="CY710" s="16"/>
      <c r="CZ710" s="16"/>
    </row>
    <row r="711" spans="1:108" ht="15" customHeight="1" x14ac:dyDescent="0.2">
      <c r="A711" s="1">
        <v>8190009850</v>
      </c>
      <c r="B711" s="1">
        <v>819000985</v>
      </c>
      <c r="C711" s="9">
        <v>214547545</v>
      </c>
      <c r="D711" s="10" t="s">
        <v>2125</v>
      </c>
      <c r="E711" s="42" t="s">
        <v>1671</v>
      </c>
      <c r="F711" s="21"/>
      <c r="G711" s="50"/>
      <c r="H711" s="21"/>
      <c r="I711" s="50"/>
      <c r="J711" s="21"/>
      <c r="K711" s="21"/>
      <c r="L711" s="50"/>
      <c r="M711" s="51"/>
      <c r="N711" s="21"/>
      <c r="O711" s="50"/>
      <c r="P711" s="21"/>
      <c r="Q711" s="50"/>
      <c r="R711" s="21"/>
      <c r="S711" s="21"/>
      <c r="T711" s="50"/>
      <c r="U711" s="51">
        <f t="shared" si="113"/>
        <v>0</v>
      </c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>
        <v>54852280</v>
      </c>
      <c r="AN711" s="51">
        <f>SUBTOTAL(9,AC711:AM711)</f>
        <v>54852280</v>
      </c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>
        <v>227045125</v>
      </c>
      <c r="AZ711" s="51"/>
      <c r="BA711" s="51">
        <f>VLOOKUP(B711,[1]Hoja3!J$3:K$674,2,0)</f>
        <v>263940829</v>
      </c>
      <c r="BB711" s="51"/>
      <c r="BC711" s="52">
        <f t="shared" si="116"/>
        <v>545838234</v>
      </c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>
        <v>45409025</v>
      </c>
      <c r="BO711" s="51"/>
      <c r="BP711" s="52">
        <v>591247259</v>
      </c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>
        <v>45409025</v>
      </c>
      <c r="CD711" s="52"/>
      <c r="CE711" s="52"/>
      <c r="CF711" s="52"/>
      <c r="CG711" s="52">
        <f t="shared" si="117"/>
        <v>636656284</v>
      </c>
      <c r="CH711" s="52"/>
      <c r="CI711" s="52"/>
      <c r="CJ711" s="52"/>
      <c r="CK711" s="52"/>
      <c r="CL711" s="52"/>
      <c r="CM711" s="52"/>
      <c r="CN711" s="52"/>
      <c r="CO711" s="52"/>
      <c r="CP711" s="52"/>
      <c r="CQ711" s="52">
        <v>45409025</v>
      </c>
      <c r="CR711" s="52"/>
      <c r="CS711" s="52">
        <f t="shared" si="114"/>
        <v>682065309</v>
      </c>
      <c r="CT711" s="53">
        <v>363272200</v>
      </c>
      <c r="CU711" s="53">
        <f t="shared" si="115"/>
        <v>318793109</v>
      </c>
      <c r="CV711" s="54">
        <f t="shared" si="118"/>
        <v>682065309</v>
      </c>
      <c r="CW711" s="55">
        <f t="shared" si="119"/>
        <v>0</v>
      </c>
      <c r="CX711" s="16"/>
      <c r="CY711" s="16"/>
      <c r="CZ711" s="16"/>
    </row>
    <row r="712" spans="1:108" ht="15" customHeight="1" x14ac:dyDescent="0.2">
      <c r="A712" s="1">
        <v>8902042650</v>
      </c>
      <c r="B712" s="1">
        <v>890204265</v>
      </c>
      <c r="C712" s="9">
        <v>214968549</v>
      </c>
      <c r="D712" s="10" t="s">
        <v>867</v>
      </c>
      <c r="E712" s="42" t="s">
        <v>1879</v>
      </c>
      <c r="F712" s="21"/>
      <c r="G712" s="50"/>
      <c r="H712" s="21"/>
      <c r="I712" s="50"/>
      <c r="J712" s="21"/>
      <c r="K712" s="21"/>
      <c r="L712" s="50"/>
      <c r="M712" s="51"/>
      <c r="N712" s="21"/>
      <c r="O712" s="50"/>
      <c r="P712" s="21"/>
      <c r="Q712" s="50"/>
      <c r="R712" s="21"/>
      <c r="S712" s="21"/>
      <c r="T712" s="50"/>
      <c r="U712" s="51">
        <f t="shared" si="113"/>
        <v>0</v>
      </c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>
        <v>53751077</v>
      </c>
      <c r="AN712" s="51">
        <f>SUBTOTAL(9,AC712:AM712)</f>
        <v>53751077</v>
      </c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>
        <v>24676270</v>
      </c>
      <c r="AZ712" s="51"/>
      <c r="BA712" s="51"/>
      <c r="BB712" s="51"/>
      <c r="BC712" s="52">
        <f t="shared" si="116"/>
        <v>78427347</v>
      </c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>
        <v>4935254</v>
      </c>
      <c r="BO712" s="51"/>
      <c r="BP712" s="52">
        <v>83362601</v>
      </c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>
        <v>4935254</v>
      </c>
      <c r="CD712" s="52"/>
      <c r="CE712" s="52"/>
      <c r="CF712" s="52"/>
      <c r="CG712" s="52">
        <f t="shared" si="117"/>
        <v>88297855</v>
      </c>
      <c r="CH712" s="52"/>
      <c r="CI712" s="52"/>
      <c r="CJ712" s="52"/>
      <c r="CK712" s="52"/>
      <c r="CL712" s="52"/>
      <c r="CM712" s="52"/>
      <c r="CN712" s="52"/>
      <c r="CO712" s="52"/>
      <c r="CP712" s="52"/>
      <c r="CQ712" s="52">
        <v>4935254</v>
      </c>
      <c r="CR712" s="52"/>
      <c r="CS712" s="52">
        <f t="shared" si="114"/>
        <v>93233109</v>
      </c>
      <c r="CT712" s="53">
        <v>39482032</v>
      </c>
      <c r="CU712" s="53">
        <f t="shared" si="115"/>
        <v>53751077</v>
      </c>
      <c r="CV712" s="54">
        <f t="shared" si="118"/>
        <v>93233109</v>
      </c>
      <c r="CW712" s="55">
        <f t="shared" si="119"/>
        <v>0</v>
      </c>
      <c r="CX712" s="16"/>
      <c r="CY712" s="16"/>
      <c r="CZ712" s="16"/>
    </row>
    <row r="713" spans="1:108" ht="15" customHeight="1" x14ac:dyDescent="0.2">
      <c r="A713" s="1">
        <v>8000429740</v>
      </c>
      <c r="B713" s="1">
        <v>800042974</v>
      </c>
      <c r="C713" s="9">
        <v>214913549</v>
      </c>
      <c r="D713" s="10" t="s">
        <v>200</v>
      </c>
      <c r="E713" s="42" t="s">
        <v>1231</v>
      </c>
      <c r="F713" s="21"/>
      <c r="G713" s="50"/>
      <c r="H713" s="21"/>
      <c r="I713" s="50"/>
      <c r="J713" s="21"/>
      <c r="K713" s="21"/>
      <c r="L713" s="50"/>
      <c r="M713" s="51"/>
      <c r="N713" s="21"/>
      <c r="O713" s="50"/>
      <c r="P713" s="21"/>
      <c r="Q713" s="50"/>
      <c r="R713" s="21"/>
      <c r="S713" s="21"/>
      <c r="T713" s="50"/>
      <c r="U713" s="51">
        <f t="shared" si="113"/>
        <v>0</v>
      </c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>
        <v>160402669</v>
      </c>
      <c r="AN713" s="51">
        <f>SUBTOTAL(9,AC713:AM713)</f>
        <v>160402669</v>
      </c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>
        <f>VLOOKUP(B713,[1]Hoja3!J$3:K$674,2,0)</f>
        <v>349173651</v>
      </c>
      <c r="BB713" s="51"/>
      <c r="BC713" s="52">
        <f t="shared" si="116"/>
        <v>509576320</v>
      </c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>
        <v>0</v>
      </c>
      <c r="BO713" s="51"/>
      <c r="BP713" s="52">
        <v>509576320</v>
      </c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>
        <v>530796133</v>
      </c>
      <c r="CD713" s="52"/>
      <c r="CE713" s="52"/>
      <c r="CF713" s="52"/>
      <c r="CG713" s="52">
        <f t="shared" si="117"/>
        <v>1040372453</v>
      </c>
      <c r="CH713" s="52"/>
      <c r="CI713" s="52"/>
      <c r="CJ713" s="52"/>
      <c r="CK713" s="52"/>
      <c r="CL713" s="52"/>
      <c r="CM713" s="52"/>
      <c r="CN713" s="52"/>
      <c r="CO713" s="52"/>
      <c r="CP713" s="52"/>
      <c r="CQ713" s="52">
        <v>75828019</v>
      </c>
      <c r="CR713" s="52">
        <v>29705480</v>
      </c>
      <c r="CS713" s="52">
        <f t="shared" si="114"/>
        <v>1145905952</v>
      </c>
      <c r="CT713" s="53">
        <v>606624152</v>
      </c>
      <c r="CU713" s="53">
        <f t="shared" si="115"/>
        <v>539281800</v>
      </c>
      <c r="CV713" s="54">
        <f t="shared" si="118"/>
        <v>1145905952</v>
      </c>
      <c r="CW713" s="55">
        <f t="shared" si="119"/>
        <v>0</v>
      </c>
      <c r="CX713" s="16"/>
      <c r="CY713" s="8"/>
      <c r="CZ713" s="8"/>
      <c r="DA713" s="8"/>
      <c r="DB713" s="8"/>
      <c r="DC713" s="8"/>
      <c r="DD713" s="8"/>
    </row>
    <row r="714" spans="1:108" ht="15" customHeight="1" x14ac:dyDescent="0.2">
      <c r="A714" s="1">
        <v>8000944577</v>
      </c>
      <c r="B714" s="1">
        <v>800094457</v>
      </c>
      <c r="C714" s="9">
        <v>214908549</v>
      </c>
      <c r="D714" s="10" t="s">
        <v>169</v>
      </c>
      <c r="E714" s="42" t="s">
        <v>1198</v>
      </c>
      <c r="F714" s="21"/>
      <c r="G714" s="50"/>
      <c r="H714" s="21"/>
      <c r="I714" s="50"/>
      <c r="J714" s="21"/>
      <c r="K714" s="21"/>
      <c r="L714" s="50"/>
      <c r="M714" s="51"/>
      <c r="N714" s="21"/>
      <c r="O714" s="50"/>
      <c r="P714" s="21"/>
      <c r="Q714" s="50"/>
      <c r="R714" s="21"/>
      <c r="S714" s="21"/>
      <c r="T714" s="50"/>
      <c r="U714" s="51">
        <f t="shared" si="113"/>
        <v>0</v>
      </c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>
        <f>VLOOKUP(B714,[1]Hoja3!J$3:K$674,2,0)</f>
        <v>82360595</v>
      </c>
      <c r="BB714" s="51"/>
      <c r="BC714" s="52">
        <f t="shared" si="116"/>
        <v>82360595</v>
      </c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>
        <v>0</v>
      </c>
      <c r="BO714" s="51"/>
      <c r="BP714" s="52">
        <v>82360595</v>
      </c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>
        <v>0</v>
      </c>
      <c r="CD714" s="52"/>
      <c r="CE714" s="52"/>
      <c r="CF714" s="52"/>
      <c r="CG714" s="52">
        <f t="shared" si="117"/>
        <v>82360595</v>
      </c>
      <c r="CH714" s="52"/>
      <c r="CI714" s="52"/>
      <c r="CJ714" s="52"/>
      <c r="CK714" s="52"/>
      <c r="CL714" s="52"/>
      <c r="CM714" s="52"/>
      <c r="CN714" s="52"/>
      <c r="CO714" s="52"/>
      <c r="CP714" s="52"/>
      <c r="CQ714" s="52">
        <v>65993696</v>
      </c>
      <c r="CR714" s="52"/>
      <c r="CS714" s="52">
        <f t="shared" si="114"/>
        <v>148354291</v>
      </c>
      <c r="CT714" s="53">
        <v>65993696</v>
      </c>
      <c r="CU714" s="53">
        <f t="shared" si="115"/>
        <v>82360595</v>
      </c>
      <c r="CV714" s="54">
        <f t="shared" si="118"/>
        <v>148354291</v>
      </c>
      <c r="CW714" s="55">
        <f t="shared" si="119"/>
        <v>0</v>
      </c>
      <c r="CX714" s="16"/>
      <c r="CY714" s="16"/>
      <c r="CZ714" s="16"/>
    </row>
    <row r="715" spans="1:108" ht="15" customHeight="1" x14ac:dyDescent="0.2">
      <c r="A715" s="1">
        <v>8000663895</v>
      </c>
      <c r="B715" s="1">
        <v>800066389</v>
      </c>
      <c r="C715" s="9">
        <v>215015550</v>
      </c>
      <c r="D715" s="10" t="s">
        <v>287</v>
      </c>
      <c r="E715" s="42" t="s">
        <v>1319</v>
      </c>
      <c r="F715" s="21"/>
      <c r="G715" s="50"/>
      <c r="H715" s="21"/>
      <c r="I715" s="50"/>
      <c r="J715" s="21"/>
      <c r="K715" s="21"/>
      <c r="L715" s="50"/>
      <c r="M715" s="51"/>
      <c r="N715" s="21"/>
      <c r="O715" s="50"/>
      <c r="P715" s="21"/>
      <c r="Q715" s="50"/>
      <c r="R715" s="21"/>
      <c r="S715" s="21"/>
      <c r="T715" s="50"/>
      <c r="U715" s="51">
        <f t="shared" si="113"/>
        <v>0</v>
      </c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>
        <f>VLOOKUP(B715,[1]Hoja3!J$3:K$674,2,0)</f>
        <v>23194870</v>
      </c>
      <c r="BB715" s="51"/>
      <c r="BC715" s="52">
        <f t="shared" si="116"/>
        <v>23194870</v>
      </c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>
        <v>0</v>
      </c>
      <c r="BO715" s="51"/>
      <c r="BP715" s="52">
        <v>23194870</v>
      </c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>
        <v>25658129</v>
      </c>
      <c r="CD715" s="52"/>
      <c r="CE715" s="52"/>
      <c r="CF715" s="52"/>
      <c r="CG715" s="52">
        <f t="shared" si="117"/>
        <v>48852999</v>
      </c>
      <c r="CH715" s="52"/>
      <c r="CI715" s="52"/>
      <c r="CJ715" s="52"/>
      <c r="CK715" s="52"/>
      <c r="CL715" s="52"/>
      <c r="CM715" s="52"/>
      <c r="CN715" s="52"/>
      <c r="CO715" s="52"/>
      <c r="CP715" s="52"/>
      <c r="CQ715" s="52">
        <v>3665447</v>
      </c>
      <c r="CR715" s="52"/>
      <c r="CS715" s="52">
        <f t="shared" si="114"/>
        <v>52518446</v>
      </c>
      <c r="CT715" s="53">
        <v>29323576</v>
      </c>
      <c r="CU715" s="53">
        <f t="shared" si="115"/>
        <v>23194870</v>
      </c>
      <c r="CV715" s="54">
        <f t="shared" si="118"/>
        <v>52518446</v>
      </c>
      <c r="CW715" s="55">
        <f t="shared" si="119"/>
        <v>0</v>
      </c>
      <c r="CX715" s="16"/>
      <c r="CY715" s="8"/>
      <c r="CZ715" s="8"/>
      <c r="DA715" s="8"/>
      <c r="DB715" s="8"/>
      <c r="DC715" s="8"/>
      <c r="DD715" s="8"/>
    </row>
    <row r="716" spans="1:108" ht="15" customHeight="1" x14ac:dyDescent="0.2">
      <c r="A716" s="1">
        <v>8911801990</v>
      </c>
      <c r="B716" s="1">
        <v>891180199</v>
      </c>
      <c r="C716" s="9">
        <v>214841548</v>
      </c>
      <c r="D716" s="10" t="s">
        <v>615</v>
      </c>
      <c r="E716" s="42" t="s">
        <v>1634</v>
      </c>
      <c r="F716" s="21"/>
      <c r="G716" s="50"/>
      <c r="H716" s="21"/>
      <c r="I716" s="50"/>
      <c r="J716" s="21"/>
      <c r="K716" s="21"/>
      <c r="L716" s="50"/>
      <c r="M716" s="51"/>
      <c r="N716" s="21"/>
      <c r="O716" s="50"/>
      <c r="P716" s="21"/>
      <c r="Q716" s="50"/>
      <c r="R716" s="21"/>
      <c r="S716" s="21"/>
      <c r="T716" s="50"/>
      <c r="U716" s="51">
        <f t="shared" si="113"/>
        <v>0</v>
      </c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>
        <v>106046070</v>
      </c>
      <c r="AZ716" s="51"/>
      <c r="BA716" s="51">
        <f>VLOOKUP(B716,[1]Hoja3!J$3:K$674,2,0)</f>
        <v>237991190</v>
      </c>
      <c r="BB716" s="51"/>
      <c r="BC716" s="52">
        <f t="shared" si="116"/>
        <v>344037260</v>
      </c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>
        <v>21209214</v>
      </c>
      <c r="BO716" s="51"/>
      <c r="BP716" s="52">
        <v>365246474</v>
      </c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>
        <v>21209214</v>
      </c>
      <c r="CD716" s="52"/>
      <c r="CE716" s="52"/>
      <c r="CF716" s="52"/>
      <c r="CG716" s="52">
        <f t="shared" si="117"/>
        <v>386455688</v>
      </c>
      <c r="CH716" s="52"/>
      <c r="CI716" s="52"/>
      <c r="CJ716" s="52"/>
      <c r="CK716" s="52"/>
      <c r="CL716" s="52"/>
      <c r="CM716" s="52"/>
      <c r="CN716" s="52"/>
      <c r="CO716" s="52"/>
      <c r="CP716" s="52"/>
      <c r="CQ716" s="52">
        <v>21209214</v>
      </c>
      <c r="CR716" s="52"/>
      <c r="CS716" s="52">
        <f t="shared" si="114"/>
        <v>407664902</v>
      </c>
      <c r="CT716" s="53">
        <v>169673712</v>
      </c>
      <c r="CU716" s="53">
        <f t="shared" si="115"/>
        <v>237991190</v>
      </c>
      <c r="CV716" s="54">
        <f t="shared" si="118"/>
        <v>407664902</v>
      </c>
      <c r="CW716" s="55">
        <f t="shared" si="119"/>
        <v>0</v>
      </c>
      <c r="CX716" s="16"/>
      <c r="CY716" s="16"/>
      <c r="CZ716" s="16"/>
    </row>
    <row r="717" spans="1:108" ht="15" customHeight="1" x14ac:dyDescent="0.2">
      <c r="A717" s="1">
        <v>8911800770</v>
      </c>
      <c r="B717" s="1">
        <v>891180077</v>
      </c>
      <c r="C717" s="9">
        <v>215141551</v>
      </c>
      <c r="D717" s="10" t="s">
        <v>616</v>
      </c>
      <c r="E717" s="43" t="s">
        <v>1635</v>
      </c>
      <c r="F717" s="21"/>
      <c r="G717" s="50"/>
      <c r="H717" s="21"/>
      <c r="I717" s="57">
        <f>3611108562+44394334</f>
        <v>3655502896</v>
      </c>
      <c r="J717" s="21">
        <v>263963908</v>
      </c>
      <c r="K717" s="21">
        <v>528974036</v>
      </c>
      <c r="L717" s="50"/>
      <c r="M717" s="52">
        <f>SUM(F717:L717)</f>
        <v>4448440840</v>
      </c>
      <c r="N717" s="21"/>
      <c r="O717" s="50"/>
      <c r="P717" s="21"/>
      <c r="Q717" s="50">
        <f>3501171083+207000000</f>
        <v>3708171083</v>
      </c>
      <c r="R717" s="21">
        <v>264656779</v>
      </c>
      <c r="S717" s="21">
        <f>265010128+264656779</f>
        <v>529666907</v>
      </c>
      <c r="T717" s="50"/>
      <c r="U717" s="51">
        <f t="shared" si="113"/>
        <v>8950935609</v>
      </c>
      <c r="V717" s="51"/>
      <c r="W717" s="51"/>
      <c r="X717" s="51"/>
      <c r="Y717" s="51">
        <v>5641907205</v>
      </c>
      <c r="Z717" s="51">
        <v>261193406</v>
      </c>
      <c r="AA717" s="51">
        <v>596337080</v>
      </c>
      <c r="AB717" s="51"/>
      <c r="AC717" s="51">
        <f t="shared" ref="AC717:AC771" si="120">SUM(U717:AB717)</f>
        <v>15450373300</v>
      </c>
      <c r="AD717" s="51"/>
      <c r="AE717" s="51"/>
      <c r="AF717" s="51"/>
      <c r="AG717" s="51"/>
      <c r="AH717" s="51">
        <v>3723630729</v>
      </c>
      <c r="AI717" s="51">
        <v>360439441</v>
      </c>
      <c r="AJ717" s="51">
        <v>272073093</v>
      </c>
      <c r="AK717" s="51">
        <v>686198640</v>
      </c>
      <c r="AL717" s="51"/>
      <c r="AM717" s="51">
        <v>2018062343</v>
      </c>
      <c r="AN717" s="51">
        <f>SUBTOTAL(9,AC717:AM717)</f>
        <v>22510777546</v>
      </c>
      <c r="AO717" s="51"/>
      <c r="AP717" s="51"/>
      <c r="AQ717" s="51">
        <v>761832800</v>
      </c>
      <c r="AR717" s="51"/>
      <c r="AS717" s="51"/>
      <c r="AT717" s="51">
        <v>3723630729</v>
      </c>
      <c r="AU717" s="51"/>
      <c r="AV717" s="51">
        <v>272073093</v>
      </c>
      <c r="AW717" s="51">
        <v>464893600</v>
      </c>
      <c r="AX717" s="51"/>
      <c r="AY717" s="51"/>
      <c r="AZ717" s="51"/>
      <c r="BA717" s="51"/>
      <c r="BB717" s="51"/>
      <c r="BC717" s="52">
        <f t="shared" si="116"/>
        <v>27733207768</v>
      </c>
      <c r="BD717" s="51"/>
      <c r="BE717" s="51"/>
      <c r="BF717" s="51">
        <v>152366560</v>
      </c>
      <c r="BG717" s="51"/>
      <c r="BH717" s="51"/>
      <c r="BI717" s="51">
        <v>3755863565</v>
      </c>
      <c r="BJ717" s="51">
        <v>242138820</v>
      </c>
      <c r="BK717" s="51">
        <v>284664615</v>
      </c>
      <c r="BL717" s="51">
        <v>886263967</v>
      </c>
      <c r="BM717" s="51"/>
      <c r="BN717" s="51"/>
      <c r="BO717" s="51"/>
      <c r="BP717" s="52">
        <v>33054505295</v>
      </c>
      <c r="BQ717" s="52"/>
      <c r="BR717" s="52"/>
      <c r="BS717" s="52">
        <v>152366560</v>
      </c>
      <c r="BT717" s="52"/>
      <c r="BU717" s="52"/>
      <c r="BV717" s="52"/>
      <c r="BW717" s="52">
        <v>3831289001</v>
      </c>
      <c r="BX717" s="52"/>
      <c r="BY717" s="52">
        <v>1720228982</v>
      </c>
      <c r="BZ717" s="52">
        <v>279644211</v>
      </c>
      <c r="CA717" s="52">
        <v>731637110</v>
      </c>
      <c r="CB717" s="52"/>
      <c r="CC717" s="52"/>
      <c r="CD717" s="52"/>
      <c r="CE717" s="52"/>
      <c r="CF717" s="52"/>
      <c r="CG717" s="52">
        <f t="shared" si="117"/>
        <v>39769671159</v>
      </c>
      <c r="CH717" s="52"/>
      <c r="CI717" s="52"/>
      <c r="CJ717" s="52">
        <v>152366560</v>
      </c>
      <c r="CK717" s="52"/>
      <c r="CL717" s="52">
        <v>3836549864</v>
      </c>
      <c r="CM717" s="52">
        <v>256393703</v>
      </c>
      <c r="CN717" s="52">
        <v>275935636</v>
      </c>
      <c r="CO717" s="52">
        <v>502421896</v>
      </c>
      <c r="CP717" s="52"/>
      <c r="CQ717" s="52"/>
      <c r="CR717" s="52"/>
      <c r="CS717" s="52">
        <f t="shared" si="114"/>
        <v>44793338818</v>
      </c>
      <c r="CT717" s="53">
        <v>42775276475</v>
      </c>
      <c r="CU717" s="53">
        <f t="shared" si="115"/>
        <v>2018062343</v>
      </c>
      <c r="CV717" s="54">
        <f t="shared" si="118"/>
        <v>44793338818</v>
      </c>
      <c r="CW717" s="55">
        <f t="shared" si="119"/>
        <v>0</v>
      </c>
      <c r="CX717" s="16"/>
      <c r="CY717" s="16"/>
      <c r="CZ717" s="16"/>
    </row>
    <row r="718" spans="1:108" ht="15" customHeight="1" x14ac:dyDescent="0.2">
      <c r="A718" s="1">
        <v>8917800507</v>
      </c>
      <c r="B718" s="1">
        <v>891780050</v>
      </c>
      <c r="C718" s="9">
        <v>215147551</v>
      </c>
      <c r="D718" s="10" t="s">
        <v>652</v>
      </c>
      <c r="E718" s="42" t="s">
        <v>1672</v>
      </c>
      <c r="F718" s="21"/>
      <c r="G718" s="50"/>
      <c r="H718" s="21"/>
      <c r="I718" s="50"/>
      <c r="J718" s="21"/>
      <c r="K718" s="21"/>
      <c r="L718" s="50"/>
      <c r="M718" s="51"/>
      <c r="N718" s="21"/>
      <c r="O718" s="50"/>
      <c r="P718" s="21"/>
      <c r="Q718" s="50"/>
      <c r="R718" s="21"/>
      <c r="S718" s="21"/>
      <c r="T718" s="50"/>
      <c r="U718" s="51">
        <f t="shared" si="113"/>
        <v>0</v>
      </c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>
        <v>621731963</v>
      </c>
      <c r="AN718" s="51">
        <f>SUBTOTAL(9,AC718:AM718)</f>
        <v>621731963</v>
      </c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>
        <v>355027800</v>
      </c>
      <c r="AZ718" s="51"/>
      <c r="BA718" s="51">
        <f>VLOOKUP(B718,[1]Hoja3!J$3:K$674,2,0)</f>
        <v>120746543</v>
      </c>
      <c r="BB718" s="51"/>
      <c r="BC718" s="52">
        <f t="shared" si="116"/>
        <v>1097506306</v>
      </c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>
        <v>71005560</v>
      </c>
      <c r="BO718" s="51"/>
      <c r="BP718" s="52">
        <v>1168511866</v>
      </c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>
        <v>71005560</v>
      </c>
      <c r="CD718" s="52"/>
      <c r="CE718" s="52"/>
      <c r="CF718" s="52"/>
      <c r="CG718" s="52">
        <f t="shared" si="117"/>
        <v>1239517426</v>
      </c>
      <c r="CH718" s="52"/>
      <c r="CI718" s="52"/>
      <c r="CJ718" s="52"/>
      <c r="CK718" s="52"/>
      <c r="CL718" s="52"/>
      <c r="CM718" s="52"/>
      <c r="CN718" s="52"/>
      <c r="CO718" s="52"/>
      <c r="CP718" s="52"/>
      <c r="CQ718" s="52">
        <v>71005560</v>
      </c>
      <c r="CR718" s="52"/>
      <c r="CS718" s="52">
        <f t="shared" si="114"/>
        <v>1310522986</v>
      </c>
      <c r="CT718" s="53">
        <v>568044480</v>
      </c>
      <c r="CU718" s="53">
        <f t="shared" si="115"/>
        <v>742478506</v>
      </c>
      <c r="CV718" s="54">
        <f t="shared" si="118"/>
        <v>1310522986</v>
      </c>
      <c r="CW718" s="55">
        <f t="shared" si="119"/>
        <v>0</v>
      </c>
      <c r="CX718" s="16"/>
      <c r="CY718" s="16"/>
      <c r="CZ718" s="16"/>
    </row>
    <row r="719" spans="1:108" ht="15" customHeight="1" x14ac:dyDescent="0.2">
      <c r="A719" s="1">
        <v>8001001371</v>
      </c>
      <c r="B719" s="1">
        <v>800100137</v>
      </c>
      <c r="C719" s="9">
        <v>215573555</v>
      </c>
      <c r="D719" s="10" t="s">
        <v>2232</v>
      </c>
      <c r="E719" s="42" t="s">
        <v>1958</v>
      </c>
      <c r="F719" s="21"/>
      <c r="G719" s="50"/>
      <c r="H719" s="21"/>
      <c r="I719" s="50"/>
      <c r="J719" s="21"/>
      <c r="K719" s="21"/>
      <c r="L719" s="50"/>
      <c r="M719" s="51"/>
      <c r="N719" s="21"/>
      <c r="O719" s="50"/>
      <c r="P719" s="21"/>
      <c r="Q719" s="50"/>
      <c r="R719" s="21"/>
      <c r="S719" s="21"/>
      <c r="T719" s="50"/>
      <c r="U719" s="51">
        <f t="shared" si="113"/>
        <v>0</v>
      </c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>
        <v>296223605</v>
      </c>
      <c r="AZ719" s="51"/>
      <c r="BA719" s="51">
        <f>VLOOKUP(B719,[1]Hoja3!J$3:K$674,2,0)</f>
        <v>535803896</v>
      </c>
      <c r="BB719" s="51"/>
      <c r="BC719" s="52">
        <f t="shared" si="116"/>
        <v>832027501</v>
      </c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>
        <v>59244721</v>
      </c>
      <c r="BO719" s="51"/>
      <c r="BP719" s="52">
        <v>891272222</v>
      </c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>
        <v>59244721</v>
      </c>
      <c r="CD719" s="52"/>
      <c r="CE719" s="52"/>
      <c r="CF719" s="52"/>
      <c r="CG719" s="52">
        <f t="shared" si="117"/>
        <v>950516943</v>
      </c>
      <c r="CH719" s="52"/>
      <c r="CI719" s="52"/>
      <c r="CJ719" s="52"/>
      <c r="CK719" s="52"/>
      <c r="CL719" s="52"/>
      <c r="CM719" s="52"/>
      <c r="CN719" s="52"/>
      <c r="CO719" s="52"/>
      <c r="CP719" s="52"/>
      <c r="CQ719" s="52">
        <v>59244721</v>
      </c>
      <c r="CR719" s="52"/>
      <c r="CS719" s="52">
        <f t="shared" si="114"/>
        <v>1009761664</v>
      </c>
      <c r="CT719" s="53">
        <v>473957768</v>
      </c>
      <c r="CU719" s="53">
        <f t="shared" si="115"/>
        <v>535803896</v>
      </c>
      <c r="CV719" s="54">
        <f t="shared" si="118"/>
        <v>1009761664</v>
      </c>
      <c r="CW719" s="55">
        <f t="shared" si="119"/>
        <v>0</v>
      </c>
      <c r="CX719" s="16"/>
      <c r="CY719" s="16"/>
      <c r="CZ719" s="16"/>
    </row>
    <row r="720" spans="1:108" ht="15" customHeight="1" x14ac:dyDescent="0.2">
      <c r="A720" s="1">
        <v>8000967651</v>
      </c>
      <c r="B720" s="1">
        <v>800096765</v>
      </c>
      <c r="C720" s="9">
        <v>215523555</v>
      </c>
      <c r="D720" s="10" t="s">
        <v>450</v>
      </c>
      <c r="E720" s="42" t="s">
        <v>1477</v>
      </c>
      <c r="F720" s="21"/>
      <c r="G720" s="50"/>
      <c r="H720" s="21"/>
      <c r="I720" s="50"/>
      <c r="J720" s="21"/>
      <c r="K720" s="21"/>
      <c r="L720" s="50"/>
      <c r="M720" s="51"/>
      <c r="N720" s="21"/>
      <c r="O720" s="50"/>
      <c r="P720" s="21"/>
      <c r="Q720" s="50"/>
      <c r="R720" s="21"/>
      <c r="S720" s="21"/>
      <c r="T720" s="50"/>
      <c r="U720" s="51">
        <f t="shared" si="113"/>
        <v>0</v>
      </c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>
        <v>1136793189</v>
      </c>
      <c r="AN720" s="51">
        <f t="shared" ref="AN720:AN727" si="121">SUBTOTAL(9,AC720:AM720)</f>
        <v>1136793189</v>
      </c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2">
        <f t="shared" si="116"/>
        <v>1136793189</v>
      </c>
      <c r="BD720" s="51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>
        <v>0</v>
      </c>
      <c r="BO720" s="51"/>
      <c r="BP720" s="52">
        <v>1136793189</v>
      </c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>
        <v>942396560</v>
      </c>
      <c r="CD720" s="52"/>
      <c r="CE720" s="52"/>
      <c r="CF720" s="52"/>
      <c r="CG720" s="52">
        <f t="shared" si="117"/>
        <v>2079189749</v>
      </c>
      <c r="CH720" s="52"/>
      <c r="CI720" s="52"/>
      <c r="CJ720" s="52"/>
      <c r="CK720" s="52"/>
      <c r="CL720" s="52"/>
      <c r="CM720" s="52"/>
      <c r="CN720" s="52"/>
      <c r="CO720" s="52"/>
      <c r="CP720" s="52"/>
      <c r="CQ720" s="52">
        <v>134628080</v>
      </c>
      <c r="CR720" s="52"/>
      <c r="CS720" s="52">
        <f t="shared" si="114"/>
        <v>2213817829</v>
      </c>
      <c r="CT720" s="53">
        <v>1077024640</v>
      </c>
      <c r="CU720" s="53">
        <f t="shared" si="115"/>
        <v>1136793189</v>
      </c>
      <c r="CV720" s="54">
        <f t="shared" si="118"/>
        <v>2213817829</v>
      </c>
      <c r="CW720" s="55">
        <f t="shared" si="119"/>
        <v>0</v>
      </c>
      <c r="CX720" s="16"/>
      <c r="CY720" s="16"/>
      <c r="CZ720" s="16"/>
    </row>
    <row r="721" spans="1:104" ht="15" customHeight="1" x14ac:dyDescent="0.2">
      <c r="A721" s="1">
        <v>8917800514</v>
      </c>
      <c r="B721" s="1">
        <v>891780051</v>
      </c>
      <c r="C721" s="9">
        <v>215547555</v>
      </c>
      <c r="D721" s="10" t="s">
        <v>653</v>
      </c>
      <c r="E721" s="42" t="s">
        <v>1673</v>
      </c>
      <c r="F721" s="21"/>
      <c r="G721" s="50"/>
      <c r="H721" s="21"/>
      <c r="I721" s="50"/>
      <c r="J721" s="21"/>
      <c r="K721" s="21"/>
      <c r="L721" s="50"/>
      <c r="M721" s="51"/>
      <c r="N721" s="21"/>
      <c r="O721" s="50"/>
      <c r="P721" s="21"/>
      <c r="Q721" s="50"/>
      <c r="R721" s="21"/>
      <c r="S721" s="21"/>
      <c r="T721" s="50"/>
      <c r="U721" s="51">
        <f t="shared" si="113"/>
        <v>0</v>
      </c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>
        <v>856430061</v>
      </c>
      <c r="AN721" s="51">
        <f t="shared" si="121"/>
        <v>856430061</v>
      </c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>
        <f>VLOOKUP(B721,[1]Hoja3!J$3:K$674,2,0)</f>
        <v>302175842</v>
      </c>
      <c r="BB721" s="51">
        <f>VLOOKUP(B721,'[2]anuladas en mayo gratuidad}'!K$2:L$55,2,0)</f>
        <v>291831724</v>
      </c>
      <c r="BC721" s="52">
        <f t="shared" si="116"/>
        <v>866774179</v>
      </c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>
        <v>152964976</v>
      </c>
      <c r="BO721" s="51">
        <v>291831724</v>
      </c>
      <c r="BP721" s="52">
        <v>1311570879</v>
      </c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>
        <v>152964976</v>
      </c>
      <c r="CD721" s="52">
        <v>764824880</v>
      </c>
      <c r="CE721" s="52"/>
      <c r="CF721" s="52"/>
      <c r="CG721" s="52">
        <f t="shared" si="117"/>
        <v>2229360735</v>
      </c>
      <c r="CH721" s="52"/>
      <c r="CI721" s="52"/>
      <c r="CJ721" s="52"/>
      <c r="CK721" s="52"/>
      <c r="CL721" s="52"/>
      <c r="CM721" s="52"/>
      <c r="CN721" s="52"/>
      <c r="CO721" s="52"/>
      <c r="CP721" s="52"/>
      <c r="CQ721" s="52">
        <v>152964976</v>
      </c>
      <c r="CR721" s="52"/>
      <c r="CS721" s="52">
        <f t="shared" si="114"/>
        <v>2382325711</v>
      </c>
      <c r="CT721" s="53">
        <v>1223719808</v>
      </c>
      <c r="CU721" s="53">
        <f t="shared" si="115"/>
        <v>1158605903</v>
      </c>
      <c r="CV721" s="54">
        <f t="shared" si="118"/>
        <v>2382325711</v>
      </c>
      <c r="CW721" s="55">
        <f t="shared" si="119"/>
        <v>0</v>
      </c>
      <c r="CX721" s="16"/>
      <c r="CY721" s="16"/>
      <c r="CZ721" s="16"/>
    </row>
    <row r="722" spans="1:104" ht="15" customHeight="1" x14ac:dyDescent="0.2">
      <c r="A722" s="1">
        <v>8000203249</v>
      </c>
      <c r="B722" s="1">
        <v>800020324</v>
      </c>
      <c r="C722" s="9">
        <v>214052540</v>
      </c>
      <c r="D722" s="10" t="s">
        <v>731</v>
      </c>
      <c r="E722" s="42" t="s">
        <v>1753</v>
      </c>
      <c r="F722" s="21"/>
      <c r="G722" s="50"/>
      <c r="H722" s="21"/>
      <c r="I722" s="50"/>
      <c r="J722" s="21"/>
      <c r="K722" s="21"/>
      <c r="L722" s="50"/>
      <c r="M722" s="51"/>
      <c r="N722" s="21"/>
      <c r="O722" s="50"/>
      <c r="P722" s="21"/>
      <c r="Q722" s="50"/>
      <c r="R722" s="21"/>
      <c r="S722" s="21"/>
      <c r="T722" s="50"/>
      <c r="U722" s="51">
        <f t="shared" si="113"/>
        <v>0</v>
      </c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>
        <v>161688048</v>
      </c>
      <c r="AN722" s="51">
        <f t="shared" si="121"/>
        <v>161688048</v>
      </c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>
        <f>VLOOKUP(B722,[1]Hoja3!J$3:K$674,2,0)</f>
        <v>36864787</v>
      </c>
      <c r="BB722" s="51"/>
      <c r="BC722" s="52">
        <f t="shared" si="116"/>
        <v>198552835</v>
      </c>
      <c r="BD722" s="51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>
        <v>0</v>
      </c>
      <c r="BO722" s="51"/>
      <c r="BP722" s="52">
        <v>198552835</v>
      </c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>
        <v>0</v>
      </c>
      <c r="CD722" s="52"/>
      <c r="CE722" s="52"/>
      <c r="CF722" s="52"/>
      <c r="CG722" s="52">
        <f t="shared" si="117"/>
        <v>198552835</v>
      </c>
      <c r="CH722" s="52"/>
      <c r="CI722" s="52"/>
      <c r="CJ722" s="52"/>
      <c r="CK722" s="52"/>
      <c r="CL722" s="52"/>
      <c r="CM722" s="52"/>
      <c r="CN722" s="52"/>
      <c r="CO722" s="52"/>
      <c r="CP722" s="52"/>
      <c r="CQ722" s="52">
        <v>0</v>
      </c>
      <c r="CR722" s="52"/>
      <c r="CS722" s="52">
        <f t="shared" si="114"/>
        <v>198552835</v>
      </c>
      <c r="CT722" s="53"/>
      <c r="CU722" s="53">
        <f t="shared" si="115"/>
        <v>198552835</v>
      </c>
      <c r="CV722" s="54">
        <f t="shared" si="118"/>
        <v>198552835</v>
      </c>
      <c r="CW722" s="55">
        <f t="shared" si="119"/>
        <v>0</v>
      </c>
      <c r="CX722" s="16"/>
      <c r="CY722" s="16"/>
      <c r="CZ722" s="16"/>
    </row>
    <row r="723" spans="1:104" ht="15" customHeight="1" x14ac:dyDescent="0.2">
      <c r="A723" s="1">
        <v>8000767511</v>
      </c>
      <c r="B723" s="1">
        <v>800076751</v>
      </c>
      <c r="C723" s="9">
        <v>215808558</v>
      </c>
      <c r="D723" s="10" t="s">
        <v>170</v>
      </c>
      <c r="E723" s="42" t="s">
        <v>1199</v>
      </c>
      <c r="F723" s="21"/>
      <c r="G723" s="50"/>
      <c r="H723" s="21"/>
      <c r="I723" s="50"/>
      <c r="J723" s="21"/>
      <c r="K723" s="21"/>
      <c r="L723" s="50"/>
      <c r="M723" s="51"/>
      <c r="N723" s="21"/>
      <c r="O723" s="50"/>
      <c r="P723" s="21"/>
      <c r="Q723" s="50"/>
      <c r="R723" s="21"/>
      <c r="S723" s="21"/>
      <c r="T723" s="50"/>
      <c r="U723" s="51">
        <f t="shared" si="113"/>
        <v>0</v>
      </c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>
        <v>244937474</v>
      </c>
      <c r="AN723" s="51">
        <f t="shared" si="121"/>
        <v>244937474</v>
      </c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2">
        <f t="shared" si="116"/>
        <v>244937474</v>
      </c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>
        <v>0</v>
      </c>
      <c r="BO723" s="51"/>
      <c r="BP723" s="52">
        <v>244937474</v>
      </c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>
        <v>0</v>
      </c>
      <c r="CD723" s="52"/>
      <c r="CE723" s="52"/>
      <c r="CF723" s="52"/>
      <c r="CG723" s="52">
        <f t="shared" si="117"/>
        <v>244937474</v>
      </c>
      <c r="CH723" s="52"/>
      <c r="CI723" s="52"/>
      <c r="CJ723" s="52"/>
      <c r="CK723" s="52"/>
      <c r="CL723" s="52"/>
      <c r="CM723" s="52"/>
      <c r="CN723" s="52"/>
      <c r="CO723" s="52"/>
      <c r="CP723" s="52"/>
      <c r="CQ723" s="52">
        <v>0</v>
      </c>
      <c r="CR723" s="52"/>
      <c r="CS723" s="52">
        <f t="shared" si="114"/>
        <v>244937474</v>
      </c>
      <c r="CT723" s="53"/>
      <c r="CU723" s="53">
        <f t="shared" si="115"/>
        <v>244937474</v>
      </c>
      <c r="CV723" s="54">
        <f t="shared" si="118"/>
        <v>244937474</v>
      </c>
      <c r="CW723" s="55">
        <f t="shared" si="119"/>
        <v>0</v>
      </c>
      <c r="CX723" s="16"/>
      <c r="CY723" s="16"/>
      <c r="CZ723" s="16"/>
    </row>
    <row r="724" spans="1:104" ht="15" customHeight="1" x14ac:dyDescent="0.2">
      <c r="A724" s="1">
        <v>8901162789</v>
      </c>
      <c r="B724" s="1">
        <v>890116278</v>
      </c>
      <c r="C724" s="9">
        <v>216008560</v>
      </c>
      <c r="D724" s="10" t="s">
        <v>171</v>
      </c>
      <c r="E724" s="42" t="s">
        <v>1200</v>
      </c>
      <c r="F724" s="21"/>
      <c r="G724" s="50"/>
      <c r="H724" s="21"/>
      <c r="I724" s="50"/>
      <c r="J724" s="21"/>
      <c r="K724" s="21"/>
      <c r="L724" s="50"/>
      <c r="M724" s="51"/>
      <c r="N724" s="21"/>
      <c r="O724" s="50"/>
      <c r="P724" s="21"/>
      <c r="Q724" s="50"/>
      <c r="R724" s="21"/>
      <c r="S724" s="21"/>
      <c r="T724" s="50"/>
      <c r="U724" s="51">
        <f t="shared" si="113"/>
        <v>0</v>
      </c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>
        <v>275175208</v>
      </c>
      <c r="AN724" s="51">
        <f t="shared" si="121"/>
        <v>275175208</v>
      </c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>
        <v>210879135</v>
      </c>
      <c r="AZ724" s="51"/>
      <c r="BA724" s="51">
        <f>VLOOKUP(B724,[1]Hoja3!J$3:K$674,2,0)</f>
        <v>131091076</v>
      </c>
      <c r="BB724" s="51"/>
      <c r="BC724" s="52">
        <f t="shared" si="116"/>
        <v>617145419</v>
      </c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>
        <v>42175827</v>
      </c>
      <c r="BO724" s="51"/>
      <c r="BP724" s="52">
        <v>659321246</v>
      </c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>
        <v>42175827</v>
      </c>
      <c r="CD724" s="52"/>
      <c r="CE724" s="52"/>
      <c r="CF724" s="52"/>
      <c r="CG724" s="52">
        <f t="shared" si="117"/>
        <v>701497073</v>
      </c>
      <c r="CH724" s="52"/>
      <c r="CI724" s="52"/>
      <c r="CJ724" s="52"/>
      <c r="CK724" s="52"/>
      <c r="CL724" s="52"/>
      <c r="CM724" s="52"/>
      <c r="CN724" s="52"/>
      <c r="CO724" s="52"/>
      <c r="CP724" s="52"/>
      <c r="CQ724" s="52">
        <v>42175827</v>
      </c>
      <c r="CR724" s="52"/>
      <c r="CS724" s="52">
        <f t="shared" si="114"/>
        <v>743672900</v>
      </c>
      <c r="CT724" s="53">
        <v>337406616</v>
      </c>
      <c r="CU724" s="53">
        <f t="shared" si="115"/>
        <v>406266284</v>
      </c>
      <c r="CV724" s="54">
        <f t="shared" si="118"/>
        <v>743672900</v>
      </c>
      <c r="CW724" s="55">
        <f t="shared" si="119"/>
        <v>0</v>
      </c>
      <c r="CX724" s="16"/>
      <c r="CY724" s="16"/>
      <c r="CZ724" s="16"/>
    </row>
    <row r="725" spans="1:104" ht="15" customHeight="1" x14ac:dyDescent="0.2">
      <c r="A725" s="1">
        <v>8915800064</v>
      </c>
      <c r="B725" s="1">
        <v>891580006</v>
      </c>
      <c r="C725" s="9">
        <v>210119001</v>
      </c>
      <c r="D725" s="10" t="s">
        <v>2112</v>
      </c>
      <c r="E725" s="43" t="s">
        <v>2059</v>
      </c>
      <c r="F725" s="21"/>
      <c r="G725" s="50"/>
      <c r="H725" s="21"/>
      <c r="I725" s="50">
        <f>6935596704+173482529</f>
        <v>7109079233</v>
      </c>
      <c r="J725" s="21">
        <v>445768393</v>
      </c>
      <c r="K725" s="21">
        <v>885522409</v>
      </c>
      <c r="L725" s="50"/>
      <c r="M725" s="52">
        <f>SUM(F725:L725)</f>
        <v>8440370035</v>
      </c>
      <c r="N725" s="21"/>
      <c r="O725" s="50"/>
      <c r="P725" s="21"/>
      <c r="Q725" s="50">
        <f>6583467577+78855695</f>
        <v>6662323272</v>
      </c>
      <c r="R725" s="21">
        <v>445768393</v>
      </c>
      <c r="S725" s="21">
        <f>439754016+445768393</f>
        <v>885522409</v>
      </c>
      <c r="T725" s="50"/>
      <c r="U725" s="51">
        <f t="shared" si="113"/>
        <v>16433984109</v>
      </c>
      <c r="V725" s="51"/>
      <c r="W725" s="51"/>
      <c r="X725" s="51"/>
      <c r="Y725" s="51">
        <v>12177493864</v>
      </c>
      <c r="Z725" s="51">
        <v>470519466</v>
      </c>
      <c r="AA725" s="51">
        <v>1081806356</v>
      </c>
      <c r="AB725" s="51"/>
      <c r="AC725" s="51">
        <f t="shared" si="120"/>
        <v>30163803795</v>
      </c>
      <c r="AD725" s="51"/>
      <c r="AE725" s="51"/>
      <c r="AF725" s="51"/>
      <c r="AG725" s="51"/>
      <c r="AH725" s="51">
        <v>6869465469</v>
      </c>
      <c r="AI725" s="51">
        <v>809084430</v>
      </c>
      <c r="AJ725" s="51">
        <v>460901873</v>
      </c>
      <c r="AK725" s="51">
        <v>1161743754</v>
      </c>
      <c r="AL725" s="51"/>
      <c r="AM725" s="51">
        <v>1818541554</v>
      </c>
      <c r="AN725" s="51">
        <f t="shared" si="121"/>
        <v>41283540875</v>
      </c>
      <c r="AO725" s="51"/>
      <c r="AP725" s="51"/>
      <c r="AQ725" s="51">
        <v>970312290</v>
      </c>
      <c r="AR725" s="51"/>
      <c r="AS725" s="51"/>
      <c r="AT725" s="51">
        <v>6869465469</v>
      </c>
      <c r="AU725" s="51"/>
      <c r="AV725" s="51">
        <v>460901873</v>
      </c>
      <c r="AW725" s="51">
        <v>786721478</v>
      </c>
      <c r="AX725" s="51"/>
      <c r="AY725" s="51"/>
      <c r="AZ725" s="51"/>
      <c r="BA725" s="51">
        <f>VLOOKUP(B725,[1]Hoja3!J$3:K$674,2,0)</f>
        <v>532985815</v>
      </c>
      <c r="BB725" s="51"/>
      <c r="BC725" s="52">
        <f t="shared" si="116"/>
        <v>50903927800</v>
      </c>
      <c r="BD725" s="51"/>
      <c r="BE725" s="51"/>
      <c r="BF725" s="51">
        <v>194062458</v>
      </c>
      <c r="BG725" s="51"/>
      <c r="BH725" s="51"/>
      <c r="BI725" s="51">
        <v>7651753151</v>
      </c>
      <c r="BJ725" s="51">
        <v>473933262</v>
      </c>
      <c r="BK725" s="51">
        <v>484115452</v>
      </c>
      <c r="BL725" s="51">
        <v>1233597236</v>
      </c>
      <c r="BM725" s="51"/>
      <c r="BN725" s="51"/>
      <c r="BO725" s="51"/>
      <c r="BP725" s="52">
        <v>60941389359</v>
      </c>
      <c r="BQ725" s="52"/>
      <c r="BR725" s="52"/>
      <c r="BS725" s="52">
        <v>194062458</v>
      </c>
      <c r="BT725" s="52"/>
      <c r="BU725" s="52"/>
      <c r="BV725" s="52"/>
      <c r="BW725" s="52">
        <v>7146065249</v>
      </c>
      <c r="BX725" s="52"/>
      <c r="BY725" s="52">
        <v>3243929597</v>
      </c>
      <c r="BZ725" s="52">
        <v>467345777</v>
      </c>
      <c r="CA725" s="52">
        <v>1226184631</v>
      </c>
      <c r="CB725" s="52"/>
      <c r="CC725" s="52"/>
      <c r="CD725" s="52"/>
      <c r="CE725" s="52"/>
      <c r="CF725" s="52"/>
      <c r="CG725" s="52">
        <f t="shared" si="117"/>
        <v>73218977071</v>
      </c>
      <c r="CH725" s="52"/>
      <c r="CI725" s="52"/>
      <c r="CJ725" s="52">
        <v>194062458</v>
      </c>
      <c r="CK725" s="52"/>
      <c r="CL725" s="52">
        <v>7006963532</v>
      </c>
      <c r="CM725" s="52">
        <v>718020058</v>
      </c>
      <c r="CN725" s="52">
        <v>468887105</v>
      </c>
      <c r="CO725" s="52">
        <v>847983875</v>
      </c>
      <c r="CP725" s="52"/>
      <c r="CQ725" s="52"/>
      <c r="CR725" s="52"/>
      <c r="CS725" s="52">
        <f t="shared" si="114"/>
        <v>82454894099</v>
      </c>
      <c r="CT725" s="53">
        <v>80103366730</v>
      </c>
      <c r="CU725" s="53">
        <f t="shared" si="115"/>
        <v>2351527369</v>
      </c>
      <c r="CV725" s="54">
        <f t="shared" si="118"/>
        <v>82454894099</v>
      </c>
      <c r="CW725" s="55">
        <f t="shared" si="119"/>
        <v>0</v>
      </c>
      <c r="CX725" s="16"/>
      <c r="CY725" s="16"/>
      <c r="CZ725" s="16"/>
    </row>
    <row r="726" spans="1:104" ht="15" customHeight="1" x14ac:dyDescent="0.2">
      <c r="A726" s="1">
        <v>8000994293</v>
      </c>
      <c r="B726" s="1">
        <v>800099429</v>
      </c>
      <c r="C726" s="9">
        <v>216385263</v>
      </c>
      <c r="D726" s="10" t="s">
        <v>965</v>
      </c>
      <c r="E726" s="42" t="s">
        <v>2025</v>
      </c>
      <c r="F726" s="21"/>
      <c r="G726" s="50"/>
      <c r="H726" s="21"/>
      <c r="I726" s="50"/>
      <c r="J726" s="21"/>
      <c r="K726" s="21"/>
      <c r="L726" s="50"/>
      <c r="M726" s="51"/>
      <c r="N726" s="21"/>
      <c r="O726" s="50"/>
      <c r="P726" s="21"/>
      <c r="Q726" s="50"/>
      <c r="R726" s="21"/>
      <c r="S726" s="21"/>
      <c r="T726" s="50"/>
      <c r="U726" s="51">
        <f t="shared" si="113"/>
        <v>0</v>
      </c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>
        <v>191142041</v>
      </c>
      <c r="AN726" s="51">
        <f t="shared" si="121"/>
        <v>191142041</v>
      </c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>
        <v>104463625</v>
      </c>
      <c r="AZ726" s="51"/>
      <c r="BA726" s="51"/>
      <c r="BB726" s="51"/>
      <c r="BC726" s="52">
        <f t="shared" si="116"/>
        <v>295605666</v>
      </c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>
        <v>20892725</v>
      </c>
      <c r="BO726" s="51"/>
      <c r="BP726" s="52">
        <v>316498391</v>
      </c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>
        <v>20892725</v>
      </c>
      <c r="CD726" s="52"/>
      <c r="CE726" s="52"/>
      <c r="CF726" s="52"/>
      <c r="CG726" s="52">
        <f t="shared" si="117"/>
        <v>337391116</v>
      </c>
      <c r="CH726" s="52"/>
      <c r="CI726" s="52"/>
      <c r="CJ726" s="52"/>
      <c r="CK726" s="52"/>
      <c r="CL726" s="52"/>
      <c r="CM726" s="52"/>
      <c r="CN726" s="52"/>
      <c r="CO726" s="52"/>
      <c r="CP726" s="52"/>
      <c r="CQ726" s="52">
        <v>20892725</v>
      </c>
      <c r="CR726" s="52"/>
      <c r="CS726" s="52">
        <f t="shared" si="114"/>
        <v>358283841</v>
      </c>
      <c r="CT726" s="53">
        <v>167141800</v>
      </c>
      <c r="CU726" s="53">
        <f t="shared" si="115"/>
        <v>191142041</v>
      </c>
      <c r="CV726" s="54">
        <f t="shared" si="118"/>
        <v>358283841</v>
      </c>
      <c r="CW726" s="55">
        <f t="shared" si="119"/>
        <v>0</v>
      </c>
      <c r="CX726" s="16"/>
      <c r="CY726" s="16"/>
      <c r="CZ726" s="16"/>
    </row>
    <row r="727" spans="1:104" ht="15" customHeight="1" x14ac:dyDescent="0.2">
      <c r="A727" s="1">
        <v>8000372324</v>
      </c>
      <c r="B727" s="1">
        <v>800037232</v>
      </c>
      <c r="C727" s="9">
        <v>216052560</v>
      </c>
      <c r="D727" s="10" t="s">
        <v>732</v>
      </c>
      <c r="E727" s="42" t="s">
        <v>1754</v>
      </c>
      <c r="F727" s="21"/>
      <c r="G727" s="50"/>
      <c r="H727" s="21"/>
      <c r="I727" s="50"/>
      <c r="J727" s="21"/>
      <c r="K727" s="21"/>
      <c r="L727" s="50"/>
      <c r="M727" s="51"/>
      <c r="N727" s="21"/>
      <c r="O727" s="50"/>
      <c r="P727" s="21"/>
      <c r="Q727" s="50"/>
      <c r="R727" s="21"/>
      <c r="S727" s="21"/>
      <c r="T727" s="50"/>
      <c r="U727" s="51">
        <f t="shared" si="113"/>
        <v>0</v>
      </c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>
        <v>169210558</v>
      </c>
      <c r="AN727" s="51">
        <f t="shared" si="121"/>
        <v>169210558</v>
      </c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>
        <v>83460680</v>
      </c>
      <c r="AZ727" s="51"/>
      <c r="BA727" s="51"/>
      <c r="BB727" s="51"/>
      <c r="BC727" s="52">
        <f t="shared" si="116"/>
        <v>252671238</v>
      </c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>
        <v>16692136</v>
      </c>
      <c r="BO727" s="51"/>
      <c r="BP727" s="52">
        <v>269363374</v>
      </c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>
        <v>16692136</v>
      </c>
      <c r="CD727" s="52"/>
      <c r="CE727" s="52"/>
      <c r="CF727" s="52"/>
      <c r="CG727" s="52">
        <f t="shared" si="117"/>
        <v>286055510</v>
      </c>
      <c r="CH727" s="52"/>
      <c r="CI727" s="52"/>
      <c r="CJ727" s="52"/>
      <c r="CK727" s="52"/>
      <c r="CL727" s="52"/>
      <c r="CM727" s="52"/>
      <c r="CN727" s="52"/>
      <c r="CO727" s="52"/>
      <c r="CP727" s="52"/>
      <c r="CQ727" s="52">
        <v>16692136</v>
      </c>
      <c r="CR727" s="52"/>
      <c r="CS727" s="52">
        <f t="shared" si="114"/>
        <v>302747646</v>
      </c>
      <c r="CT727" s="53">
        <v>133537088</v>
      </c>
      <c r="CU727" s="53">
        <f t="shared" si="115"/>
        <v>169210558</v>
      </c>
      <c r="CV727" s="54">
        <f t="shared" si="118"/>
        <v>302747646</v>
      </c>
      <c r="CW727" s="55">
        <f t="shared" si="119"/>
        <v>0</v>
      </c>
      <c r="CX727" s="16"/>
      <c r="CY727" s="16"/>
      <c r="CZ727" s="16"/>
    </row>
    <row r="728" spans="1:104" ht="15" customHeight="1" x14ac:dyDescent="0.2">
      <c r="A728" s="1">
        <v>8913801150</v>
      </c>
      <c r="B728" s="1">
        <v>891380115</v>
      </c>
      <c r="C728" s="9">
        <v>216376563</v>
      </c>
      <c r="D728" s="10" t="s">
        <v>934</v>
      </c>
      <c r="E728" s="42" t="s">
        <v>1994</v>
      </c>
      <c r="F728" s="21"/>
      <c r="G728" s="50"/>
      <c r="H728" s="21"/>
      <c r="I728" s="50"/>
      <c r="J728" s="21"/>
      <c r="K728" s="21"/>
      <c r="L728" s="50"/>
      <c r="M728" s="51"/>
      <c r="N728" s="21"/>
      <c r="O728" s="50"/>
      <c r="P728" s="21"/>
      <c r="Q728" s="50"/>
      <c r="R728" s="21"/>
      <c r="S728" s="21"/>
      <c r="T728" s="50"/>
      <c r="U728" s="51">
        <f t="shared" si="113"/>
        <v>0</v>
      </c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>
        <v>326737095</v>
      </c>
      <c r="AZ728" s="51"/>
      <c r="BA728" s="51">
        <f>VLOOKUP(B728,[1]Hoja3!J$3:K$674,2,0)</f>
        <v>615450100</v>
      </c>
      <c r="BB728" s="51"/>
      <c r="BC728" s="52">
        <f t="shared" si="116"/>
        <v>942187195</v>
      </c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>
        <v>65347419</v>
      </c>
      <c r="BO728" s="51"/>
      <c r="BP728" s="52">
        <v>1007534614</v>
      </c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>
        <v>65347419</v>
      </c>
      <c r="CD728" s="52"/>
      <c r="CE728" s="52"/>
      <c r="CF728" s="52"/>
      <c r="CG728" s="52">
        <f t="shared" si="117"/>
        <v>1072882033</v>
      </c>
      <c r="CH728" s="52"/>
      <c r="CI728" s="52"/>
      <c r="CJ728" s="52"/>
      <c r="CK728" s="52"/>
      <c r="CL728" s="52"/>
      <c r="CM728" s="52"/>
      <c r="CN728" s="52"/>
      <c r="CO728" s="52"/>
      <c r="CP728" s="52"/>
      <c r="CQ728" s="52">
        <v>65347419</v>
      </c>
      <c r="CR728" s="52"/>
      <c r="CS728" s="52">
        <f t="shared" si="114"/>
        <v>1138229452</v>
      </c>
      <c r="CT728" s="53">
        <v>522779352</v>
      </c>
      <c r="CU728" s="53">
        <f t="shared" si="115"/>
        <v>615450100</v>
      </c>
      <c r="CV728" s="54">
        <f t="shared" si="118"/>
        <v>1138229452</v>
      </c>
      <c r="CW728" s="55">
        <f t="shared" si="119"/>
        <v>0</v>
      </c>
      <c r="CX728" s="16"/>
      <c r="CY728" s="16"/>
      <c r="CZ728" s="16"/>
    </row>
    <row r="729" spans="1:104" ht="15" customHeight="1" x14ac:dyDescent="0.2">
      <c r="A729" s="1">
        <v>8907020381</v>
      </c>
      <c r="B729" s="1">
        <v>890702038</v>
      </c>
      <c r="C729" s="9">
        <v>216373563</v>
      </c>
      <c r="D729" s="10" t="s">
        <v>2233</v>
      </c>
      <c r="E729" s="42" t="s">
        <v>1959</v>
      </c>
      <c r="F729" s="21"/>
      <c r="G729" s="50"/>
      <c r="H729" s="21"/>
      <c r="I729" s="50"/>
      <c r="J729" s="21"/>
      <c r="K729" s="21"/>
      <c r="L729" s="50"/>
      <c r="M729" s="51"/>
      <c r="N729" s="21"/>
      <c r="O729" s="50"/>
      <c r="P729" s="21"/>
      <c r="Q729" s="50"/>
      <c r="R729" s="21"/>
      <c r="S729" s="21"/>
      <c r="T729" s="50"/>
      <c r="U729" s="51">
        <f t="shared" si="113"/>
        <v>0</v>
      </c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>
        <v>65726235</v>
      </c>
      <c r="AZ729" s="51"/>
      <c r="BA729" s="51">
        <f>VLOOKUP(B729,[1]Hoja3!J$3:K$674,2,0)</f>
        <v>136506266</v>
      </c>
      <c r="BB729" s="51"/>
      <c r="BC729" s="52">
        <f t="shared" si="116"/>
        <v>202232501</v>
      </c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>
        <v>13145247</v>
      </c>
      <c r="BO729" s="51"/>
      <c r="BP729" s="52">
        <v>215377748</v>
      </c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>
        <v>13145247</v>
      </c>
      <c r="CD729" s="52"/>
      <c r="CE729" s="52"/>
      <c r="CF729" s="52"/>
      <c r="CG729" s="52">
        <f t="shared" si="117"/>
        <v>228522995</v>
      </c>
      <c r="CH729" s="52"/>
      <c r="CI729" s="52"/>
      <c r="CJ729" s="52"/>
      <c r="CK729" s="52"/>
      <c r="CL729" s="52"/>
      <c r="CM729" s="52"/>
      <c r="CN729" s="52"/>
      <c r="CO729" s="52"/>
      <c r="CP729" s="52"/>
      <c r="CQ729" s="52">
        <v>13145247</v>
      </c>
      <c r="CR729" s="52"/>
      <c r="CS729" s="52">
        <f t="shared" si="114"/>
        <v>241668242</v>
      </c>
      <c r="CT729" s="53">
        <v>105161976</v>
      </c>
      <c r="CU729" s="53">
        <f t="shared" si="115"/>
        <v>136506266</v>
      </c>
      <c r="CV729" s="54">
        <f t="shared" si="118"/>
        <v>241668242</v>
      </c>
      <c r="CW729" s="55">
        <f t="shared" si="119"/>
        <v>0</v>
      </c>
      <c r="CX729" s="16"/>
      <c r="CY729" s="16"/>
      <c r="CZ729" s="16"/>
    </row>
    <row r="730" spans="1:104" ht="15" customHeight="1" x14ac:dyDescent="0.2">
      <c r="A730" s="1">
        <v>8001030211</v>
      </c>
      <c r="B730" s="1">
        <v>800103021</v>
      </c>
      <c r="C730" s="9">
        <v>216488564</v>
      </c>
      <c r="D730" s="10" t="s">
        <v>987</v>
      </c>
      <c r="E730" s="42" t="s">
        <v>2044</v>
      </c>
      <c r="F730" s="21"/>
      <c r="G730" s="50"/>
      <c r="H730" s="21"/>
      <c r="I730" s="50"/>
      <c r="J730" s="21"/>
      <c r="K730" s="21"/>
      <c r="L730" s="50"/>
      <c r="M730" s="51"/>
      <c r="N730" s="21"/>
      <c r="O730" s="50"/>
      <c r="P730" s="21"/>
      <c r="Q730" s="50"/>
      <c r="R730" s="21"/>
      <c r="S730" s="21"/>
      <c r="T730" s="50"/>
      <c r="U730" s="51">
        <f t="shared" si="113"/>
        <v>0</v>
      </c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>
        <v>29723990</v>
      </c>
      <c r="AZ730" s="51"/>
      <c r="BA730" s="51"/>
      <c r="BB730" s="51"/>
      <c r="BC730" s="52">
        <f t="shared" si="116"/>
        <v>29723990</v>
      </c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>
        <v>5944798</v>
      </c>
      <c r="BO730" s="51"/>
      <c r="BP730" s="52">
        <v>35668788</v>
      </c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>
        <v>5944798</v>
      </c>
      <c r="CD730" s="52"/>
      <c r="CE730" s="52"/>
      <c r="CF730" s="52"/>
      <c r="CG730" s="52">
        <f t="shared" si="117"/>
        <v>41613586</v>
      </c>
      <c r="CH730" s="52"/>
      <c r="CI730" s="52"/>
      <c r="CJ730" s="52"/>
      <c r="CK730" s="52"/>
      <c r="CL730" s="52"/>
      <c r="CM730" s="52"/>
      <c r="CN730" s="52"/>
      <c r="CO730" s="52"/>
      <c r="CP730" s="52"/>
      <c r="CQ730" s="52">
        <v>5944798</v>
      </c>
      <c r="CR730" s="52"/>
      <c r="CS730" s="52">
        <f t="shared" si="114"/>
        <v>47558384</v>
      </c>
      <c r="CT730" s="53">
        <v>47558384</v>
      </c>
      <c r="CU730" s="53">
        <f t="shared" si="115"/>
        <v>0</v>
      </c>
      <c r="CV730" s="54">
        <f t="shared" si="118"/>
        <v>47558384</v>
      </c>
      <c r="CW730" s="55">
        <f t="shared" si="119"/>
        <v>0</v>
      </c>
      <c r="CX730" s="16"/>
      <c r="CY730" s="16"/>
      <c r="CZ730" s="16"/>
    </row>
    <row r="731" spans="1:104" ht="15" customHeight="1" x14ac:dyDescent="0.2">
      <c r="A731" s="1">
        <v>8002224989</v>
      </c>
      <c r="B731" s="1">
        <v>800222498</v>
      </c>
      <c r="C731" s="9">
        <v>216552565</v>
      </c>
      <c r="D731" s="10" t="s">
        <v>733</v>
      </c>
      <c r="E731" s="42" t="s">
        <v>1755</v>
      </c>
      <c r="F731" s="21"/>
      <c r="G731" s="50"/>
      <c r="H731" s="21"/>
      <c r="I731" s="50"/>
      <c r="J731" s="21"/>
      <c r="K731" s="21"/>
      <c r="L731" s="50"/>
      <c r="M731" s="51"/>
      <c r="N731" s="21"/>
      <c r="O731" s="50"/>
      <c r="P731" s="21"/>
      <c r="Q731" s="50"/>
      <c r="R731" s="21"/>
      <c r="S731" s="21"/>
      <c r="T731" s="50"/>
      <c r="U731" s="51">
        <f t="shared" si="113"/>
        <v>0</v>
      </c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>
        <v>44202445</v>
      </c>
      <c r="AZ731" s="51"/>
      <c r="BA731" s="51">
        <f>VLOOKUP(B731,[1]Hoja3!J$3:K$674,2,0)</f>
        <v>68504000</v>
      </c>
      <c r="BB731" s="51"/>
      <c r="BC731" s="52">
        <f t="shared" si="116"/>
        <v>112706445</v>
      </c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>
        <v>8840489</v>
      </c>
      <c r="BO731" s="51"/>
      <c r="BP731" s="52">
        <v>121546934</v>
      </c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>
        <v>8840489</v>
      </c>
      <c r="CD731" s="52"/>
      <c r="CE731" s="52"/>
      <c r="CF731" s="52"/>
      <c r="CG731" s="52">
        <f t="shared" si="117"/>
        <v>130387423</v>
      </c>
      <c r="CH731" s="52"/>
      <c r="CI731" s="52"/>
      <c r="CJ731" s="52"/>
      <c r="CK731" s="52"/>
      <c r="CL731" s="52"/>
      <c r="CM731" s="52"/>
      <c r="CN731" s="52"/>
      <c r="CO731" s="52"/>
      <c r="CP731" s="52"/>
      <c r="CQ731" s="52">
        <v>8840489</v>
      </c>
      <c r="CR731" s="52"/>
      <c r="CS731" s="52">
        <f t="shared" si="114"/>
        <v>139227912</v>
      </c>
      <c r="CT731" s="53">
        <v>70723912</v>
      </c>
      <c r="CU731" s="53">
        <f t="shared" si="115"/>
        <v>68504000</v>
      </c>
      <c r="CV731" s="54">
        <f t="shared" si="118"/>
        <v>139227912</v>
      </c>
      <c r="CW731" s="55">
        <f t="shared" si="119"/>
        <v>0</v>
      </c>
      <c r="CX731" s="16"/>
      <c r="CY731" s="16"/>
      <c r="CZ731" s="16"/>
    </row>
    <row r="732" spans="1:104" ht="15" customHeight="1" x14ac:dyDescent="0.2">
      <c r="A732" s="1">
        <v>8240016241</v>
      </c>
      <c r="B732" s="1">
        <v>824001624</v>
      </c>
      <c r="C732" s="9">
        <v>217020570</v>
      </c>
      <c r="D732" s="10" t="s">
        <v>430</v>
      </c>
      <c r="E732" s="42" t="s">
        <v>1457</v>
      </c>
      <c r="F732" s="21"/>
      <c r="G732" s="50"/>
      <c r="H732" s="21"/>
      <c r="I732" s="50"/>
      <c r="J732" s="21"/>
      <c r="K732" s="21"/>
      <c r="L732" s="50"/>
      <c r="M732" s="51"/>
      <c r="N732" s="21"/>
      <c r="O732" s="50"/>
      <c r="P732" s="21"/>
      <c r="Q732" s="50"/>
      <c r="R732" s="21"/>
      <c r="S732" s="21"/>
      <c r="T732" s="50"/>
      <c r="U732" s="51">
        <f t="shared" si="113"/>
        <v>0</v>
      </c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>
        <v>286980087</v>
      </c>
      <c r="AN732" s="51">
        <f>SUBTOTAL(9,AC732:AM732)</f>
        <v>286980087</v>
      </c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>
        <v>373984355</v>
      </c>
      <c r="AZ732" s="51"/>
      <c r="BA732" s="51">
        <f>VLOOKUP(B732,[1]Hoja3!J$3:K$674,2,0)</f>
        <v>172717433</v>
      </c>
      <c r="BB732" s="51"/>
      <c r="BC732" s="52">
        <f t="shared" si="116"/>
        <v>833681875</v>
      </c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>
        <v>74796871</v>
      </c>
      <c r="BO732" s="51"/>
      <c r="BP732" s="52">
        <v>908478746</v>
      </c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>
        <v>74796871</v>
      </c>
      <c r="CD732" s="52"/>
      <c r="CE732" s="52"/>
      <c r="CF732" s="52"/>
      <c r="CG732" s="52">
        <f t="shared" si="117"/>
        <v>983275617</v>
      </c>
      <c r="CH732" s="52"/>
      <c r="CI732" s="52"/>
      <c r="CJ732" s="52"/>
      <c r="CK732" s="52"/>
      <c r="CL732" s="52"/>
      <c r="CM732" s="52"/>
      <c r="CN732" s="52"/>
      <c r="CO732" s="52"/>
      <c r="CP732" s="52"/>
      <c r="CQ732" s="52">
        <v>74796871</v>
      </c>
      <c r="CR732" s="52"/>
      <c r="CS732" s="52">
        <f t="shared" si="114"/>
        <v>1058072488</v>
      </c>
      <c r="CT732" s="53">
        <v>598374968</v>
      </c>
      <c r="CU732" s="53">
        <f t="shared" si="115"/>
        <v>459697520</v>
      </c>
      <c r="CV732" s="54">
        <f t="shared" si="118"/>
        <v>1058072488</v>
      </c>
      <c r="CW732" s="55">
        <f t="shared" si="119"/>
        <v>0</v>
      </c>
      <c r="CX732" s="16"/>
      <c r="CY732" s="16"/>
      <c r="CZ732" s="16"/>
    </row>
    <row r="733" spans="1:104" ht="15" customHeight="1" x14ac:dyDescent="0.2">
      <c r="A733" s="1">
        <v>8000967667</v>
      </c>
      <c r="B733" s="1">
        <v>800096766</v>
      </c>
      <c r="C733" s="9">
        <v>217023570</v>
      </c>
      <c r="D733" s="10" t="s">
        <v>451</v>
      </c>
      <c r="E733" s="42" t="s">
        <v>1478</v>
      </c>
      <c r="F733" s="21"/>
      <c r="G733" s="50"/>
      <c r="H733" s="21"/>
      <c r="I733" s="50"/>
      <c r="J733" s="21"/>
      <c r="K733" s="21"/>
      <c r="L733" s="50"/>
      <c r="M733" s="51"/>
      <c r="N733" s="21"/>
      <c r="O733" s="50"/>
      <c r="P733" s="21"/>
      <c r="Q733" s="50"/>
      <c r="R733" s="21"/>
      <c r="S733" s="21"/>
      <c r="T733" s="50"/>
      <c r="U733" s="51">
        <f t="shared" si="113"/>
        <v>0</v>
      </c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>
        <v>348086186</v>
      </c>
      <c r="AN733" s="51">
        <f>SUBTOTAL(9,AC733:AM733)</f>
        <v>348086186</v>
      </c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>
        <f>VLOOKUP(B733,[1]Hoja3!J$3:K$674,2,0)</f>
        <v>37941541</v>
      </c>
      <c r="BB733" s="51"/>
      <c r="BC733" s="52">
        <f t="shared" si="116"/>
        <v>386027727</v>
      </c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>
        <v>0</v>
      </c>
      <c r="BO733" s="51"/>
      <c r="BP733" s="52">
        <v>386027727</v>
      </c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>
        <v>0</v>
      </c>
      <c r="CD733" s="52"/>
      <c r="CE733" s="52"/>
      <c r="CF733" s="52"/>
      <c r="CG733" s="52">
        <f t="shared" si="117"/>
        <v>386027727</v>
      </c>
      <c r="CH733" s="52"/>
      <c r="CI733" s="52"/>
      <c r="CJ733" s="52"/>
      <c r="CK733" s="52"/>
      <c r="CL733" s="52"/>
      <c r="CM733" s="52"/>
      <c r="CN733" s="52"/>
      <c r="CO733" s="52"/>
      <c r="CP733" s="52"/>
      <c r="CQ733" s="52">
        <v>523948752</v>
      </c>
      <c r="CR733" s="52"/>
      <c r="CS733" s="52">
        <f t="shared" si="114"/>
        <v>909976479</v>
      </c>
      <c r="CT733" s="53">
        <v>523948752</v>
      </c>
      <c r="CU733" s="53">
        <f t="shared" si="115"/>
        <v>386027727</v>
      </c>
      <c r="CV733" s="54">
        <f t="shared" si="118"/>
        <v>909976479</v>
      </c>
      <c r="CW733" s="55">
        <f t="shared" si="119"/>
        <v>0</v>
      </c>
      <c r="CX733" s="16"/>
      <c r="CY733" s="16"/>
      <c r="CZ733" s="16"/>
    </row>
    <row r="734" spans="1:104" ht="15" customHeight="1" x14ac:dyDescent="0.2">
      <c r="A734" s="1">
        <v>8914800311</v>
      </c>
      <c r="B734" s="1">
        <v>891480031</v>
      </c>
      <c r="C734" s="9">
        <v>217266572</v>
      </c>
      <c r="D734" s="10" t="s">
        <v>808</v>
      </c>
      <c r="E734" s="42" t="s">
        <v>1825</v>
      </c>
      <c r="F734" s="21"/>
      <c r="G734" s="50"/>
      <c r="H734" s="21"/>
      <c r="I734" s="50"/>
      <c r="J734" s="21"/>
      <c r="K734" s="21"/>
      <c r="L734" s="50"/>
      <c r="M734" s="51"/>
      <c r="N734" s="21"/>
      <c r="O734" s="50"/>
      <c r="P734" s="21"/>
      <c r="Q734" s="50"/>
      <c r="R734" s="21"/>
      <c r="S734" s="21"/>
      <c r="T734" s="50"/>
      <c r="U734" s="51">
        <f t="shared" si="113"/>
        <v>0</v>
      </c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>
        <f>VLOOKUP(B734,[1]Hoja3!J$3:K$674,2,0)</f>
        <v>333339001</v>
      </c>
      <c r="BB734" s="51"/>
      <c r="BC734" s="52">
        <f t="shared" si="116"/>
        <v>333339001</v>
      </c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>
        <v>36770905</v>
      </c>
      <c r="BO734" s="51"/>
      <c r="BP734" s="52">
        <v>370109906</v>
      </c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>
        <v>36770905</v>
      </c>
      <c r="CD734" s="52">
        <v>183854525</v>
      </c>
      <c r="CE734" s="52"/>
      <c r="CF734" s="52"/>
      <c r="CG734" s="52">
        <f t="shared" si="117"/>
        <v>590735336</v>
      </c>
      <c r="CH734" s="52"/>
      <c r="CI734" s="52"/>
      <c r="CJ734" s="52"/>
      <c r="CK734" s="52"/>
      <c r="CL734" s="52"/>
      <c r="CM734" s="52"/>
      <c r="CN734" s="52"/>
      <c r="CO734" s="52"/>
      <c r="CP734" s="52"/>
      <c r="CQ734" s="52">
        <v>36770905</v>
      </c>
      <c r="CR734" s="52"/>
      <c r="CS734" s="52">
        <f t="shared" si="114"/>
        <v>627506241</v>
      </c>
      <c r="CT734" s="53">
        <v>294167240</v>
      </c>
      <c r="CU734" s="53">
        <f t="shared" si="115"/>
        <v>333339001</v>
      </c>
      <c r="CV734" s="54">
        <f t="shared" si="118"/>
        <v>627506241</v>
      </c>
      <c r="CW734" s="55">
        <f t="shared" si="119"/>
        <v>0</v>
      </c>
      <c r="CX734" s="16"/>
      <c r="CY734" s="16"/>
      <c r="CZ734" s="16"/>
    </row>
    <row r="735" spans="1:104" ht="15" customHeight="1" x14ac:dyDescent="0.2">
      <c r="A735" s="1">
        <v>8917030451</v>
      </c>
      <c r="B735" s="1">
        <v>891703045</v>
      </c>
      <c r="C735" s="9">
        <v>217047570</v>
      </c>
      <c r="D735" s="10" t="s">
        <v>654</v>
      </c>
      <c r="E735" s="42" t="s">
        <v>1674</v>
      </c>
      <c r="F735" s="21"/>
      <c r="G735" s="50"/>
      <c r="H735" s="21"/>
      <c r="I735" s="50"/>
      <c r="J735" s="21"/>
      <c r="K735" s="21"/>
      <c r="L735" s="50"/>
      <c r="M735" s="51"/>
      <c r="N735" s="21"/>
      <c r="O735" s="50"/>
      <c r="P735" s="21"/>
      <c r="Q735" s="50"/>
      <c r="R735" s="21"/>
      <c r="S735" s="21"/>
      <c r="T735" s="50"/>
      <c r="U735" s="51">
        <f t="shared" si="113"/>
        <v>0</v>
      </c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>
        <v>275389620</v>
      </c>
      <c r="AZ735" s="51"/>
      <c r="BA735" s="51">
        <f>VLOOKUP(B735,[1]Hoja3!J$3:K$674,2,0)</f>
        <v>573831709</v>
      </c>
      <c r="BB735" s="51"/>
      <c r="BC735" s="52">
        <f t="shared" si="116"/>
        <v>849221329</v>
      </c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>
        <v>55077924</v>
      </c>
      <c r="BO735" s="51"/>
      <c r="BP735" s="52">
        <v>904299253</v>
      </c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>
        <v>55077924</v>
      </c>
      <c r="CD735" s="52"/>
      <c r="CE735" s="52"/>
      <c r="CF735" s="52"/>
      <c r="CG735" s="52">
        <f t="shared" si="117"/>
        <v>959377177</v>
      </c>
      <c r="CH735" s="52"/>
      <c r="CI735" s="52"/>
      <c r="CJ735" s="52"/>
      <c r="CK735" s="52"/>
      <c r="CL735" s="52"/>
      <c r="CM735" s="52"/>
      <c r="CN735" s="52"/>
      <c r="CO735" s="52"/>
      <c r="CP735" s="52"/>
      <c r="CQ735" s="52">
        <v>55077924</v>
      </c>
      <c r="CR735" s="52"/>
      <c r="CS735" s="52">
        <f t="shared" si="114"/>
        <v>1014455101</v>
      </c>
      <c r="CT735" s="53">
        <v>440623392</v>
      </c>
      <c r="CU735" s="53">
        <f t="shared" si="115"/>
        <v>573831709</v>
      </c>
      <c r="CV735" s="54">
        <f t="shared" si="118"/>
        <v>1014455101</v>
      </c>
      <c r="CW735" s="55">
        <f t="shared" si="119"/>
        <v>0</v>
      </c>
      <c r="CX735" s="16"/>
      <c r="CY735" s="16"/>
      <c r="CZ735" s="16"/>
    </row>
    <row r="736" spans="1:104" ht="15" customHeight="1" x14ac:dyDescent="0.2">
      <c r="A736" s="1">
        <v>8909811052</v>
      </c>
      <c r="B736" s="1">
        <v>890981105</v>
      </c>
      <c r="C736" s="9">
        <v>217605576</v>
      </c>
      <c r="D736" s="10" t="s">
        <v>117</v>
      </c>
      <c r="E736" s="42" t="s">
        <v>1147</v>
      </c>
      <c r="F736" s="21"/>
      <c r="G736" s="50"/>
      <c r="H736" s="21"/>
      <c r="I736" s="50"/>
      <c r="J736" s="21"/>
      <c r="K736" s="21"/>
      <c r="L736" s="50"/>
      <c r="M736" s="51"/>
      <c r="N736" s="21"/>
      <c r="O736" s="50"/>
      <c r="P736" s="21"/>
      <c r="Q736" s="50"/>
      <c r="R736" s="21"/>
      <c r="S736" s="21"/>
      <c r="T736" s="50"/>
      <c r="U736" s="51">
        <f t="shared" si="113"/>
        <v>0</v>
      </c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>
        <f>VLOOKUP(B736,[1]Hoja3!J$3:K$674,2,0)</f>
        <v>99188885</v>
      </c>
      <c r="BB736" s="51"/>
      <c r="BC736" s="52">
        <f t="shared" si="116"/>
        <v>99188885</v>
      </c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>
        <v>0</v>
      </c>
      <c r="BO736" s="51"/>
      <c r="BP736" s="52">
        <v>99188885</v>
      </c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>
        <v>69107171</v>
      </c>
      <c r="CD736" s="52"/>
      <c r="CE736" s="52"/>
      <c r="CF736" s="52"/>
      <c r="CG736" s="52">
        <f t="shared" si="117"/>
        <v>168296056</v>
      </c>
      <c r="CH736" s="52"/>
      <c r="CI736" s="52"/>
      <c r="CJ736" s="52"/>
      <c r="CK736" s="52"/>
      <c r="CL736" s="52"/>
      <c r="CM736" s="52"/>
      <c r="CN736" s="52"/>
      <c r="CO736" s="52"/>
      <c r="CP736" s="52"/>
      <c r="CQ736" s="52">
        <v>9872453</v>
      </c>
      <c r="CR736" s="52"/>
      <c r="CS736" s="52">
        <f t="shared" si="114"/>
        <v>178168509</v>
      </c>
      <c r="CT736" s="53">
        <v>78979624</v>
      </c>
      <c r="CU736" s="53">
        <f t="shared" si="115"/>
        <v>99188885</v>
      </c>
      <c r="CV736" s="54">
        <f t="shared" si="118"/>
        <v>178168509</v>
      </c>
      <c r="CW736" s="55">
        <f t="shared" si="119"/>
        <v>0</v>
      </c>
      <c r="CX736" s="16"/>
      <c r="CY736" s="16"/>
      <c r="CZ736" s="16"/>
    </row>
    <row r="737" spans="1:108" ht="15" customHeight="1" x14ac:dyDescent="0.2">
      <c r="A737" s="1">
        <v>8902092993</v>
      </c>
      <c r="B737" s="1">
        <v>890209299</v>
      </c>
      <c r="C737" s="9">
        <v>217268572</v>
      </c>
      <c r="D737" s="10" t="s">
        <v>868</v>
      </c>
      <c r="E737" s="42" t="s">
        <v>1880</v>
      </c>
      <c r="F737" s="21"/>
      <c r="G737" s="50"/>
      <c r="H737" s="21"/>
      <c r="I737" s="50"/>
      <c r="J737" s="21"/>
      <c r="K737" s="21"/>
      <c r="L737" s="50"/>
      <c r="M737" s="51"/>
      <c r="N737" s="21"/>
      <c r="O737" s="50"/>
      <c r="P737" s="21"/>
      <c r="Q737" s="50"/>
      <c r="R737" s="21"/>
      <c r="S737" s="21"/>
      <c r="T737" s="50"/>
      <c r="U737" s="51">
        <f t="shared" si="113"/>
        <v>0</v>
      </c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>
        <v>182327641</v>
      </c>
      <c r="AN737" s="51">
        <f>SUBTOTAL(9,AC737:AM737)</f>
        <v>182327641</v>
      </c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>
        <v>120240660</v>
      </c>
      <c r="AZ737" s="51"/>
      <c r="BA737" s="51"/>
      <c r="BB737" s="51"/>
      <c r="BC737" s="52">
        <f t="shared" si="116"/>
        <v>302568301</v>
      </c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>
        <v>24048132</v>
      </c>
      <c r="BO737" s="51"/>
      <c r="BP737" s="52">
        <v>326616433</v>
      </c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>
        <v>24048132</v>
      </c>
      <c r="CD737" s="52"/>
      <c r="CE737" s="52"/>
      <c r="CF737" s="52"/>
      <c r="CG737" s="52">
        <f t="shared" si="117"/>
        <v>350664565</v>
      </c>
      <c r="CH737" s="52"/>
      <c r="CI737" s="52"/>
      <c r="CJ737" s="52"/>
      <c r="CK737" s="52"/>
      <c r="CL737" s="52"/>
      <c r="CM737" s="52"/>
      <c r="CN737" s="52"/>
      <c r="CO737" s="52"/>
      <c r="CP737" s="52"/>
      <c r="CQ737" s="52">
        <v>24048132</v>
      </c>
      <c r="CR737" s="52"/>
      <c r="CS737" s="52">
        <f t="shared" si="114"/>
        <v>374712697</v>
      </c>
      <c r="CT737" s="53">
        <v>192385056</v>
      </c>
      <c r="CU737" s="53">
        <f t="shared" si="115"/>
        <v>182327641</v>
      </c>
      <c r="CV737" s="54">
        <f t="shared" si="118"/>
        <v>374712697</v>
      </c>
      <c r="CW737" s="55">
        <f t="shared" si="119"/>
        <v>0</v>
      </c>
      <c r="CX737" s="16"/>
      <c r="CY737" s="16"/>
      <c r="CZ737" s="16"/>
    </row>
    <row r="738" spans="1:108" ht="15" customHeight="1" x14ac:dyDescent="0.2">
      <c r="A738" s="1">
        <v>8000991188</v>
      </c>
      <c r="B738" s="1">
        <v>800099118</v>
      </c>
      <c r="C738" s="9">
        <v>217352573</v>
      </c>
      <c r="D738" s="10" t="s">
        <v>734</v>
      </c>
      <c r="E738" s="42" t="s">
        <v>1756</v>
      </c>
      <c r="F738" s="21"/>
      <c r="G738" s="50"/>
      <c r="H738" s="21"/>
      <c r="I738" s="50"/>
      <c r="J738" s="21"/>
      <c r="K738" s="21"/>
      <c r="L738" s="50"/>
      <c r="M738" s="51"/>
      <c r="N738" s="21"/>
      <c r="O738" s="50"/>
      <c r="P738" s="21"/>
      <c r="Q738" s="50"/>
      <c r="R738" s="21"/>
      <c r="S738" s="21"/>
      <c r="T738" s="50"/>
      <c r="U738" s="51">
        <f t="shared" si="113"/>
        <v>0</v>
      </c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>
        <v>62515675</v>
      </c>
      <c r="AZ738" s="51"/>
      <c r="BA738" s="51">
        <f>VLOOKUP(B738,[1]Hoja3!J$3:K$674,2,0)</f>
        <v>121824549</v>
      </c>
      <c r="BB738" s="51"/>
      <c r="BC738" s="52">
        <f t="shared" si="116"/>
        <v>184340224</v>
      </c>
      <c r="BD738" s="51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>
        <v>12503135</v>
      </c>
      <c r="BO738" s="51"/>
      <c r="BP738" s="52">
        <v>196843359</v>
      </c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>
        <v>12503135</v>
      </c>
      <c r="CD738" s="52"/>
      <c r="CE738" s="52"/>
      <c r="CF738" s="52"/>
      <c r="CG738" s="52">
        <f t="shared" si="117"/>
        <v>209346494</v>
      </c>
      <c r="CH738" s="52"/>
      <c r="CI738" s="52"/>
      <c r="CJ738" s="52"/>
      <c r="CK738" s="52"/>
      <c r="CL738" s="52"/>
      <c r="CM738" s="52"/>
      <c r="CN738" s="52"/>
      <c r="CO738" s="52"/>
      <c r="CP738" s="52"/>
      <c r="CQ738" s="52">
        <v>12503135</v>
      </c>
      <c r="CR738" s="52"/>
      <c r="CS738" s="52">
        <f t="shared" si="114"/>
        <v>221849629</v>
      </c>
      <c r="CT738" s="53">
        <v>100025080</v>
      </c>
      <c r="CU738" s="53">
        <f t="shared" si="115"/>
        <v>121824549</v>
      </c>
      <c r="CV738" s="54">
        <f t="shared" si="118"/>
        <v>221849629</v>
      </c>
      <c r="CW738" s="55">
        <f t="shared" si="119"/>
        <v>0</v>
      </c>
      <c r="CX738" s="16"/>
      <c r="CY738" s="16"/>
      <c r="CZ738" s="16"/>
    </row>
    <row r="739" spans="1:108" ht="15" customHeight="1" x14ac:dyDescent="0.2">
      <c r="A739" s="1">
        <v>8912004613</v>
      </c>
      <c r="B739" s="1">
        <v>891200461</v>
      </c>
      <c r="C739" s="9">
        <v>216886568</v>
      </c>
      <c r="D739" s="10" t="s">
        <v>977</v>
      </c>
      <c r="E739" s="42" t="s">
        <v>2035</v>
      </c>
      <c r="F739" s="21"/>
      <c r="G739" s="50"/>
      <c r="H739" s="21"/>
      <c r="I739" s="50"/>
      <c r="J739" s="21"/>
      <c r="K739" s="21"/>
      <c r="L739" s="50"/>
      <c r="M739" s="51"/>
      <c r="N739" s="21"/>
      <c r="O739" s="50"/>
      <c r="P739" s="21"/>
      <c r="Q739" s="50"/>
      <c r="R739" s="21"/>
      <c r="S739" s="21"/>
      <c r="T739" s="50"/>
      <c r="U739" s="51">
        <f t="shared" si="113"/>
        <v>0</v>
      </c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>
        <v>792088471</v>
      </c>
      <c r="AN739" s="51">
        <f>SUBTOTAL(9,AC739:AM739)</f>
        <v>792088471</v>
      </c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>
        <v>470964395</v>
      </c>
      <c r="AZ739" s="51"/>
      <c r="BA739" s="51">
        <f>VLOOKUP(B739,[1]Hoja3!J$3:K$674,2,0)</f>
        <v>296215970</v>
      </c>
      <c r="BB739" s="51"/>
      <c r="BC739" s="52">
        <f t="shared" si="116"/>
        <v>1559268836</v>
      </c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>
        <v>94192879</v>
      </c>
      <c r="BO739" s="51"/>
      <c r="BP739" s="52">
        <v>1653461715</v>
      </c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>
        <v>94192879</v>
      </c>
      <c r="CD739" s="52"/>
      <c r="CE739" s="52">
        <v>16331584</v>
      </c>
      <c r="CF739" s="52"/>
      <c r="CG739" s="52">
        <f t="shared" si="117"/>
        <v>1763986178</v>
      </c>
      <c r="CH739" s="52"/>
      <c r="CI739" s="52"/>
      <c r="CJ739" s="52"/>
      <c r="CK739" s="52"/>
      <c r="CL739" s="52"/>
      <c r="CM739" s="52"/>
      <c r="CN739" s="52"/>
      <c r="CO739" s="52"/>
      <c r="CP739" s="52"/>
      <c r="CQ739" s="52">
        <v>94192879</v>
      </c>
      <c r="CR739" s="52"/>
      <c r="CS739" s="52">
        <f t="shared" si="114"/>
        <v>1858179057</v>
      </c>
      <c r="CT739" s="53">
        <v>753543032</v>
      </c>
      <c r="CU739" s="53">
        <f t="shared" si="115"/>
        <v>1104636025</v>
      </c>
      <c r="CV739" s="54">
        <f t="shared" si="118"/>
        <v>1858179057</v>
      </c>
      <c r="CW739" s="55">
        <f t="shared" si="119"/>
        <v>0</v>
      </c>
      <c r="CX739" s="16"/>
      <c r="CY739" s="16"/>
      <c r="CZ739" s="16"/>
    </row>
    <row r="740" spans="1:108" ht="15" customHeight="1" x14ac:dyDescent="0.2">
      <c r="A740" s="1">
        <v>8909800493</v>
      </c>
      <c r="B740" s="1">
        <v>890980049</v>
      </c>
      <c r="C740" s="9">
        <v>217905579</v>
      </c>
      <c r="D740" s="10" t="s">
        <v>118</v>
      </c>
      <c r="E740" s="42" t="s">
        <v>1148</v>
      </c>
      <c r="F740" s="21"/>
      <c r="G740" s="50"/>
      <c r="H740" s="21"/>
      <c r="I740" s="50"/>
      <c r="J740" s="21"/>
      <c r="K740" s="21"/>
      <c r="L740" s="50"/>
      <c r="M740" s="51"/>
      <c r="N740" s="21"/>
      <c r="O740" s="50"/>
      <c r="P740" s="21"/>
      <c r="Q740" s="50"/>
      <c r="R740" s="21"/>
      <c r="S740" s="21"/>
      <c r="T740" s="50"/>
      <c r="U740" s="51">
        <f t="shared" si="113"/>
        <v>0</v>
      </c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>
        <v>484849508</v>
      </c>
      <c r="AN740" s="51">
        <f>SUBTOTAL(9,AC740:AM740)</f>
        <v>484849508</v>
      </c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>
        <v>233641170</v>
      </c>
      <c r="AZ740" s="51"/>
      <c r="BA740" s="51"/>
      <c r="BB740" s="51"/>
      <c r="BC740" s="52">
        <f t="shared" si="116"/>
        <v>718490678</v>
      </c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>
        <v>46728234</v>
      </c>
      <c r="BO740" s="51"/>
      <c r="BP740" s="52">
        <v>765218912</v>
      </c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>
        <v>46728234</v>
      </c>
      <c r="CD740" s="52"/>
      <c r="CE740" s="52">
        <v>8255968</v>
      </c>
      <c r="CF740" s="52"/>
      <c r="CG740" s="52">
        <f t="shared" si="117"/>
        <v>820203114</v>
      </c>
      <c r="CH740" s="52"/>
      <c r="CI740" s="52"/>
      <c r="CJ740" s="52"/>
      <c r="CK740" s="52"/>
      <c r="CL740" s="52"/>
      <c r="CM740" s="52"/>
      <c r="CN740" s="52"/>
      <c r="CO740" s="52"/>
      <c r="CP740" s="52"/>
      <c r="CQ740" s="52">
        <v>46728234</v>
      </c>
      <c r="CR740" s="52"/>
      <c r="CS740" s="52">
        <f t="shared" si="114"/>
        <v>866931348</v>
      </c>
      <c r="CT740" s="53">
        <v>373825872</v>
      </c>
      <c r="CU740" s="53">
        <f t="shared" si="115"/>
        <v>493105476</v>
      </c>
      <c r="CV740" s="54">
        <f t="shared" si="118"/>
        <v>866931348</v>
      </c>
      <c r="CW740" s="55">
        <f t="shared" si="119"/>
        <v>0</v>
      </c>
      <c r="CX740" s="16"/>
      <c r="CY740" s="16"/>
      <c r="CZ740" s="16"/>
    </row>
    <row r="741" spans="1:108" ht="15" customHeight="1" x14ac:dyDescent="0.2">
      <c r="A741" s="1">
        <v>8918004664</v>
      </c>
      <c r="B741" s="1">
        <v>891800466</v>
      </c>
      <c r="C741" s="9">
        <v>217215572</v>
      </c>
      <c r="D741" s="10" t="s">
        <v>288</v>
      </c>
      <c r="E741" s="42" t="s">
        <v>1320</v>
      </c>
      <c r="F741" s="21"/>
      <c r="G741" s="50"/>
      <c r="H741" s="21"/>
      <c r="I741" s="50"/>
      <c r="J741" s="21"/>
      <c r="K741" s="21"/>
      <c r="L741" s="50"/>
      <c r="M741" s="51"/>
      <c r="N741" s="21"/>
      <c r="O741" s="50"/>
      <c r="P741" s="21"/>
      <c r="Q741" s="50"/>
      <c r="R741" s="21"/>
      <c r="S741" s="21"/>
      <c r="T741" s="50"/>
      <c r="U741" s="51">
        <f t="shared" si="113"/>
        <v>0</v>
      </c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>
        <v>555745453</v>
      </c>
      <c r="AN741" s="51">
        <f>SUBTOTAL(9,AC741:AM741)</f>
        <v>555745453</v>
      </c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>
        <v>310691580</v>
      </c>
      <c r="AZ741" s="51"/>
      <c r="BA741" s="51">
        <f>VLOOKUP(B741,[1]Hoja3!J$3:K$674,2,0)</f>
        <v>190147714</v>
      </c>
      <c r="BB741" s="51"/>
      <c r="BC741" s="52">
        <f t="shared" si="116"/>
        <v>1056584747</v>
      </c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>
        <v>62138316</v>
      </c>
      <c r="BO741" s="51"/>
      <c r="BP741" s="52">
        <v>1118723063</v>
      </c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>
        <v>62138316</v>
      </c>
      <c r="CD741" s="52"/>
      <c r="CE741" s="52"/>
      <c r="CF741" s="52"/>
      <c r="CG741" s="52">
        <f t="shared" si="117"/>
        <v>1180861379</v>
      </c>
      <c r="CH741" s="52"/>
      <c r="CI741" s="52"/>
      <c r="CJ741" s="52"/>
      <c r="CK741" s="52"/>
      <c r="CL741" s="52"/>
      <c r="CM741" s="52"/>
      <c r="CN741" s="52"/>
      <c r="CO741" s="52"/>
      <c r="CP741" s="52"/>
      <c r="CQ741" s="52">
        <v>62138316</v>
      </c>
      <c r="CR741" s="52"/>
      <c r="CS741" s="52">
        <f t="shared" si="114"/>
        <v>1242999695</v>
      </c>
      <c r="CT741" s="53">
        <v>497106528</v>
      </c>
      <c r="CU741" s="53">
        <f t="shared" si="115"/>
        <v>745893167</v>
      </c>
      <c r="CV741" s="54">
        <f t="shared" si="118"/>
        <v>1242999695</v>
      </c>
      <c r="CW741" s="55">
        <f t="shared" si="119"/>
        <v>0</v>
      </c>
      <c r="CX741" s="16"/>
      <c r="CY741" s="8"/>
      <c r="CZ741" s="8"/>
      <c r="DA741" s="8"/>
      <c r="DB741" s="8"/>
      <c r="DC741" s="8"/>
      <c r="DD741" s="8"/>
    </row>
    <row r="742" spans="1:108" ht="15" customHeight="1" x14ac:dyDescent="0.2">
      <c r="A742" s="1">
        <v>8002298872</v>
      </c>
      <c r="B742" s="1">
        <v>800229887</v>
      </c>
      <c r="C742" s="9">
        <v>216986569</v>
      </c>
      <c r="D742" s="10" t="s">
        <v>978</v>
      </c>
      <c r="E742" s="42" t="s">
        <v>2036</v>
      </c>
      <c r="F742" s="21"/>
      <c r="G742" s="50"/>
      <c r="H742" s="21"/>
      <c r="I742" s="50"/>
      <c r="J742" s="21"/>
      <c r="K742" s="21"/>
      <c r="L742" s="50"/>
      <c r="M742" s="51"/>
      <c r="N742" s="21"/>
      <c r="O742" s="50"/>
      <c r="P742" s="21"/>
      <c r="Q742" s="50"/>
      <c r="R742" s="21"/>
      <c r="S742" s="21"/>
      <c r="T742" s="50"/>
      <c r="U742" s="51">
        <f t="shared" si="113"/>
        <v>0</v>
      </c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>
        <v>162120318</v>
      </c>
      <c r="AN742" s="51">
        <f>SUBTOTAL(9,AC742:AM742)</f>
        <v>162120318</v>
      </c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>
        <v>110149045</v>
      </c>
      <c r="AZ742" s="51"/>
      <c r="BA742" s="51">
        <f>VLOOKUP(B742,[1]Hoja3!J$3:K$674,2,0)</f>
        <v>24243092</v>
      </c>
      <c r="BB742" s="51"/>
      <c r="BC742" s="52">
        <f t="shared" si="116"/>
        <v>296512455</v>
      </c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>
        <v>22029809</v>
      </c>
      <c r="BO742" s="51"/>
      <c r="BP742" s="52">
        <v>318542264</v>
      </c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>
        <v>22029809</v>
      </c>
      <c r="CD742" s="52"/>
      <c r="CE742" s="52"/>
      <c r="CF742" s="52"/>
      <c r="CG742" s="52">
        <f t="shared" si="117"/>
        <v>340572073</v>
      </c>
      <c r="CH742" s="52"/>
      <c r="CI742" s="52"/>
      <c r="CJ742" s="52"/>
      <c r="CK742" s="52"/>
      <c r="CL742" s="52"/>
      <c r="CM742" s="52"/>
      <c r="CN742" s="52"/>
      <c r="CO742" s="52"/>
      <c r="CP742" s="52"/>
      <c r="CQ742" s="52">
        <v>22029809</v>
      </c>
      <c r="CR742" s="52"/>
      <c r="CS742" s="52">
        <f t="shared" si="114"/>
        <v>362601882</v>
      </c>
      <c r="CT742" s="53">
        <v>176238472</v>
      </c>
      <c r="CU742" s="53">
        <f t="shared" si="115"/>
        <v>186363410</v>
      </c>
      <c r="CV742" s="54">
        <f t="shared" si="118"/>
        <v>362601882</v>
      </c>
      <c r="CW742" s="55">
        <f t="shared" si="119"/>
        <v>0</v>
      </c>
      <c r="CX742" s="16"/>
      <c r="CY742" s="16"/>
      <c r="CZ742" s="16"/>
    </row>
    <row r="743" spans="1:108" ht="15" customHeight="1" x14ac:dyDescent="0.2">
      <c r="A743" s="1">
        <v>8920993053</v>
      </c>
      <c r="B743" s="1">
        <v>892099305</v>
      </c>
      <c r="C743" s="9">
        <v>210199001</v>
      </c>
      <c r="D743" s="10" t="s">
        <v>997</v>
      </c>
      <c r="E743" s="46" t="s">
        <v>2054</v>
      </c>
      <c r="F743" s="21"/>
      <c r="G743" s="50"/>
      <c r="H743" s="21"/>
      <c r="I743" s="50"/>
      <c r="J743" s="21"/>
      <c r="K743" s="21"/>
      <c r="L743" s="50"/>
      <c r="M743" s="51"/>
      <c r="N743" s="21"/>
      <c r="O743" s="50"/>
      <c r="P743" s="21"/>
      <c r="Q743" s="50"/>
      <c r="R743" s="21"/>
      <c r="S743" s="21"/>
      <c r="T743" s="50"/>
      <c r="U743" s="51">
        <f t="shared" si="113"/>
        <v>0</v>
      </c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2">
        <f t="shared" si="116"/>
        <v>0</v>
      </c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>
        <v>0</v>
      </c>
      <c r="BO743" s="51"/>
      <c r="BP743" s="51">
        <v>0</v>
      </c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>
        <v>0</v>
      </c>
      <c r="CD743" s="52"/>
      <c r="CE743" s="52"/>
      <c r="CF743" s="52"/>
      <c r="CG743" s="52">
        <f t="shared" si="117"/>
        <v>0</v>
      </c>
      <c r="CH743" s="52"/>
      <c r="CI743" s="52"/>
      <c r="CJ743" s="52"/>
      <c r="CK743" s="52"/>
      <c r="CL743" s="52"/>
      <c r="CM743" s="52"/>
      <c r="CN743" s="52"/>
      <c r="CO743" s="52"/>
      <c r="CP743" s="52"/>
      <c r="CQ743" s="52">
        <v>0</v>
      </c>
      <c r="CR743" s="52"/>
      <c r="CS743" s="52">
        <f t="shared" si="114"/>
        <v>0</v>
      </c>
      <c r="CT743" s="53"/>
      <c r="CU743" s="53">
        <f t="shared" si="115"/>
        <v>0</v>
      </c>
      <c r="CV743" s="54">
        <f t="shared" si="118"/>
        <v>0</v>
      </c>
      <c r="CW743" s="55">
        <f t="shared" si="119"/>
        <v>0</v>
      </c>
      <c r="CX743" s="16"/>
      <c r="CY743" s="16"/>
      <c r="CZ743" s="16"/>
    </row>
    <row r="744" spans="1:108" ht="15" customHeight="1" x14ac:dyDescent="0.2">
      <c r="A744" s="1">
        <v>8000943862</v>
      </c>
      <c r="B744" s="1">
        <v>800094386</v>
      </c>
      <c r="C744" s="9">
        <v>217308573</v>
      </c>
      <c r="D744" s="10" t="s">
        <v>172</v>
      </c>
      <c r="E744" s="42" t="s">
        <v>1201</v>
      </c>
      <c r="F744" s="21"/>
      <c r="G744" s="50"/>
      <c r="H744" s="21"/>
      <c r="I744" s="50"/>
      <c r="J744" s="21"/>
      <c r="K744" s="21"/>
      <c r="L744" s="50"/>
      <c r="M744" s="51"/>
      <c r="N744" s="21"/>
      <c r="O744" s="50"/>
      <c r="P744" s="21"/>
      <c r="Q744" s="50"/>
      <c r="R744" s="21"/>
      <c r="S744" s="21"/>
      <c r="T744" s="50"/>
      <c r="U744" s="51">
        <f t="shared" si="113"/>
        <v>0</v>
      </c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>
        <v>35690713</v>
      </c>
      <c r="AN744" s="51">
        <f t="shared" ref="AN744:AN752" si="122">SUBTOTAL(9,AC744:AM744)</f>
        <v>35690713</v>
      </c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>
        <v>152311845</v>
      </c>
      <c r="AZ744" s="51"/>
      <c r="BA744" s="51">
        <f>VLOOKUP(B744,[1]Hoja3!J$3:K$674,2,0)</f>
        <v>373787376</v>
      </c>
      <c r="BB744" s="51"/>
      <c r="BC744" s="52">
        <f t="shared" si="116"/>
        <v>561789934</v>
      </c>
      <c r="BD744" s="51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>
        <v>30462369</v>
      </c>
      <c r="BO744" s="51"/>
      <c r="BP744" s="52">
        <v>592252303</v>
      </c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>
        <v>30462369</v>
      </c>
      <c r="CD744" s="52"/>
      <c r="CE744" s="52"/>
      <c r="CF744" s="52"/>
      <c r="CG744" s="52">
        <f t="shared" si="117"/>
        <v>622714672</v>
      </c>
      <c r="CH744" s="52"/>
      <c r="CI744" s="52"/>
      <c r="CJ744" s="52"/>
      <c r="CK744" s="52"/>
      <c r="CL744" s="52"/>
      <c r="CM744" s="52"/>
      <c r="CN744" s="52"/>
      <c r="CO744" s="52"/>
      <c r="CP744" s="52"/>
      <c r="CQ744" s="52">
        <v>30462369</v>
      </c>
      <c r="CR744" s="52"/>
      <c r="CS744" s="52">
        <f t="shared" si="114"/>
        <v>653177041</v>
      </c>
      <c r="CT744" s="53">
        <v>243698952</v>
      </c>
      <c r="CU744" s="53">
        <f t="shared" si="115"/>
        <v>409478089</v>
      </c>
      <c r="CV744" s="54">
        <f t="shared" si="118"/>
        <v>653177041</v>
      </c>
      <c r="CW744" s="55">
        <f t="shared" si="119"/>
        <v>0</v>
      </c>
      <c r="CX744" s="16"/>
      <c r="CY744" s="16"/>
      <c r="CZ744" s="16"/>
    </row>
    <row r="745" spans="1:108" ht="15" customHeight="1" x14ac:dyDescent="0.2">
      <c r="A745" s="1">
        <v>8001722061</v>
      </c>
      <c r="B745" s="1">
        <v>800172206</v>
      </c>
      <c r="C745" s="9">
        <v>215050450</v>
      </c>
      <c r="D745" s="10" t="s">
        <v>682</v>
      </c>
      <c r="E745" s="42" t="s">
        <v>1703</v>
      </c>
      <c r="F745" s="21"/>
      <c r="G745" s="50"/>
      <c r="H745" s="21"/>
      <c r="I745" s="50"/>
      <c r="J745" s="21"/>
      <c r="K745" s="21"/>
      <c r="L745" s="50"/>
      <c r="M745" s="51"/>
      <c r="N745" s="21"/>
      <c r="O745" s="50"/>
      <c r="P745" s="21"/>
      <c r="Q745" s="50"/>
      <c r="R745" s="21"/>
      <c r="S745" s="21"/>
      <c r="T745" s="50"/>
      <c r="U745" s="51">
        <f t="shared" si="113"/>
        <v>0</v>
      </c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>
        <v>139798695</v>
      </c>
      <c r="AN745" s="51">
        <f t="shared" si="122"/>
        <v>139798695</v>
      </c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>
        <v>129505875</v>
      </c>
      <c r="AZ745" s="51"/>
      <c r="BA745" s="51"/>
      <c r="BB745" s="51"/>
      <c r="BC745" s="52">
        <f t="shared" si="116"/>
        <v>269304570</v>
      </c>
      <c r="BD745" s="51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>
        <v>25901175</v>
      </c>
      <c r="BO745" s="51"/>
      <c r="BP745" s="52">
        <v>295205745</v>
      </c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>
        <v>25901175</v>
      </c>
      <c r="CD745" s="52"/>
      <c r="CE745" s="52"/>
      <c r="CF745" s="52"/>
      <c r="CG745" s="52">
        <f t="shared" si="117"/>
        <v>321106920</v>
      </c>
      <c r="CH745" s="52"/>
      <c r="CI745" s="52"/>
      <c r="CJ745" s="52"/>
      <c r="CK745" s="52"/>
      <c r="CL745" s="52"/>
      <c r="CM745" s="52"/>
      <c r="CN745" s="52"/>
      <c r="CO745" s="52"/>
      <c r="CP745" s="52"/>
      <c r="CQ745" s="52">
        <v>25901175</v>
      </c>
      <c r="CR745" s="52"/>
      <c r="CS745" s="52">
        <f t="shared" si="114"/>
        <v>347008095</v>
      </c>
      <c r="CT745" s="53">
        <v>207209400</v>
      </c>
      <c r="CU745" s="53">
        <f t="shared" si="115"/>
        <v>139798695</v>
      </c>
      <c r="CV745" s="54">
        <f t="shared" si="118"/>
        <v>347008095</v>
      </c>
      <c r="CW745" s="55">
        <f t="shared" si="119"/>
        <v>0</v>
      </c>
      <c r="CX745" s="16"/>
      <c r="CY745" s="16"/>
      <c r="CZ745" s="16"/>
    </row>
    <row r="746" spans="1:108" ht="15" customHeight="1" x14ac:dyDescent="0.2">
      <c r="A746" s="1">
        <v>8000967707</v>
      </c>
      <c r="B746" s="1">
        <v>800096770</v>
      </c>
      <c r="C746" s="9">
        <v>217423574</v>
      </c>
      <c r="D746" s="10" t="s">
        <v>452</v>
      </c>
      <c r="E746" s="42" t="s">
        <v>1479</v>
      </c>
      <c r="F746" s="21"/>
      <c r="G746" s="50"/>
      <c r="H746" s="21"/>
      <c r="I746" s="50"/>
      <c r="J746" s="21"/>
      <c r="K746" s="21"/>
      <c r="L746" s="50"/>
      <c r="M746" s="51"/>
      <c r="N746" s="21"/>
      <c r="O746" s="50"/>
      <c r="P746" s="21"/>
      <c r="Q746" s="50"/>
      <c r="R746" s="21"/>
      <c r="S746" s="21"/>
      <c r="T746" s="50"/>
      <c r="U746" s="51">
        <f t="shared" si="113"/>
        <v>0</v>
      </c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>
        <v>347075829</v>
      </c>
      <c r="AN746" s="51">
        <f t="shared" si="122"/>
        <v>347075829</v>
      </c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>
        <f>VLOOKUP(B746,[1]Hoja3!J$3:K$674,2,0)</f>
        <v>52628329</v>
      </c>
      <c r="BB746" s="51"/>
      <c r="BC746" s="52">
        <f t="shared" si="116"/>
        <v>399704158</v>
      </c>
      <c r="BD746" s="51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>
        <v>0</v>
      </c>
      <c r="BO746" s="51"/>
      <c r="BP746" s="52">
        <v>399704158</v>
      </c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>
        <v>493322452</v>
      </c>
      <c r="CD746" s="52"/>
      <c r="CE746" s="52"/>
      <c r="CF746" s="52"/>
      <c r="CG746" s="52">
        <f t="shared" si="117"/>
        <v>893026610</v>
      </c>
      <c r="CH746" s="52"/>
      <c r="CI746" s="52"/>
      <c r="CJ746" s="52"/>
      <c r="CK746" s="52"/>
      <c r="CL746" s="52"/>
      <c r="CM746" s="52"/>
      <c r="CN746" s="52"/>
      <c r="CO746" s="52"/>
      <c r="CP746" s="52"/>
      <c r="CQ746" s="52">
        <v>70474636</v>
      </c>
      <c r="CR746" s="52"/>
      <c r="CS746" s="52">
        <f t="shared" si="114"/>
        <v>963501246</v>
      </c>
      <c r="CT746" s="53">
        <v>563797088</v>
      </c>
      <c r="CU746" s="53">
        <f t="shared" si="115"/>
        <v>399704158</v>
      </c>
      <c r="CV746" s="54">
        <f t="shared" si="118"/>
        <v>963501246</v>
      </c>
      <c r="CW746" s="55">
        <f t="shared" si="119"/>
        <v>0</v>
      </c>
      <c r="CX746" s="16"/>
      <c r="CY746" s="16"/>
      <c r="CZ746" s="16"/>
    </row>
    <row r="747" spans="1:108" ht="15" customHeight="1" x14ac:dyDescent="0.2">
      <c r="A747" s="1">
        <v>8000790351</v>
      </c>
      <c r="B747" s="1">
        <v>800079035</v>
      </c>
      <c r="C747" s="9">
        <v>216850568</v>
      </c>
      <c r="D747" s="10" t="s">
        <v>683</v>
      </c>
      <c r="E747" s="42" t="s">
        <v>1704</v>
      </c>
      <c r="F747" s="21"/>
      <c r="G747" s="50"/>
      <c r="H747" s="21"/>
      <c r="I747" s="50"/>
      <c r="J747" s="21"/>
      <c r="K747" s="21"/>
      <c r="L747" s="50"/>
      <c r="M747" s="51"/>
      <c r="N747" s="21"/>
      <c r="O747" s="50"/>
      <c r="P747" s="21"/>
      <c r="Q747" s="50"/>
      <c r="R747" s="21"/>
      <c r="S747" s="21"/>
      <c r="T747" s="50"/>
      <c r="U747" s="51">
        <f t="shared" si="113"/>
        <v>0</v>
      </c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>
        <v>216307686</v>
      </c>
      <c r="AN747" s="51">
        <f t="shared" si="122"/>
        <v>216307686</v>
      </c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>
        <f>VLOOKUP(B747,[1]Hoja3!J$3:K$674,2,0)</f>
        <v>137205623</v>
      </c>
      <c r="BB747" s="51"/>
      <c r="BC747" s="52">
        <f t="shared" si="116"/>
        <v>353513309</v>
      </c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>
        <v>0</v>
      </c>
      <c r="BO747" s="51"/>
      <c r="BP747" s="52">
        <v>353513309</v>
      </c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>
        <v>0</v>
      </c>
      <c r="CD747" s="52"/>
      <c r="CE747" s="52">
        <v>361082885</v>
      </c>
      <c r="CF747" s="52"/>
      <c r="CG747" s="52">
        <f t="shared" si="117"/>
        <v>714596194</v>
      </c>
      <c r="CH747" s="52"/>
      <c r="CI747" s="52"/>
      <c r="CJ747" s="52"/>
      <c r="CK747" s="52"/>
      <c r="CL747" s="52"/>
      <c r="CM747" s="52"/>
      <c r="CN747" s="52"/>
      <c r="CO747" s="52"/>
      <c r="CP747" s="52"/>
      <c r="CQ747" s="52">
        <v>0</v>
      </c>
      <c r="CR747" s="52"/>
      <c r="CS747" s="52">
        <f t="shared" si="114"/>
        <v>714596194</v>
      </c>
      <c r="CT747" s="53"/>
      <c r="CU747" s="53">
        <f t="shared" si="115"/>
        <v>714596194</v>
      </c>
      <c r="CV747" s="54">
        <f t="shared" si="118"/>
        <v>714596194</v>
      </c>
      <c r="CW747" s="55">
        <f t="shared" si="119"/>
        <v>0</v>
      </c>
      <c r="CX747" s="16"/>
      <c r="CY747" s="16"/>
      <c r="CZ747" s="16"/>
    </row>
    <row r="748" spans="1:108" ht="15" customHeight="1" x14ac:dyDescent="0.2">
      <c r="A748" s="1">
        <v>8002224892</v>
      </c>
      <c r="B748" s="1">
        <v>800222489</v>
      </c>
      <c r="C748" s="9">
        <v>217186571</v>
      </c>
      <c r="D748" s="10" t="s">
        <v>979</v>
      </c>
      <c r="E748" s="42" t="s">
        <v>2037</v>
      </c>
      <c r="F748" s="21"/>
      <c r="G748" s="50"/>
      <c r="H748" s="21"/>
      <c r="I748" s="50"/>
      <c r="J748" s="21"/>
      <c r="K748" s="21"/>
      <c r="L748" s="50"/>
      <c r="M748" s="51"/>
      <c r="N748" s="21"/>
      <c r="O748" s="50"/>
      <c r="P748" s="21"/>
      <c r="Q748" s="50"/>
      <c r="R748" s="21"/>
      <c r="S748" s="21"/>
      <c r="T748" s="50"/>
      <c r="U748" s="51">
        <f t="shared" si="113"/>
        <v>0</v>
      </c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>
        <v>149075485</v>
      </c>
      <c r="AN748" s="51">
        <f t="shared" si="122"/>
        <v>149075485</v>
      </c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>
        <f>VLOOKUP(B748,[1]Hoja3!J$3:K$674,2,0)</f>
        <v>264508568</v>
      </c>
      <c r="BB748" s="51"/>
      <c r="BC748" s="52">
        <f t="shared" si="116"/>
        <v>413584053</v>
      </c>
      <c r="BD748" s="51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>
        <v>0</v>
      </c>
      <c r="BO748" s="51"/>
      <c r="BP748" s="52">
        <v>413584053</v>
      </c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>
        <v>448532315</v>
      </c>
      <c r="CD748" s="52"/>
      <c r="CE748" s="52">
        <v>23435272</v>
      </c>
      <c r="CF748" s="52"/>
      <c r="CG748" s="52">
        <f t="shared" si="117"/>
        <v>885551640</v>
      </c>
      <c r="CH748" s="52"/>
      <c r="CI748" s="52"/>
      <c r="CJ748" s="52"/>
      <c r="CK748" s="52"/>
      <c r="CL748" s="52"/>
      <c r="CM748" s="52"/>
      <c r="CN748" s="52"/>
      <c r="CO748" s="52"/>
      <c r="CP748" s="52"/>
      <c r="CQ748" s="52">
        <v>64076045</v>
      </c>
      <c r="CR748" s="52"/>
      <c r="CS748" s="52">
        <f t="shared" si="114"/>
        <v>949627685</v>
      </c>
      <c r="CT748" s="53">
        <v>512608360</v>
      </c>
      <c r="CU748" s="53">
        <f t="shared" si="115"/>
        <v>437019325</v>
      </c>
      <c r="CV748" s="54">
        <f t="shared" si="118"/>
        <v>949627685</v>
      </c>
      <c r="CW748" s="55">
        <f t="shared" si="119"/>
        <v>0</v>
      </c>
      <c r="CX748" s="16"/>
      <c r="CY748" s="16"/>
      <c r="CZ748" s="16"/>
    </row>
    <row r="749" spans="1:108" ht="15" customHeight="1" x14ac:dyDescent="0.2">
      <c r="A749" s="1">
        <v>8912005138</v>
      </c>
      <c r="B749" s="1">
        <v>891200513</v>
      </c>
      <c r="C749" s="9">
        <v>217386573</v>
      </c>
      <c r="D749" s="10" t="s">
        <v>980</v>
      </c>
      <c r="E749" s="42" t="s">
        <v>2080</v>
      </c>
      <c r="F749" s="21"/>
      <c r="G749" s="50"/>
      <c r="H749" s="21"/>
      <c r="I749" s="50"/>
      <c r="J749" s="21"/>
      <c r="K749" s="21"/>
      <c r="L749" s="50"/>
      <c r="M749" s="51"/>
      <c r="N749" s="21"/>
      <c r="O749" s="50"/>
      <c r="P749" s="21"/>
      <c r="Q749" s="50"/>
      <c r="R749" s="21"/>
      <c r="S749" s="21"/>
      <c r="T749" s="50"/>
      <c r="U749" s="51">
        <f t="shared" si="113"/>
        <v>0</v>
      </c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>
        <v>147575965</v>
      </c>
      <c r="AN749" s="51">
        <f t="shared" si="122"/>
        <v>147575965</v>
      </c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>
        <v>236296100</v>
      </c>
      <c r="AZ749" s="51"/>
      <c r="BA749" s="51">
        <f>VLOOKUP(B749,[1]Hoja3!J$3:K$674,2,0)</f>
        <v>304478033</v>
      </c>
      <c r="BB749" s="51"/>
      <c r="BC749" s="52">
        <f t="shared" si="116"/>
        <v>688350098</v>
      </c>
      <c r="BD749" s="51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>
        <v>47259220</v>
      </c>
      <c r="BO749" s="51"/>
      <c r="BP749" s="52">
        <v>735609318</v>
      </c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>
        <v>47259220</v>
      </c>
      <c r="CD749" s="52"/>
      <c r="CE749" s="52"/>
      <c r="CF749" s="52"/>
      <c r="CG749" s="52">
        <f t="shared" si="117"/>
        <v>782868538</v>
      </c>
      <c r="CH749" s="52"/>
      <c r="CI749" s="52"/>
      <c r="CJ749" s="52"/>
      <c r="CK749" s="52"/>
      <c r="CL749" s="52"/>
      <c r="CM749" s="52"/>
      <c r="CN749" s="52"/>
      <c r="CO749" s="52"/>
      <c r="CP749" s="52"/>
      <c r="CQ749" s="52">
        <v>47259220</v>
      </c>
      <c r="CR749" s="52"/>
      <c r="CS749" s="52">
        <f t="shared" si="114"/>
        <v>830127758</v>
      </c>
      <c r="CT749" s="53">
        <v>378073760</v>
      </c>
      <c r="CU749" s="53">
        <f t="shared" si="115"/>
        <v>452053998</v>
      </c>
      <c r="CV749" s="54">
        <f t="shared" si="118"/>
        <v>830127758</v>
      </c>
      <c r="CW749" s="55">
        <f t="shared" si="119"/>
        <v>0</v>
      </c>
      <c r="CX749" s="16"/>
      <c r="CY749" s="16"/>
      <c r="CZ749" s="16"/>
    </row>
    <row r="750" spans="1:108" ht="15" customHeight="1" x14ac:dyDescent="0.2">
      <c r="A750" s="1">
        <v>8000967721</v>
      </c>
      <c r="B750" s="1">
        <v>800096772</v>
      </c>
      <c r="C750" s="9">
        <v>218023580</v>
      </c>
      <c r="D750" s="10" t="s">
        <v>453</v>
      </c>
      <c r="E750" s="42" t="s">
        <v>1480</v>
      </c>
      <c r="F750" s="21"/>
      <c r="G750" s="50"/>
      <c r="H750" s="21"/>
      <c r="I750" s="50"/>
      <c r="J750" s="21"/>
      <c r="K750" s="21"/>
      <c r="L750" s="50"/>
      <c r="M750" s="51"/>
      <c r="N750" s="21"/>
      <c r="O750" s="50"/>
      <c r="P750" s="21"/>
      <c r="Q750" s="50"/>
      <c r="R750" s="21"/>
      <c r="S750" s="21"/>
      <c r="T750" s="50"/>
      <c r="U750" s="51">
        <f t="shared" si="113"/>
        <v>0</v>
      </c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>
        <v>628515061</v>
      </c>
      <c r="AN750" s="51">
        <f t="shared" si="122"/>
        <v>628515061</v>
      </c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>
        <v>475908180</v>
      </c>
      <c r="AZ750" s="51"/>
      <c r="BA750" s="51"/>
      <c r="BB750" s="51"/>
      <c r="BC750" s="52">
        <f t="shared" si="116"/>
        <v>1104423241</v>
      </c>
      <c r="BD750" s="51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>
        <v>95181636</v>
      </c>
      <c r="BO750" s="51"/>
      <c r="BP750" s="52">
        <v>1199604877</v>
      </c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>
        <v>95181636</v>
      </c>
      <c r="CD750" s="52"/>
      <c r="CE750" s="52"/>
      <c r="CF750" s="52"/>
      <c r="CG750" s="52">
        <f t="shared" si="117"/>
        <v>1294786513</v>
      </c>
      <c r="CH750" s="52"/>
      <c r="CI750" s="52"/>
      <c r="CJ750" s="52"/>
      <c r="CK750" s="52"/>
      <c r="CL750" s="52"/>
      <c r="CM750" s="52"/>
      <c r="CN750" s="52"/>
      <c r="CO750" s="52"/>
      <c r="CP750" s="52"/>
      <c r="CQ750" s="52">
        <v>95181636</v>
      </c>
      <c r="CR750" s="52"/>
      <c r="CS750" s="52">
        <f t="shared" si="114"/>
        <v>1389968149</v>
      </c>
      <c r="CT750" s="53">
        <v>761453088</v>
      </c>
      <c r="CU750" s="53">
        <f t="shared" si="115"/>
        <v>628515061</v>
      </c>
      <c r="CV750" s="54">
        <f t="shared" si="118"/>
        <v>1389968149</v>
      </c>
      <c r="CW750" s="55">
        <f t="shared" si="119"/>
        <v>0</v>
      </c>
      <c r="CX750" s="16"/>
      <c r="CY750" s="16"/>
      <c r="CZ750" s="16"/>
    </row>
    <row r="751" spans="1:108" ht="15" customHeight="1" x14ac:dyDescent="0.2">
      <c r="A751" s="1">
        <v>8920993092</v>
      </c>
      <c r="B751" s="1">
        <v>892099309</v>
      </c>
      <c r="C751" s="9">
        <v>217750577</v>
      </c>
      <c r="D751" s="10" t="s">
        <v>685</v>
      </c>
      <c r="E751" s="42" t="s">
        <v>1706</v>
      </c>
      <c r="F751" s="21"/>
      <c r="G751" s="50"/>
      <c r="H751" s="21"/>
      <c r="I751" s="50"/>
      <c r="J751" s="21"/>
      <c r="K751" s="21"/>
      <c r="L751" s="50"/>
      <c r="M751" s="51"/>
      <c r="N751" s="21"/>
      <c r="O751" s="50"/>
      <c r="P751" s="21"/>
      <c r="Q751" s="50"/>
      <c r="R751" s="21"/>
      <c r="S751" s="21"/>
      <c r="T751" s="50"/>
      <c r="U751" s="51">
        <f t="shared" si="113"/>
        <v>0</v>
      </c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>
        <v>118554373</v>
      </c>
      <c r="AN751" s="51">
        <f t="shared" si="122"/>
        <v>118554373</v>
      </c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>
        <v>78905835</v>
      </c>
      <c r="AZ751" s="51"/>
      <c r="BA751" s="51"/>
      <c r="BB751" s="51"/>
      <c r="BC751" s="52">
        <f t="shared" si="116"/>
        <v>197460208</v>
      </c>
      <c r="BD751" s="51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>
        <v>15781167</v>
      </c>
      <c r="BO751" s="51"/>
      <c r="BP751" s="52">
        <v>213241375</v>
      </c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>
        <v>15781167</v>
      </c>
      <c r="CD751" s="52"/>
      <c r="CE751" s="52"/>
      <c r="CF751" s="52"/>
      <c r="CG751" s="52">
        <f t="shared" si="117"/>
        <v>229022542</v>
      </c>
      <c r="CH751" s="52"/>
      <c r="CI751" s="52"/>
      <c r="CJ751" s="52"/>
      <c r="CK751" s="52"/>
      <c r="CL751" s="52"/>
      <c r="CM751" s="52"/>
      <c r="CN751" s="52"/>
      <c r="CO751" s="52"/>
      <c r="CP751" s="52"/>
      <c r="CQ751" s="52">
        <v>15781167</v>
      </c>
      <c r="CR751" s="52">
        <v>14233046</v>
      </c>
      <c r="CS751" s="52">
        <f t="shared" si="114"/>
        <v>259036755</v>
      </c>
      <c r="CT751" s="53">
        <v>126249336</v>
      </c>
      <c r="CU751" s="53">
        <f t="shared" si="115"/>
        <v>132787419</v>
      </c>
      <c r="CV751" s="54">
        <f t="shared" si="118"/>
        <v>259036755</v>
      </c>
      <c r="CW751" s="55">
        <f t="shared" si="119"/>
        <v>0</v>
      </c>
      <c r="CX751" s="16"/>
      <c r="CY751" s="16"/>
      <c r="CZ751" s="16"/>
    </row>
    <row r="752" spans="1:108" ht="15" customHeight="1" x14ac:dyDescent="0.2">
      <c r="A752" s="1">
        <v>8920993250</v>
      </c>
      <c r="B752" s="1">
        <v>892099325</v>
      </c>
      <c r="C752" s="9">
        <v>217350573</v>
      </c>
      <c r="D752" s="10" t="s">
        <v>684</v>
      </c>
      <c r="E752" s="42" t="s">
        <v>1705</v>
      </c>
      <c r="F752" s="21"/>
      <c r="G752" s="50"/>
      <c r="H752" s="21"/>
      <c r="I752" s="50"/>
      <c r="J752" s="21"/>
      <c r="K752" s="21"/>
      <c r="L752" s="50"/>
      <c r="M752" s="51"/>
      <c r="N752" s="21"/>
      <c r="O752" s="50"/>
      <c r="P752" s="21"/>
      <c r="Q752" s="50"/>
      <c r="R752" s="21"/>
      <c r="S752" s="21"/>
      <c r="T752" s="50"/>
      <c r="U752" s="51">
        <f t="shared" si="113"/>
        <v>0</v>
      </c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>
        <v>476500138</v>
      </c>
      <c r="AN752" s="51">
        <f t="shared" si="122"/>
        <v>476500138</v>
      </c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>
        <f>VLOOKUP(B752,[1]Hoja3!J$3:K$674,2,0)</f>
        <v>121664389</v>
      </c>
      <c r="BB752" s="51"/>
      <c r="BC752" s="52">
        <f t="shared" si="116"/>
        <v>598164527</v>
      </c>
      <c r="BD752" s="51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>
        <v>0</v>
      </c>
      <c r="BO752" s="51"/>
      <c r="BP752" s="52">
        <v>598164527</v>
      </c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>
        <v>0</v>
      </c>
      <c r="CD752" s="52"/>
      <c r="CE752" s="52"/>
      <c r="CF752" s="52"/>
      <c r="CG752" s="52">
        <f t="shared" si="117"/>
        <v>598164527</v>
      </c>
      <c r="CH752" s="52"/>
      <c r="CI752" s="52"/>
      <c r="CJ752" s="52"/>
      <c r="CK752" s="52"/>
      <c r="CL752" s="52"/>
      <c r="CM752" s="52"/>
      <c r="CN752" s="52"/>
      <c r="CO752" s="52"/>
      <c r="CP752" s="52"/>
      <c r="CQ752" s="52">
        <v>0</v>
      </c>
      <c r="CR752" s="52"/>
      <c r="CS752" s="52">
        <f t="shared" si="114"/>
        <v>598164527</v>
      </c>
      <c r="CT752" s="53"/>
      <c r="CU752" s="53">
        <f t="shared" si="115"/>
        <v>598164527</v>
      </c>
      <c r="CV752" s="54">
        <f t="shared" si="118"/>
        <v>598164527</v>
      </c>
      <c r="CW752" s="55">
        <f t="shared" si="119"/>
        <v>0</v>
      </c>
      <c r="CX752" s="16"/>
      <c r="CY752" s="16"/>
      <c r="CZ752" s="16"/>
    </row>
    <row r="753" spans="1:108" ht="15" customHeight="1" x14ac:dyDescent="0.2">
      <c r="A753" s="1">
        <v>8909810008</v>
      </c>
      <c r="B753" s="1">
        <v>890981000</v>
      </c>
      <c r="C753" s="9">
        <v>218505585</v>
      </c>
      <c r="D753" s="10" t="s">
        <v>119</v>
      </c>
      <c r="E753" s="42" t="s">
        <v>1149</v>
      </c>
      <c r="F753" s="21"/>
      <c r="G753" s="50"/>
      <c r="H753" s="21"/>
      <c r="I753" s="50"/>
      <c r="J753" s="21"/>
      <c r="K753" s="21"/>
      <c r="L753" s="50"/>
      <c r="M753" s="51"/>
      <c r="N753" s="21"/>
      <c r="O753" s="50"/>
      <c r="P753" s="21"/>
      <c r="Q753" s="50"/>
      <c r="R753" s="21"/>
      <c r="S753" s="21"/>
      <c r="T753" s="50"/>
      <c r="U753" s="51">
        <f t="shared" si="113"/>
        <v>0</v>
      </c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>
        <f>VLOOKUP(B753,[1]Hoja3!J$3:K$674,2,0)</f>
        <v>210304322</v>
      </c>
      <c r="BB753" s="51"/>
      <c r="BC753" s="52">
        <f t="shared" si="116"/>
        <v>210304322</v>
      </c>
      <c r="BD753" s="51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>
        <v>20391394</v>
      </c>
      <c r="BO753" s="51"/>
      <c r="BP753" s="52">
        <v>230695716</v>
      </c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>
        <v>20391394</v>
      </c>
      <c r="CD753" s="52">
        <v>101956970</v>
      </c>
      <c r="CE753" s="52"/>
      <c r="CF753" s="52"/>
      <c r="CG753" s="52">
        <f t="shared" si="117"/>
        <v>353044080</v>
      </c>
      <c r="CH753" s="52"/>
      <c r="CI753" s="52"/>
      <c r="CJ753" s="52"/>
      <c r="CK753" s="52"/>
      <c r="CL753" s="52"/>
      <c r="CM753" s="52"/>
      <c r="CN753" s="52"/>
      <c r="CO753" s="52"/>
      <c r="CP753" s="52"/>
      <c r="CQ753" s="52">
        <v>20391394</v>
      </c>
      <c r="CR753" s="52"/>
      <c r="CS753" s="52">
        <f t="shared" si="114"/>
        <v>373435474</v>
      </c>
      <c r="CT753" s="53">
        <v>163131152</v>
      </c>
      <c r="CU753" s="53">
        <f t="shared" si="115"/>
        <v>210304322</v>
      </c>
      <c r="CV753" s="54">
        <f t="shared" si="118"/>
        <v>373435474</v>
      </c>
      <c r="CW753" s="55">
        <f t="shared" si="119"/>
        <v>0</v>
      </c>
      <c r="CX753" s="16"/>
      <c r="CY753" s="16"/>
      <c r="CZ753" s="16"/>
    </row>
    <row r="754" spans="1:108" ht="15" customHeight="1" x14ac:dyDescent="0.2">
      <c r="A754" s="1">
        <v>8001031612</v>
      </c>
      <c r="B754" s="1">
        <v>800103161</v>
      </c>
      <c r="C754" s="9">
        <v>214091540</v>
      </c>
      <c r="D754" s="10" t="s">
        <v>989</v>
      </c>
      <c r="E754" s="42" t="s">
        <v>2045</v>
      </c>
      <c r="F754" s="21"/>
      <c r="G754" s="50"/>
      <c r="H754" s="21"/>
      <c r="I754" s="50"/>
      <c r="J754" s="21"/>
      <c r="K754" s="21"/>
      <c r="L754" s="50"/>
      <c r="M754" s="51"/>
      <c r="N754" s="21"/>
      <c r="O754" s="50"/>
      <c r="P754" s="21"/>
      <c r="Q754" s="50"/>
      <c r="R754" s="21"/>
      <c r="S754" s="21"/>
      <c r="T754" s="50"/>
      <c r="U754" s="51">
        <f t="shared" si="113"/>
        <v>0</v>
      </c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>
        <v>159020783</v>
      </c>
      <c r="AN754" s="51">
        <f>SUBTOTAL(9,AC754:AM754)</f>
        <v>159020783</v>
      </c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>
        <v>83541260</v>
      </c>
      <c r="AZ754" s="51"/>
      <c r="BA754" s="51"/>
      <c r="BB754" s="51"/>
      <c r="BC754" s="52">
        <f t="shared" si="116"/>
        <v>242562043</v>
      </c>
      <c r="BD754" s="51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>
        <v>16708252</v>
      </c>
      <c r="BO754" s="51"/>
      <c r="BP754" s="52">
        <v>259270295</v>
      </c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>
        <v>16708252</v>
      </c>
      <c r="CD754" s="52"/>
      <c r="CE754" s="52"/>
      <c r="CF754" s="52"/>
      <c r="CG754" s="52">
        <f t="shared" si="117"/>
        <v>275978547</v>
      </c>
      <c r="CH754" s="52"/>
      <c r="CI754" s="52"/>
      <c r="CJ754" s="52"/>
      <c r="CK754" s="52"/>
      <c r="CL754" s="52"/>
      <c r="CM754" s="52"/>
      <c r="CN754" s="52"/>
      <c r="CO754" s="52"/>
      <c r="CP754" s="52"/>
      <c r="CQ754" s="52">
        <v>16708252</v>
      </c>
      <c r="CR754" s="52"/>
      <c r="CS754" s="52">
        <f t="shared" si="114"/>
        <v>292686799</v>
      </c>
      <c r="CT754" s="53">
        <v>133666016</v>
      </c>
      <c r="CU754" s="53">
        <f t="shared" si="115"/>
        <v>159020783</v>
      </c>
      <c r="CV754" s="54">
        <f t="shared" si="118"/>
        <v>292686799</v>
      </c>
      <c r="CW754" s="55">
        <f t="shared" si="119"/>
        <v>0</v>
      </c>
      <c r="CX754" s="16"/>
      <c r="CY754" s="16"/>
      <c r="CZ754" s="16"/>
    </row>
    <row r="755" spans="1:108" ht="15" customHeight="1" x14ac:dyDescent="0.2">
      <c r="A755" s="1">
        <v>8000605253</v>
      </c>
      <c r="B755" s="1">
        <v>800060525</v>
      </c>
      <c r="C755" s="9">
        <v>217368573</v>
      </c>
      <c r="D755" s="10" t="s">
        <v>869</v>
      </c>
      <c r="E755" s="42" t="s">
        <v>1881</v>
      </c>
      <c r="F755" s="21"/>
      <c r="G755" s="50"/>
      <c r="H755" s="21"/>
      <c r="I755" s="50"/>
      <c r="J755" s="21"/>
      <c r="K755" s="21"/>
      <c r="L755" s="50"/>
      <c r="M755" s="51"/>
      <c r="N755" s="21"/>
      <c r="O755" s="50"/>
      <c r="P755" s="21"/>
      <c r="Q755" s="50"/>
      <c r="R755" s="21"/>
      <c r="S755" s="21"/>
      <c r="T755" s="50"/>
      <c r="U755" s="51">
        <f t="shared" si="113"/>
        <v>0</v>
      </c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>
        <v>121310169</v>
      </c>
      <c r="AN755" s="51">
        <f>SUBTOTAL(9,AC755:AM755)</f>
        <v>121310169</v>
      </c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>
        <v>63544780</v>
      </c>
      <c r="AZ755" s="51"/>
      <c r="BA755" s="51"/>
      <c r="BB755" s="51"/>
      <c r="BC755" s="52">
        <f t="shared" si="116"/>
        <v>184854949</v>
      </c>
      <c r="BD755" s="51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>
        <v>12708956</v>
      </c>
      <c r="BO755" s="51"/>
      <c r="BP755" s="52">
        <v>197563905</v>
      </c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>
        <v>12708956</v>
      </c>
      <c r="CD755" s="52"/>
      <c r="CE755" s="52"/>
      <c r="CF755" s="52"/>
      <c r="CG755" s="52">
        <f t="shared" si="117"/>
        <v>210272861</v>
      </c>
      <c r="CH755" s="52"/>
      <c r="CI755" s="52"/>
      <c r="CJ755" s="52"/>
      <c r="CK755" s="52"/>
      <c r="CL755" s="52"/>
      <c r="CM755" s="52"/>
      <c r="CN755" s="52"/>
      <c r="CO755" s="52"/>
      <c r="CP755" s="52"/>
      <c r="CQ755" s="52">
        <v>12708956</v>
      </c>
      <c r="CR755" s="52"/>
      <c r="CS755" s="52">
        <f t="shared" si="114"/>
        <v>222981817</v>
      </c>
      <c r="CT755" s="53">
        <v>101671648</v>
      </c>
      <c r="CU755" s="53">
        <f t="shared" si="115"/>
        <v>121310169</v>
      </c>
      <c r="CV755" s="54">
        <f t="shared" si="118"/>
        <v>222981817</v>
      </c>
      <c r="CW755" s="55">
        <f t="shared" si="119"/>
        <v>0</v>
      </c>
      <c r="CX755" s="16"/>
      <c r="CY755" s="16"/>
      <c r="CZ755" s="16"/>
    </row>
    <row r="756" spans="1:108" ht="15" customHeight="1" x14ac:dyDescent="0.2">
      <c r="A756" s="1">
        <v>8000957759</v>
      </c>
      <c r="B756" s="1">
        <v>800095775</v>
      </c>
      <c r="C756" s="9">
        <v>219218592</v>
      </c>
      <c r="D756" s="10" t="s">
        <v>369</v>
      </c>
      <c r="E756" s="42" t="s">
        <v>1399</v>
      </c>
      <c r="F756" s="21"/>
      <c r="G756" s="50"/>
      <c r="H756" s="21"/>
      <c r="I756" s="50"/>
      <c r="J756" s="21"/>
      <c r="K756" s="21"/>
      <c r="L756" s="50"/>
      <c r="M756" s="51"/>
      <c r="N756" s="21"/>
      <c r="O756" s="50"/>
      <c r="P756" s="21"/>
      <c r="Q756" s="50"/>
      <c r="R756" s="21"/>
      <c r="S756" s="21"/>
      <c r="T756" s="50"/>
      <c r="U756" s="51">
        <f t="shared" si="113"/>
        <v>0</v>
      </c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>
        <v>121650377</v>
      </c>
      <c r="AN756" s="51">
        <f>SUBTOTAL(9,AC756:AM756)</f>
        <v>121650377</v>
      </c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>
        <v>332550095</v>
      </c>
      <c r="AZ756" s="51"/>
      <c r="BA756" s="51">
        <f>VLOOKUP(B756,[1]Hoja3!J$3:K$674,2,0)</f>
        <v>381427879</v>
      </c>
      <c r="BB756" s="51"/>
      <c r="BC756" s="52">
        <f t="shared" si="116"/>
        <v>835628351</v>
      </c>
      <c r="BD756" s="51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>
        <v>66510019</v>
      </c>
      <c r="BO756" s="51"/>
      <c r="BP756" s="52">
        <v>902138370</v>
      </c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>
        <v>66510019</v>
      </c>
      <c r="CD756" s="52"/>
      <c r="CE756" s="52"/>
      <c r="CF756" s="52"/>
      <c r="CG756" s="52">
        <f t="shared" si="117"/>
        <v>968648389</v>
      </c>
      <c r="CH756" s="52"/>
      <c r="CI756" s="52"/>
      <c r="CJ756" s="52"/>
      <c r="CK756" s="52"/>
      <c r="CL756" s="52"/>
      <c r="CM756" s="52"/>
      <c r="CN756" s="52"/>
      <c r="CO756" s="52"/>
      <c r="CP756" s="52"/>
      <c r="CQ756" s="52">
        <v>66510019</v>
      </c>
      <c r="CR756" s="52"/>
      <c r="CS756" s="52">
        <f t="shared" si="114"/>
        <v>1035158408</v>
      </c>
      <c r="CT756" s="53">
        <v>532080152</v>
      </c>
      <c r="CU756" s="53">
        <f t="shared" si="115"/>
        <v>503078256</v>
      </c>
      <c r="CV756" s="54">
        <f t="shared" si="118"/>
        <v>1035158408</v>
      </c>
      <c r="CW756" s="55">
        <f t="shared" si="119"/>
        <v>0</v>
      </c>
      <c r="CX756" s="16"/>
      <c r="CY756" s="16"/>
      <c r="CZ756" s="16"/>
    </row>
    <row r="757" spans="1:108" ht="15" customHeight="1" x14ac:dyDescent="0.2">
      <c r="A757" s="1">
        <v>8000981950</v>
      </c>
      <c r="B757" s="1">
        <v>800098195</v>
      </c>
      <c r="C757" s="9">
        <v>219050590</v>
      </c>
      <c r="D757" s="10" t="s">
        <v>686</v>
      </c>
      <c r="E757" s="42" t="s">
        <v>1707</v>
      </c>
      <c r="F757" s="21"/>
      <c r="G757" s="50"/>
      <c r="H757" s="21"/>
      <c r="I757" s="50"/>
      <c r="J757" s="21"/>
      <c r="K757" s="21"/>
      <c r="L757" s="50"/>
      <c r="M757" s="51"/>
      <c r="N757" s="21"/>
      <c r="O757" s="50"/>
      <c r="P757" s="21"/>
      <c r="Q757" s="50"/>
      <c r="R757" s="21"/>
      <c r="S757" s="21"/>
      <c r="T757" s="50"/>
      <c r="U757" s="51">
        <f t="shared" si="113"/>
        <v>0</v>
      </c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>
        <v>79357444</v>
      </c>
      <c r="AN757" s="51">
        <f>SUBTOTAL(9,AC757:AM757)</f>
        <v>79357444</v>
      </c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>
        <f>VLOOKUP(B757,[1]Hoja3!J$3:K$674,2,0)</f>
        <v>106201255</v>
      </c>
      <c r="BB757" s="51"/>
      <c r="BC757" s="52">
        <f t="shared" si="116"/>
        <v>185558699</v>
      </c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>
        <v>0</v>
      </c>
      <c r="BO757" s="51"/>
      <c r="BP757" s="52">
        <v>185558699</v>
      </c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>
        <v>0</v>
      </c>
      <c r="CD757" s="52"/>
      <c r="CE757" s="52"/>
      <c r="CF757" s="52"/>
      <c r="CG757" s="52">
        <f t="shared" si="117"/>
        <v>185558699</v>
      </c>
      <c r="CH757" s="52"/>
      <c r="CI757" s="52"/>
      <c r="CJ757" s="52"/>
      <c r="CK757" s="52"/>
      <c r="CL757" s="52"/>
      <c r="CM757" s="52"/>
      <c r="CN757" s="52"/>
      <c r="CO757" s="52"/>
      <c r="CP757" s="52"/>
      <c r="CQ757" s="52">
        <v>0</v>
      </c>
      <c r="CR757" s="52"/>
      <c r="CS757" s="52">
        <f t="shared" si="114"/>
        <v>185558699</v>
      </c>
      <c r="CT757" s="53"/>
      <c r="CU757" s="53">
        <f t="shared" si="115"/>
        <v>185558699</v>
      </c>
      <c r="CV757" s="54">
        <f t="shared" si="118"/>
        <v>185558699</v>
      </c>
      <c r="CW757" s="55">
        <f t="shared" si="119"/>
        <v>0</v>
      </c>
      <c r="CX757" s="16"/>
      <c r="CY757" s="8"/>
      <c r="CZ757" s="8"/>
      <c r="DA757" s="8"/>
      <c r="DB757" s="8"/>
      <c r="DC757" s="8"/>
      <c r="DD757" s="8"/>
    </row>
    <row r="758" spans="1:108" ht="15" customHeight="1" x14ac:dyDescent="0.2">
      <c r="A758" s="1">
        <v>8001027989</v>
      </c>
      <c r="B758" s="1">
        <v>800102798</v>
      </c>
      <c r="C758" s="9">
        <v>219181591</v>
      </c>
      <c r="D758" s="10" t="s">
        <v>952</v>
      </c>
      <c r="E758" s="42" t="s">
        <v>2012</v>
      </c>
      <c r="F758" s="21"/>
      <c r="G758" s="50"/>
      <c r="H758" s="21"/>
      <c r="I758" s="50"/>
      <c r="J758" s="21"/>
      <c r="K758" s="21"/>
      <c r="L758" s="50"/>
      <c r="M758" s="51"/>
      <c r="N758" s="21"/>
      <c r="O758" s="50"/>
      <c r="P758" s="21"/>
      <c r="Q758" s="50"/>
      <c r="R758" s="21"/>
      <c r="S758" s="21"/>
      <c r="T758" s="50"/>
      <c r="U758" s="51">
        <f t="shared" si="113"/>
        <v>0</v>
      </c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>
        <v>31186410</v>
      </c>
      <c r="AZ758" s="51"/>
      <c r="BA758" s="51">
        <f>VLOOKUP(B758,[1]Hoja3!J$3:K$674,2,0)</f>
        <v>54401070</v>
      </c>
      <c r="BB758" s="51"/>
      <c r="BC758" s="52">
        <f t="shared" si="116"/>
        <v>85587480</v>
      </c>
      <c r="BD758" s="51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>
        <v>6237282</v>
      </c>
      <c r="BO758" s="51"/>
      <c r="BP758" s="52">
        <v>91824762</v>
      </c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>
        <v>6237282</v>
      </c>
      <c r="CD758" s="52"/>
      <c r="CE758" s="52"/>
      <c r="CF758" s="52"/>
      <c r="CG758" s="52">
        <f t="shared" si="117"/>
        <v>98062044</v>
      </c>
      <c r="CH758" s="52"/>
      <c r="CI758" s="52"/>
      <c r="CJ758" s="52"/>
      <c r="CK758" s="52"/>
      <c r="CL758" s="52"/>
      <c r="CM758" s="52"/>
      <c r="CN758" s="52"/>
      <c r="CO758" s="52"/>
      <c r="CP758" s="52"/>
      <c r="CQ758" s="52">
        <v>6237282</v>
      </c>
      <c r="CR758" s="52"/>
      <c r="CS758" s="52">
        <f t="shared" si="114"/>
        <v>104299326</v>
      </c>
      <c r="CT758" s="53">
        <v>49898256</v>
      </c>
      <c r="CU758" s="53">
        <f t="shared" si="115"/>
        <v>54401070</v>
      </c>
      <c r="CV758" s="54">
        <f t="shared" si="118"/>
        <v>104299326</v>
      </c>
      <c r="CW758" s="55">
        <f t="shared" si="119"/>
        <v>0</v>
      </c>
      <c r="CX758" s="16"/>
      <c r="CY758" s="16"/>
      <c r="CZ758" s="16"/>
    </row>
    <row r="759" spans="1:108" ht="15" customHeight="1" x14ac:dyDescent="0.2">
      <c r="A759" s="1">
        <v>8999994138</v>
      </c>
      <c r="B759" s="1">
        <v>899999413</v>
      </c>
      <c r="C759" s="9">
        <v>217225572</v>
      </c>
      <c r="D759" s="10" t="s">
        <v>524</v>
      </c>
      <c r="E759" s="42" t="s">
        <v>1550</v>
      </c>
      <c r="F759" s="21"/>
      <c r="G759" s="50"/>
      <c r="H759" s="21"/>
      <c r="I759" s="50"/>
      <c r="J759" s="21"/>
      <c r="K759" s="21"/>
      <c r="L759" s="50"/>
      <c r="M759" s="51"/>
      <c r="N759" s="21"/>
      <c r="O759" s="50"/>
      <c r="P759" s="21"/>
      <c r="Q759" s="50"/>
      <c r="R759" s="21"/>
      <c r="S759" s="21"/>
      <c r="T759" s="50"/>
      <c r="U759" s="51">
        <f t="shared" si="113"/>
        <v>0</v>
      </c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>
        <v>204870037</v>
      </c>
      <c r="AN759" s="51">
        <f>SUBTOTAL(9,AC759:AM759)</f>
        <v>204870037</v>
      </c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>
        <v>104824095</v>
      </c>
      <c r="AZ759" s="51"/>
      <c r="BA759" s="51"/>
      <c r="BB759" s="51"/>
      <c r="BC759" s="52">
        <f t="shared" si="116"/>
        <v>309694132</v>
      </c>
      <c r="BD759" s="51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>
        <v>20964819</v>
      </c>
      <c r="BO759" s="51"/>
      <c r="BP759" s="52">
        <v>330658951</v>
      </c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>
        <v>20964819</v>
      </c>
      <c r="CD759" s="52"/>
      <c r="CE759" s="52"/>
      <c r="CF759" s="52"/>
      <c r="CG759" s="52">
        <f t="shared" si="117"/>
        <v>351623770</v>
      </c>
      <c r="CH759" s="52"/>
      <c r="CI759" s="52"/>
      <c r="CJ759" s="52"/>
      <c r="CK759" s="52"/>
      <c r="CL759" s="52"/>
      <c r="CM759" s="52"/>
      <c r="CN759" s="52"/>
      <c r="CO759" s="52"/>
      <c r="CP759" s="52"/>
      <c r="CQ759" s="52">
        <v>20964819</v>
      </c>
      <c r="CR759" s="52"/>
      <c r="CS759" s="52">
        <f t="shared" si="114"/>
        <v>372588589</v>
      </c>
      <c r="CT759" s="53">
        <v>167718552</v>
      </c>
      <c r="CU759" s="53">
        <f t="shared" si="115"/>
        <v>204870037</v>
      </c>
      <c r="CV759" s="54">
        <f t="shared" si="118"/>
        <v>372588589</v>
      </c>
      <c r="CW759" s="55">
        <f t="shared" si="119"/>
        <v>0</v>
      </c>
      <c r="CX759" s="16"/>
      <c r="CY759" s="16"/>
      <c r="CZ759" s="16"/>
    </row>
    <row r="760" spans="1:108" ht="15" customHeight="1" x14ac:dyDescent="0.2">
      <c r="A760" s="1">
        <v>8002508531</v>
      </c>
      <c r="B760" s="1">
        <v>800250853</v>
      </c>
      <c r="C760" s="9">
        <v>215354553</v>
      </c>
      <c r="D760" s="10" t="s">
        <v>777</v>
      </c>
      <c r="E760" s="42" t="s">
        <v>1794</v>
      </c>
      <c r="F760" s="21"/>
      <c r="G760" s="50"/>
      <c r="H760" s="21"/>
      <c r="I760" s="50"/>
      <c r="J760" s="21"/>
      <c r="K760" s="21"/>
      <c r="L760" s="50"/>
      <c r="M760" s="51"/>
      <c r="N760" s="21"/>
      <c r="O760" s="50"/>
      <c r="P760" s="21"/>
      <c r="Q760" s="50"/>
      <c r="R760" s="21"/>
      <c r="S760" s="21"/>
      <c r="T760" s="50"/>
      <c r="U760" s="51">
        <f t="shared" si="113"/>
        <v>0</v>
      </c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>
        <v>66005540</v>
      </c>
      <c r="AZ760" s="51"/>
      <c r="BA760" s="51">
        <f>VLOOKUP(B760,[1]Hoja3!J$3:K$674,2,0)</f>
        <v>123377280</v>
      </c>
      <c r="BB760" s="51"/>
      <c r="BC760" s="52">
        <f t="shared" si="116"/>
        <v>189382820</v>
      </c>
      <c r="BD760" s="51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>
        <v>13201108</v>
      </c>
      <c r="BO760" s="51"/>
      <c r="BP760" s="52">
        <v>202583928</v>
      </c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>
        <v>13201108</v>
      </c>
      <c r="CD760" s="52"/>
      <c r="CE760" s="52"/>
      <c r="CF760" s="52"/>
      <c r="CG760" s="52">
        <f t="shared" si="117"/>
        <v>215785036</v>
      </c>
      <c r="CH760" s="52"/>
      <c r="CI760" s="52"/>
      <c r="CJ760" s="52"/>
      <c r="CK760" s="52"/>
      <c r="CL760" s="52"/>
      <c r="CM760" s="52"/>
      <c r="CN760" s="52"/>
      <c r="CO760" s="52"/>
      <c r="CP760" s="52"/>
      <c r="CQ760" s="52">
        <v>13201108</v>
      </c>
      <c r="CR760" s="52"/>
      <c r="CS760" s="52">
        <f t="shared" si="114"/>
        <v>228986144</v>
      </c>
      <c r="CT760" s="53">
        <v>105608864</v>
      </c>
      <c r="CU760" s="53">
        <f t="shared" si="115"/>
        <v>123377280</v>
      </c>
      <c r="CV760" s="54">
        <f t="shared" si="118"/>
        <v>228986144</v>
      </c>
      <c r="CW760" s="55">
        <f t="shared" si="119"/>
        <v>0</v>
      </c>
      <c r="CX760" s="16"/>
      <c r="CY760" s="8"/>
      <c r="CZ760" s="8"/>
      <c r="DA760" s="8"/>
      <c r="DB760" s="8"/>
      <c r="DC760" s="8"/>
      <c r="DD760" s="8"/>
    </row>
    <row r="761" spans="1:108" ht="15" customHeight="1" x14ac:dyDescent="0.2">
      <c r="A761" s="1">
        <v>8915005809</v>
      </c>
      <c r="B761" s="1">
        <v>891500580</v>
      </c>
      <c r="C761" s="9">
        <v>217319573</v>
      </c>
      <c r="D761" s="10" t="s">
        <v>399</v>
      </c>
      <c r="E761" s="44" t="s">
        <v>2106</v>
      </c>
      <c r="F761" s="21"/>
      <c r="G761" s="50"/>
      <c r="H761" s="21"/>
      <c r="I761" s="50"/>
      <c r="J761" s="21"/>
      <c r="K761" s="21"/>
      <c r="L761" s="50"/>
      <c r="M761" s="51"/>
      <c r="N761" s="21"/>
      <c r="O761" s="50"/>
      <c r="P761" s="21"/>
      <c r="Q761" s="50"/>
      <c r="R761" s="21"/>
      <c r="S761" s="21"/>
      <c r="T761" s="50"/>
      <c r="U761" s="51">
        <f t="shared" si="113"/>
        <v>0</v>
      </c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>
        <v>143622853</v>
      </c>
      <c r="AN761" s="51">
        <f>SUBTOTAL(9,AC761:AM761)</f>
        <v>143622853</v>
      </c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>
        <v>295549095</v>
      </c>
      <c r="AZ761" s="51"/>
      <c r="BA761" s="51">
        <f>VLOOKUP(B761,[1]Hoja3!J$3:K$674,2,0)</f>
        <v>325800203</v>
      </c>
      <c r="BB761" s="51"/>
      <c r="BC761" s="52">
        <f t="shared" si="116"/>
        <v>764972151</v>
      </c>
      <c r="BD761" s="51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>
        <v>59109819</v>
      </c>
      <c r="BO761" s="51"/>
      <c r="BP761" s="52">
        <v>824081970</v>
      </c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>
        <v>59109819</v>
      </c>
      <c r="CD761" s="52"/>
      <c r="CE761" s="52"/>
      <c r="CF761" s="52"/>
      <c r="CG761" s="52">
        <f t="shared" si="117"/>
        <v>883191789</v>
      </c>
      <c r="CH761" s="52"/>
      <c r="CI761" s="52"/>
      <c r="CJ761" s="52"/>
      <c r="CK761" s="52"/>
      <c r="CL761" s="52"/>
      <c r="CM761" s="52"/>
      <c r="CN761" s="52"/>
      <c r="CO761" s="52"/>
      <c r="CP761" s="52"/>
      <c r="CQ761" s="52">
        <v>59109819</v>
      </c>
      <c r="CR761" s="52"/>
      <c r="CS761" s="52">
        <f t="shared" si="114"/>
        <v>942301608</v>
      </c>
      <c r="CT761" s="53">
        <v>472878552</v>
      </c>
      <c r="CU761" s="53">
        <f t="shared" si="115"/>
        <v>469423056</v>
      </c>
      <c r="CV761" s="54">
        <f t="shared" si="118"/>
        <v>942301608</v>
      </c>
      <c r="CW761" s="55">
        <f t="shared" si="119"/>
        <v>0</v>
      </c>
      <c r="CX761" s="16"/>
      <c r="CY761" s="16"/>
      <c r="CZ761" s="16"/>
    </row>
    <row r="762" spans="1:108" ht="15" customHeight="1" x14ac:dyDescent="0.2">
      <c r="A762" s="1">
        <v>8909839064</v>
      </c>
      <c r="B762" s="1">
        <v>890983906</v>
      </c>
      <c r="C762" s="9">
        <v>219105591</v>
      </c>
      <c r="D762" s="10" t="s">
        <v>120</v>
      </c>
      <c r="E762" s="42" t="s">
        <v>1150</v>
      </c>
      <c r="F762" s="21"/>
      <c r="G762" s="50"/>
      <c r="H762" s="21"/>
      <c r="I762" s="50"/>
      <c r="J762" s="21"/>
      <c r="K762" s="21"/>
      <c r="L762" s="50"/>
      <c r="M762" s="51"/>
      <c r="N762" s="21"/>
      <c r="O762" s="50"/>
      <c r="P762" s="21"/>
      <c r="Q762" s="50"/>
      <c r="R762" s="21"/>
      <c r="S762" s="21"/>
      <c r="T762" s="50"/>
      <c r="U762" s="51">
        <f t="shared" si="113"/>
        <v>0</v>
      </c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>
        <f>VLOOKUP(B762,[1]Hoja3!J$3:K$674,2,0)</f>
        <v>283786388</v>
      </c>
      <c r="BB762" s="51"/>
      <c r="BC762" s="52">
        <f t="shared" si="116"/>
        <v>283786388</v>
      </c>
      <c r="BD762" s="51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>
        <v>0</v>
      </c>
      <c r="BO762" s="51"/>
      <c r="BP762" s="52">
        <v>283786388</v>
      </c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>
        <v>0</v>
      </c>
      <c r="CD762" s="52"/>
      <c r="CE762" s="52"/>
      <c r="CF762" s="52"/>
      <c r="CG762" s="52">
        <f t="shared" si="117"/>
        <v>283786388</v>
      </c>
      <c r="CH762" s="52"/>
      <c r="CI762" s="52"/>
      <c r="CJ762" s="52"/>
      <c r="CK762" s="52"/>
      <c r="CL762" s="52"/>
      <c r="CM762" s="52"/>
      <c r="CN762" s="52"/>
      <c r="CO762" s="52"/>
      <c r="CP762" s="52"/>
      <c r="CQ762" s="52">
        <v>0</v>
      </c>
      <c r="CR762" s="52"/>
      <c r="CS762" s="52">
        <f t="shared" si="114"/>
        <v>283786388</v>
      </c>
      <c r="CT762" s="53"/>
      <c r="CU762" s="53">
        <f t="shared" si="115"/>
        <v>283786388</v>
      </c>
      <c r="CV762" s="54">
        <f t="shared" si="118"/>
        <v>283786388</v>
      </c>
      <c r="CW762" s="55">
        <f t="shared" si="119"/>
        <v>0</v>
      </c>
      <c r="CX762" s="16"/>
      <c r="CY762" s="16"/>
      <c r="CZ762" s="16"/>
    </row>
    <row r="763" spans="1:108" ht="15" customHeight="1" x14ac:dyDescent="0.2">
      <c r="A763" s="1">
        <v>8902011903</v>
      </c>
      <c r="B763" s="1">
        <v>890201190</v>
      </c>
      <c r="C763" s="9">
        <v>217568575</v>
      </c>
      <c r="D763" s="10" t="s">
        <v>870</v>
      </c>
      <c r="E763" s="42" t="s">
        <v>1882</v>
      </c>
      <c r="F763" s="21"/>
      <c r="G763" s="50"/>
      <c r="H763" s="21"/>
      <c r="I763" s="50"/>
      <c r="J763" s="21"/>
      <c r="K763" s="21"/>
      <c r="L763" s="50"/>
      <c r="M763" s="51"/>
      <c r="N763" s="21"/>
      <c r="O763" s="50"/>
      <c r="P763" s="21"/>
      <c r="Q763" s="50"/>
      <c r="R763" s="21"/>
      <c r="S763" s="21"/>
      <c r="T763" s="50"/>
      <c r="U763" s="51">
        <f t="shared" si="113"/>
        <v>0</v>
      </c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>
        <v>287441265</v>
      </c>
      <c r="AZ763" s="51"/>
      <c r="BA763" s="51">
        <f>VLOOKUP(B763,[1]Hoja3!J$3:K$674,2,0)</f>
        <v>609354724</v>
      </c>
      <c r="BB763" s="51"/>
      <c r="BC763" s="52">
        <f t="shared" si="116"/>
        <v>896795989</v>
      </c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>
        <v>57488253</v>
      </c>
      <c r="BO763" s="51"/>
      <c r="BP763" s="52">
        <v>954284242</v>
      </c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>
        <v>57488253</v>
      </c>
      <c r="CD763" s="52"/>
      <c r="CE763" s="52"/>
      <c r="CF763" s="52"/>
      <c r="CG763" s="52">
        <f t="shared" si="117"/>
        <v>1011772495</v>
      </c>
      <c r="CH763" s="52"/>
      <c r="CI763" s="52"/>
      <c r="CJ763" s="52"/>
      <c r="CK763" s="52"/>
      <c r="CL763" s="52"/>
      <c r="CM763" s="52"/>
      <c r="CN763" s="52"/>
      <c r="CO763" s="52"/>
      <c r="CP763" s="52"/>
      <c r="CQ763" s="52">
        <v>57488253</v>
      </c>
      <c r="CR763" s="52"/>
      <c r="CS763" s="52">
        <f t="shared" si="114"/>
        <v>1069260748</v>
      </c>
      <c r="CT763" s="53">
        <v>459906024</v>
      </c>
      <c r="CU763" s="53">
        <f t="shared" si="115"/>
        <v>609354724</v>
      </c>
      <c r="CV763" s="54">
        <f t="shared" si="118"/>
        <v>1069260748</v>
      </c>
      <c r="CW763" s="55">
        <f t="shared" si="119"/>
        <v>0</v>
      </c>
      <c r="CX763" s="16"/>
      <c r="CY763" s="16"/>
      <c r="CZ763" s="16"/>
    </row>
    <row r="764" spans="1:108" ht="15" customHeight="1" x14ac:dyDescent="0.2">
      <c r="A764" s="1">
        <v>8000856124</v>
      </c>
      <c r="B764" s="1">
        <v>800085612</v>
      </c>
      <c r="C764" s="9">
        <v>218025580</v>
      </c>
      <c r="D764" s="10" t="s">
        <v>525</v>
      </c>
      <c r="E764" s="42" t="s">
        <v>1551</v>
      </c>
      <c r="F764" s="21"/>
      <c r="G764" s="50"/>
      <c r="H764" s="21"/>
      <c r="I764" s="50"/>
      <c r="J764" s="21"/>
      <c r="K764" s="21"/>
      <c r="L764" s="50"/>
      <c r="M764" s="51"/>
      <c r="N764" s="21"/>
      <c r="O764" s="50"/>
      <c r="P764" s="21"/>
      <c r="Q764" s="50"/>
      <c r="R764" s="21"/>
      <c r="S764" s="21"/>
      <c r="T764" s="50"/>
      <c r="U764" s="51">
        <f t="shared" si="113"/>
        <v>0</v>
      </c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>
        <v>36931174</v>
      </c>
      <c r="AN764" s="51">
        <f t="shared" ref="AN764:AN775" si="123">SUBTOTAL(9,AC764:AM764)</f>
        <v>36931174</v>
      </c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2">
        <f t="shared" si="116"/>
        <v>36931174</v>
      </c>
      <c r="BD764" s="51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>
        <v>0</v>
      </c>
      <c r="BO764" s="51"/>
      <c r="BP764" s="52">
        <v>36931174</v>
      </c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>
        <v>0</v>
      </c>
      <c r="CD764" s="52"/>
      <c r="CE764" s="52"/>
      <c r="CF764" s="52"/>
      <c r="CG764" s="52">
        <f t="shared" si="117"/>
        <v>36931174</v>
      </c>
      <c r="CH764" s="52"/>
      <c r="CI764" s="52"/>
      <c r="CJ764" s="52"/>
      <c r="CK764" s="52"/>
      <c r="CL764" s="52"/>
      <c r="CM764" s="52"/>
      <c r="CN764" s="52"/>
      <c r="CO764" s="52"/>
      <c r="CP764" s="52"/>
      <c r="CQ764" s="52">
        <v>35856064</v>
      </c>
      <c r="CR764" s="52"/>
      <c r="CS764" s="52">
        <f t="shared" si="114"/>
        <v>72787238</v>
      </c>
      <c r="CT764" s="53">
        <v>35856064</v>
      </c>
      <c r="CU764" s="53">
        <f t="shared" si="115"/>
        <v>36931174</v>
      </c>
      <c r="CV764" s="54">
        <f t="shared" si="118"/>
        <v>72787238</v>
      </c>
      <c r="CW764" s="55">
        <f t="shared" si="119"/>
        <v>0</v>
      </c>
      <c r="CX764" s="16"/>
      <c r="CY764" s="16"/>
      <c r="CZ764" s="16"/>
    </row>
    <row r="765" spans="1:108" ht="15" customHeight="1" x14ac:dyDescent="0.2">
      <c r="A765" s="1">
        <v>8000991228</v>
      </c>
      <c r="B765" s="1">
        <v>800099122</v>
      </c>
      <c r="C765" s="9">
        <v>218552585</v>
      </c>
      <c r="D765" s="10" t="s">
        <v>735</v>
      </c>
      <c r="E765" s="42" t="s">
        <v>1757</v>
      </c>
      <c r="F765" s="21"/>
      <c r="G765" s="50"/>
      <c r="H765" s="21"/>
      <c r="I765" s="50"/>
      <c r="J765" s="21"/>
      <c r="K765" s="21"/>
      <c r="L765" s="50"/>
      <c r="M765" s="51"/>
      <c r="N765" s="21"/>
      <c r="O765" s="50"/>
      <c r="P765" s="21"/>
      <c r="Q765" s="50"/>
      <c r="R765" s="21"/>
      <c r="S765" s="21"/>
      <c r="T765" s="50"/>
      <c r="U765" s="51">
        <f t="shared" si="113"/>
        <v>0</v>
      </c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>
        <v>69373167</v>
      </c>
      <c r="AN765" s="51">
        <f t="shared" si="123"/>
        <v>69373167</v>
      </c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>
        <v>126865795</v>
      </c>
      <c r="AZ765" s="51"/>
      <c r="BA765" s="51">
        <f>VLOOKUP(B765,[1]Hoja3!J$3:K$674,2,0)</f>
        <v>183127700</v>
      </c>
      <c r="BB765" s="51"/>
      <c r="BC765" s="52">
        <f t="shared" si="116"/>
        <v>379366662</v>
      </c>
      <c r="BD765" s="51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>
        <v>25373159</v>
      </c>
      <c r="BO765" s="51"/>
      <c r="BP765" s="52">
        <v>404739821</v>
      </c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>
        <v>25373159</v>
      </c>
      <c r="CD765" s="52"/>
      <c r="CE765" s="52"/>
      <c r="CF765" s="52"/>
      <c r="CG765" s="52">
        <f t="shared" si="117"/>
        <v>430112980</v>
      </c>
      <c r="CH765" s="52"/>
      <c r="CI765" s="52"/>
      <c r="CJ765" s="52"/>
      <c r="CK765" s="52"/>
      <c r="CL765" s="52"/>
      <c r="CM765" s="52"/>
      <c r="CN765" s="52"/>
      <c r="CO765" s="52"/>
      <c r="CP765" s="52"/>
      <c r="CQ765" s="52">
        <v>25373159</v>
      </c>
      <c r="CR765" s="52"/>
      <c r="CS765" s="52">
        <f t="shared" si="114"/>
        <v>455486139</v>
      </c>
      <c r="CT765" s="53">
        <v>202985272</v>
      </c>
      <c r="CU765" s="53">
        <f t="shared" si="115"/>
        <v>252500867</v>
      </c>
      <c r="CV765" s="54">
        <f t="shared" si="118"/>
        <v>455486139</v>
      </c>
      <c r="CW765" s="55">
        <f t="shared" si="119"/>
        <v>0</v>
      </c>
      <c r="CX765" s="16"/>
      <c r="CY765" s="16"/>
      <c r="CZ765" s="16"/>
    </row>
    <row r="766" spans="1:108" ht="15" customHeight="1" x14ac:dyDescent="0.2">
      <c r="A766" s="1">
        <v>8915007210</v>
      </c>
      <c r="B766" s="1">
        <v>891500721</v>
      </c>
      <c r="C766" s="9">
        <v>218519585</v>
      </c>
      <c r="D766" s="10" t="s">
        <v>400</v>
      </c>
      <c r="E766" s="42" t="s">
        <v>1428</v>
      </c>
      <c r="F766" s="21"/>
      <c r="G766" s="50"/>
      <c r="H766" s="21"/>
      <c r="I766" s="50"/>
      <c r="J766" s="21"/>
      <c r="K766" s="21"/>
      <c r="L766" s="50"/>
      <c r="M766" s="51"/>
      <c r="N766" s="21"/>
      <c r="O766" s="50"/>
      <c r="P766" s="21"/>
      <c r="Q766" s="50"/>
      <c r="R766" s="21"/>
      <c r="S766" s="21"/>
      <c r="T766" s="50"/>
      <c r="U766" s="51">
        <f t="shared" si="113"/>
        <v>0</v>
      </c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>
        <v>49158381</v>
      </c>
      <c r="AN766" s="51">
        <f t="shared" si="123"/>
        <v>49158381</v>
      </c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>
        <v>130580085</v>
      </c>
      <c r="AZ766" s="51"/>
      <c r="BA766" s="51"/>
      <c r="BB766" s="51"/>
      <c r="BC766" s="52">
        <f t="shared" si="116"/>
        <v>179738466</v>
      </c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>
        <v>26116017</v>
      </c>
      <c r="BO766" s="51"/>
      <c r="BP766" s="52">
        <v>205854483</v>
      </c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>
        <v>26116017</v>
      </c>
      <c r="CD766" s="52"/>
      <c r="CE766" s="52"/>
      <c r="CF766" s="52"/>
      <c r="CG766" s="52">
        <f t="shared" si="117"/>
        <v>231970500</v>
      </c>
      <c r="CH766" s="52"/>
      <c r="CI766" s="52"/>
      <c r="CJ766" s="52"/>
      <c r="CK766" s="52"/>
      <c r="CL766" s="52"/>
      <c r="CM766" s="52"/>
      <c r="CN766" s="52"/>
      <c r="CO766" s="52"/>
      <c r="CP766" s="52"/>
      <c r="CQ766" s="52">
        <v>26116017</v>
      </c>
      <c r="CR766" s="52"/>
      <c r="CS766" s="52">
        <f t="shared" si="114"/>
        <v>258086517</v>
      </c>
      <c r="CT766" s="53">
        <v>208928136</v>
      </c>
      <c r="CU766" s="53">
        <f t="shared" si="115"/>
        <v>49158381</v>
      </c>
      <c r="CV766" s="54">
        <f t="shared" si="118"/>
        <v>258086517</v>
      </c>
      <c r="CW766" s="55">
        <f t="shared" si="119"/>
        <v>0</v>
      </c>
      <c r="CX766" s="16"/>
      <c r="CY766" s="16"/>
      <c r="CZ766" s="16"/>
    </row>
    <row r="767" spans="1:108" ht="15" customHeight="1" x14ac:dyDescent="0.2">
      <c r="A767" s="1">
        <v>8907010774</v>
      </c>
      <c r="B767" s="1">
        <v>890701077</v>
      </c>
      <c r="C767" s="9">
        <v>218573585</v>
      </c>
      <c r="D767" s="10" t="s">
        <v>2244</v>
      </c>
      <c r="E767" s="42" t="s">
        <v>1960</v>
      </c>
      <c r="F767" s="21"/>
      <c r="G767" s="50"/>
      <c r="H767" s="21"/>
      <c r="I767" s="50"/>
      <c r="J767" s="21"/>
      <c r="K767" s="21"/>
      <c r="L767" s="50"/>
      <c r="M767" s="51"/>
      <c r="N767" s="21"/>
      <c r="O767" s="50"/>
      <c r="P767" s="21"/>
      <c r="Q767" s="50"/>
      <c r="R767" s="21"/>
      <c r="S767" s="21"/>
      <c r="T767" s="50"/>
      <c r="U767" s="51">
        <f t="shared" si="113"/>
        <v>0</v>
      </c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>
        <v>216187717</v>
      </c>
      <c r="AN767" s="51">
        <f t="shared" si="123"/>
        <v>216187717</v>
      </c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>
        <v>154777350</v>
      </c>
      <c r="AZ767" s="51"/>
      <c r="BA767" s="51">
        <f>VLOOKUP(B767,[1]Hoja3!J$3:K$674,2,0)</f>
        <v>98660792</v>
      </c>
      <c r="BB767" s="51"/>
      <c r="BC767" s="52">
        <f t="shared" si="116"/>
        <v>469625859</v>
      </c>
      <c r="BD767" s="51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>
        <v>30955470</v>
      </c>
      <c r="BO767" s="51"/>
      <c r="BP767" s="52">
        <v>500581329</v>
      </c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>
        <v>30955470</v>
      </c>
      <c r="CD767" s="52"/>
      <c r="CE767" s="52"/>
      <c r="CF767" s="52"/>
      <c r="CG767" s="52">
        <f t="shared" si="117"/>
        <v>531536799</v>
      </c>
      <c r="CH767" s="52"/>
      <c r="CI767" s="52"/>
      <c r="CJ767" s="52"/>
      <c r="CK767" s="52"/>
      <c r="CL767" s="52"/>
      <c r="CM767" s="52"/>
      <c r="CN767" s="52"/>
      <c r="CO767" s="52"/>
      <c r="CP767" s="52"/>
      <c r="CQ767" s="52">
        <v>30955470</v>
      </c>
      <c r="CR767" s="52"/>
      <c r="CS767" s="52">
        <f t="shared" si="114"/>
        <v>562492269</v>
      </c>
      <c r="CT767" s="53">
        <v>247643760</v>
      </c>
      <c r="CU767" s="53">
        <f t="shared" si="115"/>
        <v>314848509</v>
      </c>
      <c r="CV767" s="54">
        <f t="shared" si="118"/>
        <v>562492269</v>
      </c>
      <c r="CW767" s="55">
        <f t="shared" si="119"/>
        <v>0</v>
      </c>
      <c r="CX767" s="16"/>
      <c r="CY767" s="16"/>
      <c r="CZ767" s="16"/>
    </row>
    <row r="768" spans="1:108" ht="15" customHeight="1" x14ac:dyDescent="0.2">
      <c r="A768" s="1">
        <v>8000791627</v>
      </c>
      <c r="B768" s="1">
        <v>800079162</v>
      </c>
      <c r="C768" s="9">
        <v>218623586</v>
      </c>
      <c r="D768" s="10" t="s">
        <v>454</v>
      </c>
      <c r="E768" s="42" t="s">
        <v>2061</v>
      </c>
      <c r="F768" s="21"/>
      <c r="G768" s="50"/>
      <c r="H768" s="21"/>
      <c r="I768" s="50"/>
      <c r="J768" s="21"/>
      <c r="K768" s="21"/>
      <c r="L768" s="50"/>
      <c r="M768" s="51"/>
      <c r="N768" s="21"/>
      <c r="O768" s="50"/>
      <c r="P768" s="21"/>
      <c r="Q768" s="50"/>
      <c r="R768" s="21"/>
      <c r="S768" s="21"/>
      <c r="T768" s="50"/>
      <c r="U768" s="51">
        <f t="shared" si="113"/>
        <v>0</v>
      </c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>
        <v>231023281</v>
      </c>
      <c r="AN768" s="51">
        <f t="shared" si="123"/>
        <v>231023281</v>
      </c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>
        <v>164222190</v>
      </c>
      <c r="AZ768" s="51"/>
      <c r="BA768" s="51"/>
      <c r="BB768" s="51"/>
      <c r="BC768" s="52">
        <f t="shared" si="116"/>
        <v>395245471</v>
      </c>
      <c r="BD768" s="51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>
        <v>32844438</v>
      </c>
      <c r="BO768" s="51"/>
      <c r="BP768" s="52">
        <v>428089909</v>
      </c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>
        <v>32844438</v>
      </c>
      <c r="CD768" s="52"/>
      <c r="CE768" s="52"/>
      <c r="CF768" s="52"/>
      <c r="CG768" s="52">
        <f t="shared" si="117"/>
        <v>460934347</v>
      </c>
      <c r="CH768" s="52"/>
      <c r="CI768" s="52"/>
      <c r="CJ768" s="52"/>
      <c r="CK768" s="52"/>
      <c r="CL768" s="52"/>
      <c r="CM768" s="52"/>
      <c r="CN768" s="52"/>
      <c r="CO768" s="52"/>
      <c r="CP768" s="52"/>
      <c r="CQ768" s="52">
        <v>32844438</v>
      </c>
      <c r="CR768" s="52"/>
      <c r="CS768" s="52">
        <f t="shared" si="114"/>
        <v>493778785</v>
      </c>
      <c r="CT768" s="53">
        <v>262755504</v>
      </c>
      <c r="CU768" s="53">
        <f t="shared" si="115"/>
        <v>231023281</v>
      </c>
      <c r="CV768" s="54">
        <f t="shared" si="118"/>
        <v>493778785</v>
      </c>
      <c r="CW768" s="55">
        <f t="shared" si="119"/>
        <v>0</v>
      </c>
      <c r="CX768" s="16"/>
      <c r="CY768" s="16"/>
      <c r="CZ768" s="16"/>
    </row>
    <row r="769" spans="1:108" ht="15" customHeight="1" x14ac:dyDescent="0.2">
      <c r="A769" s="1">
        <v>8999994328</v>
      </c>
      <c r="B769" s="1">
        <v>899999432</v>
      </c>
      <c r="C769" s="9">
        <v>219225592</v>
      </c>
      <c r="D769" s="10" t="s">
        <v>526</v>
      </c>
      <c r="E769" s="42" t="s">
        <v>2072</v>
      </c>
      <c r="F769" s="21"/>
      <c r="G769" s="50"/>
      <c r="H769" s="21"/>
      <c r="I769" s="50"/>
      <c r="J769" s="21"/>
      <c r="K769" s="21"/>
      <c r="L769" s="50"/>
      <c r="M769" s="51"/>
      <c r="N769" s="21"/>
      <c r="O769" s="50"/>
      <c r="P769" s="21"/>
      <c r="Q769" s="50"/>
      <c r="R769" s="21"/>
      <c r="S769" s="21"/>
      <c r="T769" s="50"/>
      <c r="U769" s="51">
        <f t="shared" si="113"/>
        <v>0</v>
      </c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>
        <v>74664272</v>
      </c>
      <c r="AN769" s="51">
        <f t="shared" si="123"/>
        <v>74664272</v>
      </c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>
        <v>29017770</v>
      </c>
      <c r="AZ769" s="51"/>
      <c r="BA769" s="51"/>
      <c r="BB769" s="51"/>
      <c r="BC769" s="52">
        <f t="shared" si="116"/>
        <v>103682042</v>
      </c>
      <c r="BD769" s="51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>
        <v>5803554</v>
      </c>
      <c r="BO769" s="51"/>
      <c r="BP769" s="52">
        <v>109485596</v>
      </c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>
        <v>5803554</v>
      </c>
      <c r="CD769" s="52"/>
      <c r="CE769" s="52"/>
      <c r="CF769" s="52"/>
      <c r="CG769" s="52">
        <f t="shared" si="117"/>
        <v>115289150</v>
      </c>
      <c r="CH769" s="52"/>
      <c r="CI769" s="52"/>
      <c r="CJ769" s="52"/>
      <c r="CK769" s="52"/>
      <c r="CL769" s="52"/>
      <c r="CM769" s="52"/>
      <c r="CN769" s="52"/>
      <c r="CO769" s="52"/>
      <c r="CP769" s="52"/>
      <c r="CQ769" s="52">
        <v>5803554</v>
      </c>
      <c r="CR769" s="52"/>
      <c r="CS769" s="52">
        <f t="shared" si="114"/>
        <v>121092704</v>
      </c>
      <c r="CT769" s="53">
        <v>46428432</v>
      </c>
      <c r="CU769" s="53">
        <f t="shared" si="115"/>
        <v>74664272</v>
      </c>
      <c r="CV769" s="54">
        <f t="shared" si="118"/>
        <v>121092704</v>
      </c>
      <c r="CW769" s="55">
        <f t="shared" si="119"/>
        <v>0</v>
      </c>
      <c r="CX769" s="16"/>
      <c r="CY769" s="16"/>
      <c r="CZ769" s="16"/>
    </row>
    <row r="770" spans="1:108" ht="15" customHeight="1" x14ac:dyDescent="0.2">
      <c r="A770" s="1">
        <v>8000947161</v>
      </c>
      <c r="B770" s="1">
        <v>800094716</v>
      </c>
      <c r="C770" s="9">
        <v>219425594</v>
      </c>
      <c r="D770" s="10" t="s">
        <v>527</v>
      </c>
      <c r="E770" s="42" t="s">
        <v>1552</v>
      </c>
      <c r="F770" s="21"/>
      <c r="G770" s="50"/>
      <c r="H770" s="21"/>
      <c r="I770" s="50"/>
      <c r="J770" s="21"/>
      <c r="K770" s="21"/>
      <c r="L770" s="50"/>
      <c r="M770" s="51"/>
      <c r="N770" s="21"/>
      <c r="O770" s="50"/>
      <c r="P770" s="21"/>
      <c r="Q770" s="50"/>
      <c r="R770" s="21"/>
      <c r="S770" s="21"/>
      <c r="T770" s="50"/>
      <c r="U770" s="51">
        <f t="shared" si="113"/>
        <v>0</v>
      </c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>
        <v>121488105</v>
      </c>
      <c r="AN770" s="51">
        <f t="shared" si="123"/>
        <v>121488105</v>
      </c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>
        <v>44210615</v>
      </c>
      <c r="AZ770" s="51"/>
      <c r="BA770" s="51"/>
      <c r="BB770" s="51"/>
      <c r="BC770" s="52">
        <f t="shared" si="116"/>
        <v>165698720</v>
      </c>
      <c r="BD770" s="51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>
        <v>8842123</v>
      </c>
      <c r="BO770" s="51"/>
      <c r="BP770" s="52">
        <v>174540843</v>
      </c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>
        <v>8842123</v>
      </c>
      <c r="CD770" s="52"/>
      <c r="CE770" s="52"/>
      <c r="CF770" s="52"/>
      <c r="CG770" s="52">
        <f t="shared" si="117"/>
        <v>183382966</v>
      </c>
      <c r="CH770" s="52"/>
      <c r="CI770" s="52"/>
      <c r="CJ770" s="52"/>
      <c r="CK770" s="52"/>
      <c r="CL770" s="52"/>
      <c r="CM770" s="52"/>
      <c r="CN770" s="52"/>
      <c r="CO770" s="52"/>
      <c r="CP770" s="52"/>
      <c r="CQ770" s="52">
        <v>8842123</v>
      </c>
      <c r="CR770" s="52"/>
      <c r="CS770" s="52">
        <f t="shared" si="114"/>
        <v>192225089</v>
      </c>
      <c r="CT770" s="53">
        <v>70736984</v>
      </c>
      <c r="CU770" s="53">
        <f t="shared" si="115"/>
        <v>121488105</v>
      </c>
      <c r="CV770" s="54">
        <f t="shared" si="118"/>
        <v>192225089</v>
      </c>
      <c r="CW770" s="55">
        <f t="shared" si="119"/>
        <v>0</v>
      </c>
      <c r="CX770" s="16"/>
      <c r="CY770" s="16"/>
      <c r="CZ770" s="16"/>
    </row>
    <row r="771" spans="1:108" ht="15" customHeight="1" x14ac:dyDescent="0.2">
      <c r="A771" s="1">
        <v>8916800110</v>
      </c>
      <c r="B771" s="1">
        <v>891680011</v>
      </c>
      <c r="C771" s="9">
        <v>210127001</v>
      </c>
      <c r="D771" s="10" t="s">
        <v>2198</v>
      </c>
      <c r="E771" s="43" t="s">
        <v>1059</v>
      </c>
      <c r="F771" s="21"/>
      <c r="G771" s="50"/>
      <c r="H771" s="21"/>
      <c r="I771" s="50">
        <f>5531319458+80732259</f>
        <v>5612051717</v>
      </c>
      <c r="J771" s="21">
        <v>387466960</v>
      </c>
      <c r="K771" s="21">
        <v>771372899</v>
      </c>
      <c r="L771" s="50"/>
      <c r="M771" s="52">
        <f>SUM(F771:L771)</f>
        <v>6770891576</v>
      </c>
      <c r="N771" s="21"/>
      <c r="O771" s="50"/>
      <c r="P771" s="21"/>
      <c r="Q771" s="50">
        <f>5119020699+661254000+36696481</f>
        <v>5816971180</v>
      </c>
      <c r="R771" s="21">
        <v>387466960</v>
      </c>
      <c r="S771" s="21">
        <f>383905939+387466960</f>
        <v>771372899</v>
      </c>
      <c r="T771" s="50"/>
      <c r="U771" s="51">
        <f t="shared" ref="U771:U834" si="124">SUM(M771:T771)</f>
        <v>13746702615</v>
      </c>
      <c r="V771" s="51"/>
      <c r="W771" s="51"/>
      <c r="X771" s="51"/>
      <c r="Y771" s="51">
        <v>8815706288</v>
      </c>
      <c r="Z771" s="51">
        <v>399172544</v>
      </c>
      <c r="AA771" s="51">
        <v>906145530</v>
      </c>
      <c r="AB771" s="51"/>
      <c r="AC771" s="51">
        <f t="shared" si="120"/>
        <v>23867726977</v>
      </c>
      <c r="AD771" s="51"/>
      <c r="AE771" s="51"/>
      <c r="AF771" s="51"/>
      <c r="AG771" s="51"/>
      <c r="AH771" s="51">
        <v>5790771394</v>
      </c>
      <c r="AI771" s="51">
        <v>513151628</v>
      </c>
      <c r="AJ771" s="51">
        <v>400662263</v>
      </c>
      <c r="AK771" s="51">
        <v>1010955132</v>
      </c>
      <c r="AL771" s="51"/>
      <c r="AM771" s="51">
        <v>1521674598</v>
      </c>
      <c r="AN771" s="51">
        <f t="shared" si="123"/>
        <v>33104941992</v>
      </c>
      <c r="AO771" s="51"/>
      <c r="AP771" s="51"/>
      <c r="AQ771" s="51">
        <v>1934807865</v>
      </c>
      <c r="AR771" s="51"/>
      <c r="AS771" s="51"/>
      <c r="AT771" s="51">
        <v>5790771394</v>
      </c>
      <c r="AU771" s="51">
        <v>299990747</v>
      </c>
      <c r="AV771" s="51">
        <v>400662263</v>
      </c>
      <c r="AW771" s="51">
        <v>684641924</v>
      </c>
      <c r="AX771" s="51"/>
      <c r="AY771" s="51"/>
      <c r="AZ771" s="51"/>
      <c r="BA771" s="51">
        <f>VLOOKUP(B771,[1]Hoja3!J$3:K$674,2,0)</f>
        <v>658832398</v>
      </c>
      <c r="BB771" s="51"/>
      <c r="BC771" s="52">
        <f t="shared" si="116"/>
        <v>42874648583</v>
      </c>
      <c r="BD771" s="51"/>
      <c r="BE771" s="51"/>
      <c r="BF771" s="51">
        <v>386961573</v>
      </c>
      <c r="BG771" s="51"/>
      <c r="BH771" s="51"/>
      <c r="BI771" s="51">
        <v>5920235838</v>
      </c>
      <c r="BJ771" s="51">
        <v>411595415</v>
      </c>
      <c r="BK771" s="51">
        <v>373089292</v>
      </c>
      <c r="BL771" s="51">
        <v>953285380</v>
      </c>
      <c r="BM771" s="51"/>
      <c r="BN771" s="51"/>
      <c r="BO771" s="51"/>
      <c r="BP771" s="52">
        <v>50919816081</v>
      </c>
      <c r="BQ771" s="52"/>
      <c r="BR771" s="52"/>
      <c r="BS771" s="52">
        <v>386961573</v>
      </c>
      <c r="BT771" s="52"/>
      <c r="BU771" s="52"/>
      <c r="BV771" s="52"/>
      <c r="BW771" s="52">
        <v>5699215784</v>
      </c>
      <c r="BX771" s="52"/>
      <c r="BY771" s="52">
        <v>2598227997</v>
      </c>
      <c r="BZ771" s="52">
        <v>392733766</v>
      </c>
      <c r="CA771" s="52">
        <v>1046409095</v>
      </c>
      <c r="CB771" s="52"/>
      <c r="CC771" s="52"/>
      <c r="CD771" s="52"/>
      <c r="CE771" s="52"/>
      <c r="CF771" s="52"/>
      <c r="CG771" s="52">
        <f t="shared" si="117"/>
        <v>61043364296</v>
      </c>
      <c r="CH771" s="52"/>
      <c r="CI771" s="52"/>
      <c r="CJ771" s="52">
        <v>386961573</v>
      </c>
      <c r="CK771" s="52"/>
      <c r="CL771" s="52">
        <v>5756062832</v>
      </c>
      <c r="CM771" s="52">
        <v>50433397</v>
      </c>
      <c r="CN771" s="52">
        <v>401398185</v>
      </c>
      <c r="CO771" s="52">
        <v>726384835</v>
      </c>
      <c r="CP771" s="52"/>
      <c r="CQ771" s="52"/>
      <c r="CR771" s="52">
        <v>92690424</v>
      </c>
      <c r="CS771" s="52">
        <f t="shared" ref="CS771:CS834" si="125">SUM(CG771:CR771)</f>
        <v>68457295542</v>
      </c>
      <c r="CT771" s="53">
        <v>66184098122</v>
      </c>
      <c r="CU771" s="53">
        <f t="shared" ref="CU771:CU834" si="126">+AM771+BA771-BB771+BO771+CE771+CF771+CR771</f>
        <v>2273197420</v>
      </c>
      <c r="CV771" s="54">
        <f t="shared" si="118"/>
        <v>68457295542</v>
      </c>
      <c r="CW771" s="55">
        <f t="shared" si="119"/>
        <v>0</v>
      </c>
      <c r="CX771" s="16"/>
      <c r="CY771" s="16"/>
      <c r="CZ771" s="16"/>
    </row>
    <row r="772" spans="1:108" ht="15" customHeight="1" x14ac:dyDescent="0.2">
      <c r="A772" s="1">
        <v>8900006134</v>
      </c>
      <c r="B772" s="1">
        <v>890000613</v>
      </c>
      <c r="C772" s="9">
        <v>219463594</v>
      </c>
      <c r="D772" s="10" t="s">
        <v>798</v>
      </c>
      <c r="E772" s="42" t="s">
        <v>1815</v>
      </c>
      <c r="F772" s="21"/>
      <c r="G772" s="50"/>
      <c r="H772" s="21"/>
      <c r="I772" s="50"/>
      <c r="J772" s="21"/>
      <c r="K772" s="21"/>
      <c r="L772" s="50"/>
      <c r="M772" s="51"/>
      <c r="N772" s="21"/>
      <c r="O772" s="50"/>
      <c r="P772" s="21"/>
      <c r="Q772" s="50"/>
      <c r="R772" s="21"/>
      <c r="S772" s="21"/>
      <c r="T772" s="50"/>
      <c r="U772" s="51">
        <f t="shared" si="124"/>
        <v>0</v>
      </c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>
        <v>395320219</v>
      </c>
      <c r="AN772" s="51">
        <f t="shared" si="123"/>
        <v>395320219</v>
      </c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>
        <v>228619770</v>
      </c>
      <c r="AZ772" s="51"/>
      <c r="BA772" s="51"/>
      <c r="BB772" s="51"/>
      <c r="BC772" s="52">
        <f t="shared" ref="BC772:BC835" si="127">SUM(AN772:BA772)-BB772</f>
        <v>623939989</v>
      </c>
      <c r="BD772" s="51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>
        <v>45723954</v>
      </c>
      <c r="BO772" s="51"/>
      <c r="BP772" s="52">
        <v>669663943</v>
      </c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>
        <v>45723954</v>
      </c>
      <c r="CD772" s="52"/>
      <c r="CE772" s="52"/>
      <c r="CF772" s="52"/>
      <c r="CG772" s="52">
        <f t="shared" ref="CG772:CG835" si="128">SUM(BP772:CF772)</f>
        <v>715387897</v>
      </c>
      <c r="CH772" s="52"/>
      <c r="CI772" s="52"/>
      <c r="CJ772" s="52"/>
      <c r="CK772" s="52"/>
      <c r="CL772" s="52"/>
      <c r="CM772" s="52"/>
      <c r="CN772" s="52"/>
      <c r="CO772" s="52"/>
      <c r="CP772" s="52"/>
      <c r="CQ772" s="52">
        <v>45723954</v>
      </c>
      <c r="CR772" s="52"/>
      <c r="CS772" s="52">
        <f t="shared" si="125"/>
        <v>761111851</v>
      </c>
      <c r="CT772" s="53">
        <v>365791632</v>
      </c>
      <c r="CU772" s="53">
        <f t="shared" si="126"/>
        <v>395320219</v>
      </c>
      <c r="CV772" s="54">
        <f t="shared" ref="CV772:CV835" si="129">+CT772+CU772</f>
        <v>761111851</v>
      </c>
      <c r="CW772" s="55">
        <f t="shared" ref="CW772:CW835" si="130">+CS772-CV772</f>
        <v>0</v>
      </c>
      <c r="CX772" s="16"/>
      <c r="CY772" s="16"/>
      <c r="CZ772" s="16"/>
    </row>
    <row r="773" spans="1:108" ht="15" customHeight="1" x14ac:dyDescent="0.2">
      <c r="A773" s="1">
        <v>8914800327</v>
      </c>
      <c r="B773" s="1">
        <v>891480032</v>
      </c>
      <c r="C773" s="9">
        <v>219466594</v>
      </c>
      <c r="D773" s="10" t="s">
        <v>809</v>
      </c>
      <c r="E773" s="42" t="s">
        <v>1826</v>
      </c>
      <c r="F773" s="21"/>
      <c r="G773" s="50"/>
      <c r="H773" s="21"/>
      <c r="I773" s="50"/>
      <c r="J773" s="21"/>
      <c r="K773" s="21"/>
      <c r="L773" s="50"/>
      <c r="M773" s="51"/>
      <c r="N773" s="21"/>
      <c r="O773" s="50"/>
      <c r="P773" s="21"/>
      <c r="Q773" s="50"/>
      <c r="R773" s="21"/>
      <c r="S773" s="21"/>
      <c r="T773" s="50"/>
      <c r="U773" s="51">
        <f t="shared" si="124"/>
        <v>0</v>
      </c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>
        <v>444473124</v>
      </c>
      <c r="AN773" s="51">
        <f t="shared" si="123"/>
        <v>444473124</v>
      </c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>
        <v>202304625</v>
      </c>
      <c r="AZ773" s="51"/>
      <c r="BA773" s="51"/>
      <c r="BB773" s="51"/>
      <c r="BC773" s="52">
        <f t="shared" si="127"/>
        <v>646777749</v>
      </c>
      <c r="BD773" s="51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>
        <v>40460925</v>
      </c>
      <c r="BO773" s="51"/>
      <c r="BP773" s="52">
        <v>687238674</v>
      </c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>
        <v>40460925</v>
      </c>
      <c r="CD773" s="52"/>
      <c r="CE773" s="52"/>
      <c r="CF773" s="52"/>
      <c r="CG773" s="52">
        <f t="shared" si="128"/>
        <v>727699599</v>
      </c>
      <c r="CH773" s="52"/>
      <c r="CI773" s="52"/>
      <c r="CJ773" s="52"/>
      <c r="CK773" s="52"/>
      <c r="CL773" s="52"/>
      <c r="CM773" s="52"/>
      <c r="CN773" s="52"/>
      <c r="CO773" s="52"/>
      <c r="CP773" s="52"/>
      <c r="CQ773" s="52">
        <v>40460925</v>
      </c>
      <c r="CR773" s="52"/>
      <c r="CS773" s="52">
        <f t="shared" si="125"/>
        <v>768160524</v>
      </c>
      <c r="CT773" s="53">
        <v>323687400</v>
      </c>
      <c r="CU773" s="53">
        <f t="shared" si="126"/>
        <v>444473124</v>
      </c>
      <c r="CV773" s="54">
        <f t="shared" si="129"/>
        <v>768160524</v>
      </c>
      <c r="CW773" s="55">
        <f t="shared" si="130"/>
        <v>0</v>
      </c>
      <c r="CX773" s="16"/>
      <c r="CY773" s="16"/>
      <c r="CZ773" s="16"/>
    </row>
    <row r="774" spans="1:108" ht="15" customHeight="1" x14ac:dyDescent="0.2">
      <c r="A774" s="1">
        <v>8000295135</v>
      </c>
      <c r="B774" s="1">
        <v>800029513</v>
      </c>
      <c r="C774" s="9">
        <v>218015580</v>
      </c>
      <c r="D774" s="10" t="s">
        <v>289</v>
      </c>
      <c r="E774" s="42" t="s">
        <v>1321</v>
      </c>
      <c r="F774" s="21"/>
      <c r="G774" s="50"/>
      <c r="H774" s="21"/>
      <c r="I774" s="50"/>
      <c r="J774" s="21"/>
      <c r="K774" s="21"/>
      <c r="L774" s="50"/>
      <c r="M774" s="51"/>
      <c r="N774" s="21"/>
      <c r="O774" s="50"/>
      <c r="P774" s="21"/>
      <c r="Q774" s="50"/>
      <c r="R774" s="21"/>
      <c r="S774" s="21"/>
      <c r="T774" s="50"/>
      <c r="U774" s="51">
        <f t="shared" si="124"/>
        <v>0</v>
      </c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>
        <v>45941454</v>
      </c>
      <c r="AN774" s="51">
        <f t="shared" si="123"/>
        <v>45941454</v>
      </c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>
        <v>52363680</v>
      </c>
      <c r="AZ774" s="51"/>
      <c r="BA774" s="51">
        <f>VLOOKUP(B774,[1]Hoja3!J$3:K$674,2,0)</f>
        <v>36977590</v>
      </c>
      <c r="BB774" s="51"/>
      <c r="BC774" s="52">
        <f t="shared" si="127"/>
        <v>135282724</v>
      </c>
      <c r="BD774" s="51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>
        <v>10472736</v>
      </c>
      <c r="BO774" s="51"/>
      <c r="BP774" s="52">
        <v>145755460</v>
      </c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>
        <v>10472736</v>
      </c>
      <c r="CD774" s="52"/>
      <c r="CE774" s="52"/>
      <c r="CF774" s="52"/>
      <c r="CG774" s="52">
        <f t="shared" si="128"/>
        <v>156228196</v>
      </c>
      <c r="CH774" s="52"/>
      <c r="CI774" s="52"/>
      <c r="CJ774" s="52"/>
      <c r="CK774" s="52"/>
      <c r="CL774" s="52"/>
      <c r="CM774" s="52"/>
      <c r="CN774" s="52"/>
      <c r="CO774" s="52"/>
      <c r="CP774" s="52"/>
      <c r="CQ774" s="52">
        <v>10472736</v>
      </c>
      <c r="CR774" s="52"/>
      <c r="CS774" s="52">
        <f t="shared" si="125"/>
        <v>166700932</v>
      </c>
      <c r="CT774" s="53">
        <v>83781888</v>
      </c>
      <c r="CU774" s="53">
        <f t="shared" si="126"/>
        <v>82919044</v>
      </c>
      <c r="CV774" s="54">
        <f t="shared" si="129"/>
        <v>166700932</v>
      </c>
      <c r="CW774" s="55">
        <f t="shared" si="130"/>
        <v>0</v>
      </c>
      <c r="CX774" s="16"/>
      <c r="CY774" s="8"/>
      <c r="CZ774" s="8"/>
      <c r="DA774" s="8"/>
      <c r="DB774" s="8"/>
      <c r="DC774" s="8"/>
      <c r="DD774" s="8"/>
    </row>
    <row r="775" spans="1:108" ht="15" customHeight="1" x14ac:dyDescent="0.2">
      <c r="A775" s="1">
        <v>8999994310</v>
      </c>
      <c r="B775" s="1">
        <v>899999431</v>
      </c>
      <c r="C775" s="9">
        <v>219625596</v>
      </c>
      <c r="D775" s="10" t="s">
        <v>528</v>
      </c>
      <c r="E775" s="42" t="s">
        <v>1553</v>
      </c>
      <c r="F775" s="21"/>
      <c r="G775" s="50"/>
      <c r="H775" s="21"/>
      <c r="I775" s="50"/>
      <c r="J775" s="21"/>
      <c r="K775" s="21"/>
      <c r="L775" s="50"/>
      <c r="M775" s="51"/>
      <c r="N775" s="21"/>
      <c r="O775" s="50"/>
      <c r="P775" s="21"/>
      <c r="Q775" s="50"/>
      <c r="R775" s="21"/>
      <c r="S775" s="21"/>
      <c r="T775" s="50"/>
      <c r="U775" s="51">
        <f t="shared" si="124"/>
        <v>0</v>
      </c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>
        <v>107984536</v>
      </c>
      <c r="AN775" s="51">
        <f t="shared" si="123"/>
        <v>107984536</v>
      </c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>
        <v>62635840</v>
      </c>
      <c r="AZ775" s="51"/>
      <c r="BA775" s="51"/>
      <c r="BB775" s="51"/>
      <c r="BC775" s="52">
        <f t="shared" si="127"/>
        <v>170620376</v>
      </c>
      <c r="BD775" s="51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>
        <v>12527168</v>
      </c>
      <c r="BO775" s="51"/>
      <c r="BP775" s="52">
        <v>183147544</v>
      </c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>
        <v>12527168</v>
      </c>
      <c r="CD775" s="52"/>
      <c r="CE775" s="52"/>
      <c r="CF775" s="52"/>
      <c r="CG775" s="52">
        <f t="shared" si="128"/>
        <v>195674712</v>
      </c>
      <c r="CH775" s="52"/>
      <c r="CI775" s="52"/>
      <c r="CJ775" s="52"/>
      <c r="CK775" s="52"/>
      <c r="CL775" s="52"/>
      <c r="CM775" s="52"/>
      <c r="CN775" s="52"/>
      <c r="CO775" s="52"/>
      <c r="CP775" s="52"/>
      <c r="CQ775" s="52">
        <v>12527168</v>
      </c>
      <c r="CR775" s="52"/>
      <c r="CS775" s="52">
        <f t="shared" si="125"/>
        <v>208201880</v>
      </c>
      <c r="CT775" s="53">
        <v>100217344</v>
      </c>
      <c r="CU775" s="53">
        <f t="shared" si="126"/>
        <v>107984536</v>
      </c>
      <c r="CV775" s="54">
        <f t="shared" si="129"/>
        <v>208201880</v>
      </c>
      <c r="CW775" s="55">
        <f t="shared" si="130"/>
        <v>0</v>
      </c>
      <c r="CX775" s="16"/>
      <c r="CY775" s="16"/>
      <c r="CZ775" s="16"/>
    </row>
    <row r="776" spans="1:108" ht="15" customHeight="1" x14ac:dyDescent="0.2">
      <c r="A776" s="1">
        <v>8000992511</v>
      </c>
      <c r="B776" s="1">
        <v>800099251</v>
      </c>
      <c r="C776" s="9">
        <v>219954599</v>
      </c>
      <c r="D776" s="10" t="s">
        <v>778</v>
      </c>
      <c r="E776" s="42" t="s">
        <v>1795</v>
      </c>
      <c r="F776" s="21"/>
      <c r="G776" s="50"/>
      <c r="H776" s="21"/>
      <c r="I776" s="50"/>
      <c r="J776" s="21"/>
      <c r="K776" s="21"/>
      <c r="L776" s="50"/>
      <c r="M776" s="51"/>
      <c r="N776" s="21"/>
      <c r="O776" s="50"/>
      <c r="P776" s="21"/>
      <c r="Q776" s="50"/>
      <c r="R776" s="21"/>
      <c r="S776" s="21"/>
      <c r="T776" s="50"/>
      <c r="U776" s="51">
        <f t="shared" si="124"/>
        <v>0</v>
      </c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>
        <v>32826620</v>
      </c>
      <c r="AZ776" s="51"/>
      <c r="BA776" s="51">
        <f>VLOOKUP(B776,[1]Hoja3!J$3:K$674,2,0)</f>
        <v>67278153</v>
      </c>
      <c r="BB776" s="51"/>
      <c r="BC776" s="52">
        <f t="shared" si="127"/>
        <v>100104773</v>
      </c>
      <c r="BD776" s="51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>
        <v>6565324</v>
      </c>
      <c r="BO776" s="51"/>
      <c r="BP776" s="52">
        <v>106670097</v>
      </c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>
        <v>6565324</v>
      </c>
      <c r="CD776" s="52"/>
      <c r="CE776" s="52"/>
      <c r="CF776" s="52"/>
      <c r="CG776" s="52">
        <f t="shared" si="128"/>
        <v>113235421</v>
      </c>
      <c r="CH776" s="52"/>
      <c r="CI776" s="52"/>
      <c r="CJ776" s="52"/>
      <c r="CK776" s="52"/>
      <c r="CL776" s="52"/>
      <c r="CM776" s="52"/>
      <c r="CN776" s="52"/>
      <c r="CO776" s="52"/>
      <c r="CP776" s="52"/>
      <c r="CQ776" s="52">
        <v>6565324</v>
      </c>
      <c r="CR776" s="52"/>
      <c r="CS776" s="52">
        <f t="shared" si="125"/>
        <v>119800745</v>
      </c>
      <c r="CT776" s="53">
        <v>52522592</v>
      </c>
      <c r="CU776" s="53">
        <f t="shared" si="126"/>
        <v>67278153</v>
      </c>
      <c r="CV776" s="54">
        <f t="shared" si="129"/>
        <v>119800745</v>
      </c>
      <c r="CW776" s="55">
        <f t="shared" si="130"/>
        <v>0</v>
      </c>
      <c r="CX776" s="16"/>
      <c r="CY776" s="16"/>
      <c r="CZ776" s="16"/>
    </row>
    <row r="777" spans="1:108" ht="15" customHeight="1" x14ac:dyDescent="0.2">
      <c r="A777" s="1">
        <v>8918012806</v>
      </c>
      <c r="B777" s="1">
        <v>891801280</v>
      </c>
      <c r="C777" s="9">
        <v>219915599</v>
      </c>
      <c r="D777" s="10" t="s">
        <v>290</v>
      </c>
      <c r="E777" s="42" t="s">
        <v>1260</v>
      </c>
      <c r="F777" s="21"/>
      <c r="G777" s="50"/>
      <c r="H777" s="21"/>
      <c r="I777" s="50"/>
      <c r="J777" s="21"/>
      <c r="K777" s="21"/>
      <c r="L777" s="50"/>
      <c r="M777" s="51"/>
      <c r="N777" s="21"/>
      <c r="O777" s="50"/>
      <c r="P777" s="21"/>
      <c r="Q777" s="50"/>
      <c r="R777" s="21"/>
      <c r="S777" s="21"/>
      <c r="T777" s="50"/>
      <c r="U777" s="51">
        <f t="shared" si="124"/>
        <v>0</v>
      </c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>
        <v>75716940</v>
      </c>
      <c r="AZ777" s="51"/>
      <c r="BA777" s="51">
        <f>VLOOKUP(B777,[1]Hoja3!J$3:K$674,2,0)</f>
        <v>163825075</v>
      </c>
      <c r="BB777" s="51"/>
      <c r="BC777" s="52">
        <f t="shared" si="127"/>
        <v>239542015</v>
      </c>
      <c r="BD777" s="51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>
        <v>15143388</v>
      </c>
      <c r="BO777" s="51"/>
      <c r="BP777" s="52">
        <v>254685403</v>
      </c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>
        <v>15143388</v>
      </c>
      <c r="CD777" s="52"/>
      <c r="CE777" s="52"/>
      <c r="CF777" s="52"/>
      <c r="CG777" s="52">
        <f t="shared" si="128"/>
        <v>269828791</v>
      </c>
      <c r="CH777" s="52"/>
      <c r="CI777" s="52"/>
      <c r="CJ777" s="52"/>
      <c r="CK777" s="52"/>
      <c r="CL777" s="52"/>
      <c r="CM777" s="52"/>
      <c r="CN777" s="52"/>
      <c r="CO777" s="52"/>
      <c r="CP777" s="52"/>
      <c r="CQ777" s="52">
        <v>15143388</v>
      </c>
      <c r="CR777" s="52"/>
      <c r="CS777" s="52">
        <f t="shared" si="125"/>
        <v>284972179</v>
      </c>
      <c r="CT777" s="53">
        <v>121147104</v>
      </c>
      <c r="CU777" s="53">
        <f t="shared" si="126"/>
        <v>163825075</v>
      </c>
      <c r="CV777" s="54">
        <f t="shared" si="129"/>
        <v>284972179</v>
      </c>
      <c r="CW777" s="55">
        <f t="shared" si="130"/>
        <v>0</v>
      </c>
      <c r="CX777" s="16"/>
      <c r="CY777" s="8"/>
      <c r="CZ777" s="8"/>
      <c r="DA777" s="8"/>
      <c r="DB777" s="8"/>
      <c r="DC777" s="8"/>
      <c r="DD777" s="8"/>
    </row>
    <row r="778" spans="1:108" ht="15" customHeight="1" x14ac:dyDescent="0.2">
      <c r="A778" s="1">
        <v>8918012440</v>
      </c>
      <c r="B778" s="1">
        <v>891801244</v>
      </c>
      <c r="C778" s="9">
        <v>210015600</v>
      </c>
      <c r="D778" s="10" t="s">
        <v>291</v>
      </c>
      <c r="E778" s="42" t="s">
        <v>1322</v>
      </c>
      <c r="F778" s="21"/>
      <c r="G778" s="50"/>
      <c r="H778" s="21"/>
      <c r="I778" s="50"/>
      <c r="J778" s="21"/>
      <c r="K778" s="21"/>
      <c r="L778" s="50"/>
      <c r="M778" s="51"/>
      <c r="N778" s="21"/>
      <c r="O778" s="50"/>
      <c r="P778" s="21"/>
      <c r="Q778" s="50"/>
      <c r="R778" s="21"/>
      <c r="S778" s="21"/>
      <c r="T778" s="50"/>
      <c r="U778" s="51">
        <f t="shared" si="124"/>
        <v>0</v>
      </c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>
        <v>58546675</v>
      </c>
      <c r="AZ778" s="51"/>
      <c r="BA778" s="51">
        <f>VLOOKUP(B778,[1]Hoja3!J$3:K$674,2,0)</f>
        <v>95951690</v>
      </c>
      <c r="BB778" s="51"/>
      <c r="BC778" s="52">
        <f t="shared" si="127"/>
        <v>154498365</v>
      </c>
      <c r="BD778" s="51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>
        <v>11709335</v>
      </c>
      <c r="BO778" s="51"/>
      <c r="BP778" s="52">
        <v>166207700</v>
      </c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>
        <v>11709335</v>
      </c>
      <c r="CD778" s="52"/>
      <c r="CE778" s="52"/>
      <c r="CF778" s="52"/>
      <c r="CG778" s="52">
        <f t="shared" si="128"/>
        <v>177917035</v>
      </c>
      <c r="CH778" s="52"/>
      <c r="CI778" s="52"/>
      <c r="CJ778" s="52"/>
      <c r="CK778" s="52"/>
      <c r="CL778" s="52"/>
      <c r="CM778" s="52"/>
      <c r="CN778" s="52"/>
      <c r="CO778" s="52"/>
      <c r="CP778" s="52"/>
      <c r="CQ778" s="52">
        <v>11709335</v>
      </c>
      <c r="CR778" s="52"/>
      <c r="CS778" s="52">
        <f t="shared" si="125"/>
        <v>189626370</v>
      </c>
      <c r="CT778" s="53">
        <v>93674680</v>
      </c>
      <c r="CU778" s="53">
        <f t="shared" si="126"/>
        <v>95951690</v>
      </c>
      <c r="CV778" s="54">
        <f t="shared" si="129"/>
        <v>189626370</v>
      </c>
      <c r="CW778" s="55">
        <f t="shared" si="130"/>
        <v>0</v>
      </c>
      <c r="CX778" s="16"/>
      <c r="CY778" s="8"/>
      <c r="CZ778" s="8"/>
      <c r="DA778" s="8"/>
      <c r="DB778" s="8"/>
      <c r="DC778" s="8"/>
      <c r="DD778" s="8"/>
    </row>
    <row r="779" spans="1:108" ht="15" customHeight="1" x14ac:dyDescent="0.2">
      <c r="A779" s="1">
        <v>8001036613</v>
      </c>
      <c r="B779" s="1">
        <v>800103661</v>
      </c>
      <c r="C779" s="9">
        <v>217985279</v>
      </c>
      <c r="D779" s="10" t="s">
        <v>966</v>
      </c>
      <c r="E779" s="42" t="s">
        <v>2026</v>
      </c>
      <c r="F779" s="21"/>
      <c r="G779" s="50"/>
      <c r="H779" s="21"/>
      <c r="I779" s="50"/>
      <c r="J779" s="21"/>
      <c r="K779" s="21"/>
      <c r="L779" s="50"/>
      <c r="M779" s="51"/>
      <c r="N779" s="21"/>
      <c r="O779" s="50"/>
      <c r="P779" s="21"/>
      <c r="Q779" s="50"/>
      <c r="R779" s="21"/>
      <c r="S779" s="21"/>
      <c r="T779" s="50"/>
      <c r="U779" s="51">
        <f t="shared" si="124"/>
        <v>0</v>
      </c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>
        <v>15330475</v>
      </c>
      <c r="AN779" s="51">
        <f>SUBTOTAL(9,AC779:AM779)</f>
        <v>15330475</v>
      </c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>
        <v>11374715</v>
      </c>
      <c r="AZ779" s="51"/>
      <c r="BA779" s="51"/>
      <c r="BB779" s="51"/>
      <c r="BC779" s="52">
        <f t="shared" si="127"/>
        <v>26705190</v>
      </c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>
        <v>2274943</v>
      </c>
      <c r="BO779" s="51"/>
      <c r="BP779" s="52">
        <v>28980133</v>
      </c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>
        <v>2274943</v>
      </c>
      <c r="CD779" s="52"/>
      <c r="CE779" s="52"/>
      <c r="CF779" s="52"/>
      <c r="CG779" s="52">
        <f t="shared" si="128"/>
        <v>31255076</v>
      </c>
      <c r="CH779" s="52"/>
      <c r="CI779" s="52"/>
      <c r="CJ779" s="52"/>
      <c r="CK779" s="52"/>
      <c r="CL779" s="52"/>
      <c r="CM779" s="52"/>
      <c r="CN779" s="52"/>
      <c r="CO779" s="52"/>
      <c r="CP779" s="52"/>
      <c r="CQ779" s="52">
        <v>2274943</v>
      </c>
      <c r="CR779" s="52"/>
      <c r="CS779" s="52">
        <f t="shared" si="125"/>
        <v>33530019</v>
      </c>
      <c r="CT779" s="53">
        <v>18199544</v>
      </c>
      <c r="CU779" s="53">
        <f t="shared" si="126"/>
        <v>15330475</v>
      </c>
      <c r="CV779" s="54">
        <f t="shared" si="129"/>
        <v>33530019</v>
      </c>
      <c r="CW779" s="55">
        <f t="shared" si="130"/>
        <v>0</v>
      </c>
      <c r="CX779" s="16"/>
      <c r="CY779" s="16"/>
      <c r="CZ779" s="16"/>
    </row>
    <row r="780" spans="1:108" ht="15" customHeight="1" x14ac:dyDescent="0.2">
      <c r="A780" s="1">
        <v>8060012741</v>
      </c>
      <c r="B780" s="1">
        <v>806001274</v>
      </c>
      <c r="C780" s="9">
        <v>218013580</v>
      </c>
      <c r="D780" s="10" t="s">
        <v>201</v>
      </c>
      <c r="E780" s="42" t="s">
        <v>1232</v>
      </c>
      <c r="F780" s="21"/>
      <c r="G780" s="50"/>
      <c r="H780" s="21"/>
      <c r="I780" s="50"/>
      <c r="J780" s="21"/>
      <c r="K780" s="21"/>
      <c r="L780" s="50"/>
      <c r="M780" s="51"/>
      <c r="N780" s="21"/>
      <c r="O780" s="50"/>
      <c r="P780" s="21"/>
      <c r="Q780" s="50"/>
      <c r="R780" s="21"/>
      <c r="S780" s="21"/>
      <c r="T780" s="50"/>
      <c r="U780" s="51">
        <f t="shared" si="124"/>
        <v>0</v>
      </c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>
        <v>45518341</v>
      </c>
      <c r="AN780" s="51">
        <f>SUBTOTAL(9,AC780:AM780)</f>
        <v>45518341</v>
      </c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>
        <f>VLOOKUP(B780,[1]Hoja3!J$3:K$674,2,0)</f>
        <v>58239050</v>
      </c>
      <c r="BB780" s="51"/>
      <c r="BC780" s="52">
        <f t="shared" si="127"/>
        <v>103757391</v>
      </c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>
        <v>0</v>
      </c>
      <c r="BO780" s="51"/>
      <c r="BP780" s="52">
        <v>103757391</v>
      </c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>
        <v>0</v>
      </c>
      <c r="CD780" s="52"/>
      <c r="CE780" s="52"/>
      <c r="CF780" s="52"/>
      <c r="CG780" s="52">
        <f t="shared" si="128"/>
        <v>103757391</v>
      </c>
      <c r="CH780" s="52"/>
      <c r="CI780" s="52"/>
      <c r="CJ780" s="52"/>
      <c r="CK780" s="52"/>
      <c r="CL780" s="52"/>
      <c r="CM780" s="52"/>
      <c r="CN780" s="52"/>
      <c r="CO780" s="52"/>
      <c r="CP780" s="52"/>
      <c r="CQ780" s="52">
        <v>0</v>
      </c>
      <c r="CR780" s="52"/>
      <c r="CS780" s="52">
        <f t="shared" si="125"/>
        <v>103757391</v>
      </c>
      <c r="CT780" s="53"/>
      <c r="CU780" s="53">
        <f t="shared" si="126"/>
        <v>103757391</v>
      </c>
      <c r="CV780" s="54">
        <f t="shared" si="129"/>
        <v>103757391</v>
      </c>
      <c r="CW780" s="55">
        <f t="shared" si="130"/>
        <v>0</v>
      </c>
      <c r="CX780" s="16"/>
      <c r="CY780" s="8"/>
      <c r="CZ780" s="8"/>
      <c r="DA780" s="8"/>
      <c r="DB780" s="8"/>
      <c r="DC780" s="8"/>
      <c r="DD780" s="8"/>
    </row>
    <row r="781" spans="1:108" ht="15" customHeight="1" x14ac:dyDescent="0.2">
      <c r="A781" s="1">
        <v>8909843124</v>
      </c>
      <c r="B781" s="1">
        <v>890984312</v>
      </c>
      <c r="C781" s="9">
        <v>210405604</v>
      </c>
      <c r="D781" s="10" t="s">
        <v>121</v>
      </c>
      <c r="E781" s="42" t="s">
        <v>1122</v>
      </c>
      <c r="F781" s="21"/>
      <c r="G781" s="50"/>
      <c r="H781" s="21"/>
      <c r="I781" s="50"/>
      <c r="J781" s="21"/>
      <c r="K781" s="21"/>
      <c r="L781" s="50"/>
      <c r="M781" s="51"/>
      <c r="N781" s="21"/>
      <c r="O781" s="50"/>
      <c r="P781" s="21"/>
      <c r="Q781" s="50"/>
      <c r="R781" s="21"/>
      <c r="S781" s="21"/>
      <c r="T781" s="50"/>
      <c r="U781" s="51">
        <f t="shared" si="124"/>
        <v>0</v>
      </c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>
        <v>256881985</v>
      </c>
      <c r="AZ781" s="51"/>
      <c r="BA781" s="51">
        <f>VLOOKUP(B781,[1]Hoja3!J$3:K$674,2,0)</f>
        <v>481763802</v>
      </c>
      <c r="BB781" s="51"/>
      <c r="BC781" s="52">
        <f t="shared" si="127"/>
        <v>738645787</v>
      </c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>
        <v>51376397</v>
      </c>
      <c r="BO781" s="51"/>
      <c r="BP781" s="52">
        <v>790022184</v>
      </c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>
        <v>51376397</v>
      </c>
      <c r="CD781" s="52"/>
      <c r="CE781" s="52"/>
      <c r="CF781" s="52"/>
      <c r="CG781" s="52">
        <f t="shared" si="128"/>
        <v>841398581</v>
      </c>
      <c r="CH781" s="52"/>
      <c r="CI781" s="52"/>
      <c r="CJ781" s="52"/>
      <c r="CK781" s="52"/>
      <c r="CL781" s="52"/>
      <c r="CM781" s="52"/>
      <c r="CN781" s="52"/>
      <c r="CO781" s="52"/>
      <c r="CP781" s="52"/>
      <c r="CQ781" s="52">
        <v>51376397</v>
      </c>
      <c r="CR781" s="52"/>
      <c r="CS781" s="52">
        <f t="shared" si="125"/>
        <v>892774978</v>
      </c>
      <c r="CT781" s="53">
        <v>411011176</v>
      </c>
      <c r="CU781" s="53">
        <f t="shared" si="126"/>
        <v>481763802</v>
      </c>
      <c r="CV781" s="54">
        <f t="shared" si="129"/>
        <v>892774978</v>
      </c>
      <c r="CW781" s="55">
        <f t="shared" si="130"/>
        <v>0</v>
      </c>
      <c r="CX781" s="16"/>
      <c r="CY781" s="16"/>
      <c r="CZ781" s="16"/>
    </row>
    <row r="782" spans="1:108" ht="15" customHeight="1" x14ac:dyDescent="0.2">
      <c r="A782" s="1">
        <v>8917800521</v>
      </c>
      <c r="B782" s="1">
        <v>891780052</v>
      </c>
      <c r="C782" s="9">
        <v>210547605</v>
      </c>
      <c r="D782" s="10" t="s">
        <v>655</v>
      </c>
      <c r="E782" s="42" t="s">
        <v>1675</v>
      </c>
      <c r="F782" s="21"/>
      <c r="G782" s="50"/>
      <c r="H782" s="21"/>
      <c r="I782" s="50"/>
      <c r="J782" s="21"/>
      <c r="K782" s="21"/>
      <c r="L782" s="50"/>
      <c r="M782" s="51"/>
      <c r="N782" s="21"/>
      <c r="O782" s="50"/>
      <c r="P782" s="21"/>
      <c r="Q782" s="50"/>
      <c r="R782" s="21"/>
      <c r="S782" s="21"/>
      <c r="T782" s="50"/>
      <c r="U782" s="51">
        <f t="shared" si="124"/>
        <v>0</v>
      </c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>
        <v>48596171</v>
      </c>
      <c r="AN782" s="51">
        <f>SUBTOTAL(9,AC782:AM782)</f>
        <v>48596171</v>
      </c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>
        <v>85922310</v>
      </c>
      <c r="AZ782" s="51"/>
      <c r="BA782" s="51">
        <f>VLOOKUP(B782,[1]Hoja3!J$3:K$674,2,0)</f>
        <v>95268443</v>
      </c>
      <c r="BB782" s="51"/>
      <c r="BC782" s="52">
        <f t="shared" si="127"/>
        <v>229786924</v>
      </c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>
        <v>17184462</v>
      </c>
      <c r="BO782" s="51"/>
      <c r="BP782" s="52">
        <v>246971386</v>
      </c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>
        <v>17184462</v>
      </c>
      <c r="CD782" s="52"/>
      <c r="CE782" s="52"/>
      <c r="CF782" s="52"/>
      <c r="CG782" s="52">
        <f t="shared" si="128"/>
        <v>264155848</v>
      </c>
      <c r="CH782" s="52"/>
      <c r="CI782" s="52"/>
      <c r="CJ782" s="52"/>
      <c r="CK782" s="52"/>
      <c r="CL782" s="52"/>
      <c r="CM782" s="52"/>
      <c r="CN782" s="52"/>
      <c r="CO782" s="52"/>
      <c r="CP782" s="52"/>
      <c r="CQ782" s="52">
        <v>17184462</v>
      </c>
      <c r="CR782" s="52"/>
      <c r="CS782" s="52">
        <f t="shared" si="125"/>
        <v>281340310</v>
      </c>
      <c r="CT782" s="53">
        <v>137475696</v>
      </c>
      <c r="CU782" s="53">
        <f t="shared" si="126"/>
        <v>143864614</v>
      </c>
      <c r="CV782" s="54">
        <f t="shared" si="129"/>
        <v>281340310</v>
      </c>
      <c r="CW782" s="55">
        <f t="shared" si="130"/>
        <v>0</v>
      </c>
      <c r="CX782" s="16"/>
      <c r="CY782" s="16"/>
      <c r="CZ782" s="16"/>
    </row>
    <row r="783" spans="1:108" ht="15" customHeight="1" x14ac:dyDescent="0.2">
      <c r="A783" s="1">
        <v>8901039622</v>
      </c>
      <c r="B783" s="1">
        <v>890103962</v>
      </c>
      <c r="C783" s="9">
        <v>210608606</v>
      </c>
      <c r="D783" s="10" t="s">
        <v>173</v>
      </c>
      <c r="E783" s="42" t="s">
        <v>1202</v>
      </c>
      <c r="F783" s="21"/>
      <c r="G783" s="50"/>
      <c r="H783" s="21"/>
      <c r="I783" s="50"/>
      <c r="J783" s="21"/>
      <c r="K783" s="21"/>
      <c r="L783" s="50"/>
      <c r="M783" s="51"/>
      <c r="N783" s="21"/>
      <c r="O783" s="50"/>
      <c r="P783" s="21"/>
      <c r="Q783" s="50"/>
      <c r="R783" s="21"/>
      <c r="S783" s="21"/>
      <c r="T783" s="50"/>
      <c r="U783" s="51">
        <f t="shared" si="124"/>
        <v>0</v>
      </c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>
        <v>245626265</v>
      </c>
      <c r="AZ783" s="51"/>
      <c r="BA783" s="51">
        <f>VLOOKUP(B783,[1]Hoja3!J$3:K$674,2,0)</f>
        <v>446374962</v>
      </c>
      <c r="BB783" s="51"/>
      <c r="BC783" s="52">
        <f t="shared" si="127"/>
        <v>692001227</v>
      </c>
      <c r="BD783" s="51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>
        <v>49125253</v>
      </c>
      <c r="BO783" s="51"/>
      <c r="BP783" s="52">
        <v>741126480</v>
      </c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>
        <v>49125253</v>
      </c>
      <c r="CD783" s="52"/>
      <c r="CE783" s="52"/>
      <c r="CF783" s="52"/>
      <c r="CG783" s="52">
        <f t="shared" si="128"/>
        <v>790251733</v>
      </c>
      <c r="CH783" s="52"/>
      <c r="CI783" s="52"/>
      <c r="CJ783" s="52"/>
      <c r="CK783" s="52"/>
      <c r="CL783" s="52"/>
      <c r="CM783" s="52"/>
      <c r="CN783" s="52"/>
      <c r="CO783" s="52"/>
      <c r="CP783" s="52"/>
      <c r="CQ783" s="52">
        <v>49125253</v>
      </c>
      <c r="CR783" s="52"/>
      <c r="CS783" s="52">
        <f t="shared" si="125"/>
        <v>839376986</v>
      </c>
      <c r="CT783" s="53">
        <v>393002024</v>
      </c>
      <c r="CU783" s="53">
        <f t="shared" si="126"/>
        <v>446374962</v>
      </c>
      <c r="CV783" s="54">
        <f t="shared" si="129"/>
        <v>839376986</v>
      </c>
      <c r="CW783" s="55">
        <f t="shared" si="130"/>
        <v>0</v>
      </c>
      <c r="CX783" s="16"/>
      <c r="CY783" s="16"/>
      <c r="CZ783" s="16"/>
    </row>
    <row r="784" spans="1:108" ht="15" customHeight="1" x14ac:dyDescent="0.2">
      <c r="A784" s="1">
        <v>8000981991</v>
      </c>
      <c r="B784" s="1">
        <v>800098199</v>
      </c>
      <c r="C784" s="9">
        <v>210650606</v>
      </c>
      <c r="D784" s="10" t="s">
        <v>687</v>
      </c>
      <c r="E784" s="42" t="s">
        <v>1708</v>
      </c>
      <c r="F784" s="21"/>
      <c r="G784" s="50"/>
      <c r="H784" s="21"/>
      <c r="I784" s="50"/>
      <c r="J784" s="21"/>
      <c r="K784" s="21"/>
      <c r="L784" s="50"/>
      <c r="M784" s="51"/>
      <c r="N784" s="21"/>
      <c r="O784" s="50"/>
      <c r="P784" s="21"/>
      <c r="Q784" s="50"/>
      <c r="R784" s="21"/>
      <c r="S784" s="21"/>
      <c r="T784" s="50"/>
      <c r="U784" s="51">
        <f t="shared" si="124"/>
        <v>0</v>
      </c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>
        <v>280787778</v>
      </c>
      <c r="AN784" s="51">
        <f>SUBTOTAL(9,AC784:AM784)</f>
        <v>280787778</v>
      </c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>
        <v>82502865</v>
      </c>
      <c r="AZ784" s="51"/>
      <c r="BA784" s="51"/>
      <c r="BB784" s="51"/>
      <c r="BC784" s="52">
        <f t="shared" si="127"/>
        <v>363290643</v>
      </c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>
        <v>16500573</v>
      </c>
      <c r="BO784" s="51"/>
      <c r="BP784" s="52">
        <v>379791216</v>
      </c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>
        <v>16500573</v>
      </c>
      <c r="CD784" s="52"/>
      <c r="CE784" s="52"/>
      <c r="CF784" s="52"/>
      <c r="CG784" s="52">
        <f t="shared" si="128"/>
        <v>396291789</v>
      </c>
      <c r="CH784" s="52"/>
      <c r="CI784" s="52"/>
      <c r="CJ784" s="52"/>
      <c r="CK784" s="52"/>
      <c r="CL784" s="52"/>
      <c r="CM784" s="52"/>
      <c r="CN784" s="52"/>
      <c r="CO784" s="52"/>
      <c r="CP784" s="52"/>
      <c r="CQ784" s="52">
        <v>16500573</v>
      </c>
      <c r="CR784" s="52"/>
      <c r="CS784" s="52">
        <f t="shared" si="125"/>
        <v>412792362</v>
      </c>
      <c r="CT784" s="53">
        <v>132004584</v>
      </c>
      <c r="CU784" s="53">
        <f t="shared" si="126"/>
        <v>280787778</v>
      </c>
      <c r="CV784" s="54">
        <f t="shared" si="129"/>
        <v>412792362</v>
      </c>
      <c r="CW784" s="55">
        <f t="shared" si="130"/>
        <v>0</v>
      </c>
      <c r="CX784" s="16"/>
      <c r="CY784" s="16"/>
      <c r="CZ784" s="16"/>
    </row>
    <row r="785" spans="1:108" ht="15" customHeight="1" x14ac:dyDescent="0.2">
      <c r="A785" s="1">
        <v>8919021912</v>
      </c>
      <c r="B785" s="1">
        <v>891902191</v>
      </c>
      <c r="C785" s="9">
        <v>210676606</v>
      </c>
      <c r="D785" s="10" t="s">
        <v>935</v>
      </c>
      <c r="E785" s="42" t="s">
        <v>1995</v>
      </c>
      <c r="F785" s="21"/>
      <c r="G785" s="50"/>
      <c r="H785" s="21"/>
      <c r="I785" s="50"/>
      <c r="J785" s="21"/>
      <c r="K785" s="21"/>
      <c r="L785" s="50"/>
      <c r="M785" s="51"/>
      <c r="N785" s="21"/>
      <c r="O785" s="50"/>
      <c r="P785" s="21"/>
      <c r="Q785" s="50"/>
      <c r="R785" s="21"/>
      <c r="S785" s="21"/>
      <c r="T785" s="50"/>
      <c r="U785" s="51">
        <f t="shared" si="124"/>
        <v>0</v>
      </c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>
        <v>247218068</v>
      </c>
      <c r="AN785" s="51">
        <f>SUBTOTAL(9,AC785:AM785)</f>
        <v>247218068</v>
      </c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2">
        <f t="shared" si="127"/>
        <v>247218068</v>
      </c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>
        <v>0</v>
      </c>
      <c r="BO785" s="51"/>
      <c r="BP785" s="52">
        <v>247218068</v>
      </c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>
        <v>0</v>
      </c>
      <c r="CD785" s="52"/>
      <c r="CE785" s="52"/>
      <c r="CF785" s="52"/>
      <c r="CG785" s="52">
        <f t="shared" si="128"/>
        <v>247218068</v>
      </c>
      <c r="CH785" s="52"/>
      <c r="CI785" s="52"/>
      <c r="CJ785" s="52"/>
      <c r="CK785" s="52"/>
      <c r="CL785" s="52"/>
      <c r="CM785" s="52"/>
      <c r="CN785" s="52"/>
      <c r="CO785" s="52"/>
      <c r="CP785" s="52"/>
      <c r="CQ785" s="52">
        <v>179885112</v>
      </c>
      <c r="CR785" s="52"/>
      <c r="CS785" s="52">
        <f t="shared" si="125"/>
        <v>427103180</v>
      </c>
      <c r="CT785" s="53">
        <v>179885112</v>
      </c>
      <c r="CU785" s="53">
        <f t="shared" si="126"/>
        <v>247218068</v>
      </c>
      <c r="CV785" s="54">
        <f t="shared" si="129"/>
        <v>427103180</v>
      </c>
      <c r="CW785" s="55">
        <f t="shared" si="130"/>
        <v>0</v>
      </c>
      <c r="CX785" s="16"/>
      <c r="CY785" s="8"/>
      <c r="CZ785" s="8"/>
      <c r="DA785" s="8"/>
      <c r="DB785" s="8"/>
      <c r="DC785" s="8"/>
      <c r="DD785" s="8"/>
    </row>
    <row r="786" spans="1:108" ht="15" customHeight="1" x14ac:dyDescent="0.2">
      <c r="A786" s="1">
        <v>8909836740</v>
      </c>
      <c r="B786" s="1">
        <v>890983674</v>
      </c>
      <c r="C786" s="9">
        <v>210705607</v>
      </c>
      <c r="D786" s="10" t="s">
        <v>122</v>
      </c>
      <c r="E786" s="42" t="s">
        <v>1151</v>
      </c>
      <c r="F786" s="21"/>
      <c r="G786" s="50"/>
      <c r="H786" s="21"/>
      <c r="I786" s="50"/>
      <c r="J786" s="21"/>
      <c r="K786" s="21"/>
      <c r="L786" s="50"/>
      <c r="M786" s="51"/>
      <c r="N786" s="21"/>
      <c r="O786" s="50"/>
      <c r="P786" s="21"/>
      <c r="Q786" s="50"/>
      <c r="R786" s="21"/>
      <c r="S786" s="21"/>
      <c r="T786" s="50"/>
      <c r="U786" s="51">
        <f t="shared" si="124"/>
        <v>0</v>
      </c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>
        <v>208885551</v>
      </c>
      <c r="AN786" s="51">
        <f>SUBTOTAL(9,AC786:AM786)</f>
        <v>208885551</v>
      </c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>
        <v>78083215</v>
      </c>
      <c r="AZ786" s="51"/>
      <c r="BA786" s="51"/>
      <c r="BB786" s="51"/>
      <c r="BC786" s="52">
        <f t="shared" si="127"/>
        <v>286968766</v>
      </c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>
        <v>15616643</v>
      </c>
      <c r="BO786" s="51"/>
      <c r="BP786" s="52">
        <v>302585409</v>
      </c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>
        <v>15616643</v>
      </c>
      <c r="CD786" s="52"/>
      <c r="CE786" s="52"/>
      <c r="CF786" s="52"/>
      <c r="CG786" s="52">
        <f t="shared" si="128"/>
        <v>318202052</v>
      </c>
      <c r="CH786" s="52"/>
      <c r="CI786" s="52"/>
      <c r="CJ786" s="52"/>
      <c r="CK786" s="52"/>
      <c r="CL786" s="52"/>
      <c r="CM786" s="52"/>
      <c r="CN786" s="52"/>
      <c r="CO786" s="52"/>
      <c r="CP786" s="52"/>
      <c r="CQ786" s="52">
        <v>15616643</v>
      </c>
      <c r="CR786" s="52"/>
      <c r="CS786" s="52">
        <f t="shared" si="125"/>
        <v>333818695</v>
      </c>
      <c r="CT786" s="53">
        <v>124933144</v>
      </c>
      <c r="CU786" s="53">
        <f t="shared" si="126"/>
        <v>208885551</v>
      </c>
      <c r="CV786" s="54">
        <f t="shared" si="129"/>
        <v>333818695</v>
      </c>
      <c r="CW786" s="55">
        <f t="shared" si="130"/>
        <v>0</v>
      </c>
      <c r="CX786" s="16"/>
      <c r="CY786" s="16"/>
      <c r="CZ786" s="16"/>
    </row>
    <row r="787" spans="1:108" ht="15" customHeight="1" x14ac:dyDescent="0.2">
      <c r="A787" s="1">
        <v>8906800591</v>
      </c>
      <c r="B787" s="1">
        <v>890680059</v>
      </c>
      <c r="C787" s="9">
        <v>211225612</v>
      </c>
      <c r="D787" s="10" t="s">
        <v>530</v>
      </c>
      <c r="E787" s="42" t="s">
        <v>1555</v>
      </c>
      <c r="F787" s="21"/>
      <c r="G787" s="50"/>
      <c r="H787" s="21"/>
      <c r="I787" s="50"/>
      <c r="J787" s="21"/>
      <c r="K787" s="21"/>
      <c r="L787" s="50"/>
      <c r="M787" s="51"/>
      <c r="N787" s="21"/>
      <c r="O787" s="50"/>
      <c r="P787" s="21"/>
      <c r="Q787" s="50"/>
      <c r="R787" s="21"/>
      <c r="S787" s="21"/>
      <c r="T787" s="50"/>
      <c r="U787" s="51">
        <f t="shared" si="124"/>
        <v>0</v>
      </c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>
        <v>110322884</v>
      </c>
      <c r="AN787" s="51">
        <f>SUBTOTAL(9,AC787:AM787)</f>
        <v>110322884</v>
      </c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>
        <v>50345485</v>
      </c>
      <c r="AZ787" s="51"/>
      <c r="BA787" s="51"/>
      <c r="BB787" s="51"/>
      <c r="BC787" s="52">
        <f t="shared" si="127"/>
        <v>160668369</v>
      </c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>
        <v>10069097</v>
      </c>
      <c r="BO787" s="51"/>
      <c r="BP787" s="52">
        <v>170737466</v>
      </c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>
        <v>10069097</v>
      </c>
      <c r="CD787" s="52"/>
      <c r="CE787" s="52"/>
      <c r="CF787" s="52"/>
      <c r="CG787" s="52">
        <f t="shared" si="128"/>
        <v>180806563</v>
      </c>
      <c r="CH787" s="52"/>
      <c r="CI787" s="52"/>
      <c r="CJ787" s="52"/>
      <c r="CK787" s="52"/>
      <c r="CL787" s="52"/>
      <c r="CM787" s="52"/>
      <c r="CN787" s="52"/>
      <c r="CO787" s="52"/>
      <c r="CP787" s="52"/>
      <c r="CQ787" s="52">
        <v>10069097</v>
      </c>
      <c r="CR787" s="52"/>
      <c r="CS787" s="52">
        <f t="shared" si="125"/>
        <v>190875660</v>
      </c>
      <c r="CT787" s="53">
        <v>80552776</v>
      </c>
      <c r="CU787" s="53">
        <f t="shared" si="126"/>
        <v>110322884</v>
      </c>
      <c r="CV787" s="54">
        <f t="shared" si="129"/>
        <v>190875660</v>
      </c>
      <c r="CW787" s="55">
        <f t="shared" si="130"/>
        <v>0</v>
      </c>
      <c r="CX787" s="16"/>
      <c r="CY787" s="16"/>
      <c r="CZ787" s="16"/>
    </row>
    <row r="788" spans="1:108" ht="15" customHeight="1" x14ac:dyDescent="0.2">
      <c r="A788" s="1">
        <v>8000991274</v>
      </c>
      <c r="B788" s="1">
        <v>800099127</v>
      </c>
      <c r="C788" s="9">
        <v>211252612</v>
      </c>
      <c r="D788" s="10" t="s">
        <v>736</v>
      </c>
      <c r="E788" s="42" t="s">
        <v>1758</v>
      </c>
      <c r="F788" s="21"/>
      <c r="G788" s="50"/>
      <c r="H788" s="21"/>
      <c r="I788" s="50"/>
      <c r="J788" s="21"/>
      <c r="K788" s="21"/>
      <c r="L788" s="50"/>
      <c r="M788" s="51"/>
      <c r="N788" s="21"/>
      <c r="O788" s="50"/>
      <c r="P788" s="21"/>
      <c r="Q788" s="50"/>
      <c r="R788" s="21"/>
      <c r="S788" s="21"/>
      <c r="T788" s="50"/>
      <c r="U788" s="51">
        <f t="shared" si="124"/>
        <v>0</v>
      </c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>
        <f>VLOOKUP(B788,[1]Hoja3!J$3:K$674,2,0)</f>
        <v>203200189</v>
      </c>
      <c r="BB788" s="51"/>
      <c r="BC788" s="52">
        <f t="shared" si="127"/>
        <v>203200189</v>
      </c>
      <c r="BD788" s="51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>
        <v>46500955</v>
      </c>
      <c r="BO788" s="51"/>
      <c r="BP788" s="52">
        <v>249701144</v>
      </c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>
        <v>46500955</v>
      </c>
      <c r="CD788" s="52">
        <v>232504775</v>
      </c>
      <c r="CE788" s="52"/>
      <c r="CF788" s="52"/>
      <c r="CG788" s="52">
        <f t="shared" si="128"/>
        <v>528706874</v>
      </c>
      <c r="CH788" s="52"/>
      <c r="CI788" s="52"/>
      <c r="CJ788" s="52"/>
      <c r="CK788" s="52"/>
      <c r="CL788" s="52"/>
      <c r="CM788" s="52"/>
      <c r="CN788" s="52"/>
      <c r="CO788" s="52"/>
      <c r="CP788" s="52"/>
      <c r="CQ788" s="52">
        <v>46500955</v>
      </c>
      <c r="CR788" s="52"/>
      <c r="CS788" s="52">
        <f t="shared" si="125"/>
        <v>575207829</v>
      </c>
      <c r="CT788" s="53">
        <v>372007640</v>
      </c>
      <c r="CU788" s="53">
        <f t="shared" si="126"/>
        <v>203200189</v>
      </c>
      <c r="CV788" s="54">
        <f t="shared" si="129"/>
        <v>575207829</v>
      </c>
      <c r="CW788" s="55">
        <f t="shared" si="130"/>
        <v>0</v>
      </c>
      <c r="CX788" s="16"/>
      <c r="CY788" s="16"/>
      <c r="CZ788" s="16"/>
    </row>
    <row r="789" spans="1:108" ht="15" customHeight="1" x14ac:dyDescent="0.2">
      <c r="A789" s="1">
        <v>8923001231</v>
      </c>
      <c r="B789" s="1">
        <v>892300123</v>
      </c>
      <c r="C789" s="9">
        <v>211420614</v>
      </c>
      <c r="D789" s="10" t="s">
        <v>431</v>
      </c>
      <c r="E789" s="42" t="s">
        <v>1458</v>
      </c>
      <c r="F789" s="21"/>
      <c r="G789" s="50"/>
      <c r="H789" s="21"/>
      <c r="I789" s="50"/>
      <c r="J789" s="21"/>
      <c r="K789" s="21"/>
      <c r="L789" s="50"/>
      <c r="M789" s="51"/>
      <c r="N789" s="21"/>
      <c r="O789" s="50"/>
      <c r="P789" s="21"/>
      <c r="Q789" s="50"/>
      <c r="R789" s="21"/>
      <c r="S789" s="21"/>
      <c r="T789" s="50"/>
      <c r="U789" s="51">
        <f t="shared" si="124"/>
        <v>0</v>
      </c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>
        <v>139592085</v>
      </c>
      <c r="AZ789" s="51"/>
      <c r="BA789" s="51">
        <f>VLOOKUP(B789,[1]Hoja3!J$3:K$674,2,0)</f>
        <v>273132442</v>
      </c>
      <c r="BB789" s="51"/>
      <c r="BC789" s="52">
        <f t="shared" si="127"/>
        <v>412724527</v>
      </c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>
        <v>27918417</v>
      </c>
      <c r="BO789" s="51"/>
      <c r="BP789" s="52">
        <v>440642944</v>
      </c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>
        <v>27918417</v>
      </c>
      <c r="CD789" s="52"/>
      <c r="CE789" s="52"/>
      <c r="CF789" s="52"/>
      <c r="CG789" s="52">
        <f t="shared" si="128"/>
        <v>468561361</v>
      </c>
      <c r="CH789" s="52"/>
      <c r="CI789" s="52"/>
      <c r="CJ789" s="52"/>
      <c r="CK789" s="52"/>
      <c r="CL789" s="52"/>
      <c r="CM789" s="52"/>
      <c r="CN789" s="52"/>
      <c r="CO789" s="52"/>
      <c r="CP789" s="52"/>
      <c r="CQ789" s="52">
        <v>27918417</v>
      </c>
      <c r="CR789" s="52"/>
      <c r="CS789" s="52">
        <f t="shared" si="125"/>
        <v>496479778</v>
      </c>
      <c r="CT789" s="53">
        <v>223347336</v>
      </c>
      <c r="CU789" s="53">
        <f t="shared" si="126"/>
        <v>273132442</v>
      </c>
      <c r="CV789" s="54">
        <f t="shared" si="129"/>
        <v>496479778</v>
      </c>
      <c r="CW789" s="55">
        <f t="shared" si="130"/>
        <v>0</v>
      </c>
      <c r="CX789" s="16"/>
      <c r="CY789" s="16"/>
      <c r="CZ789" s="16"/>
    </row>
    <row r="790" spans="1:108" ht="15" customHeight="1" x14ac:dyDescent="0.2">
      <c r="A790" s="1">
        <v>8180012030</v>
      </c>
      <c r="B790" s="1">
        <v>818001203</v>
      </c>
      <c r="C790" s="9">
        <v>218027580</v>
      </c>
      <c r="D790" s="10" t="s">
        <v>587</v>
      </c>
      <c r="E790" s="42" t="s">
        <v>1608</v>
      </c>
      <c r="F790" s="21"/>
      <c r="G790" s="50"/>
      <c r="H790" s="21"/>
      <c r="I790" s="50"/>
      <c r="J790" s="21"/>
      <c r="K790" s="21"/>
      <c r="L790" s="50"/>
      <c r="M790" s="51"/>
      <c r="N790" s="21"/>
      <c r="O790" s="50"/>
      <c r="P790" s="21"/>
      <c r="Q790" s="50"/>
      <c r="R790" s="21"/>
      <c r="S790" s="21"/>
      <c r="T790" s="50"/>
      <c r="U790" s="51">
        <f t="shared" si="124"/>
        <v>0</v>
      </c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>
        <v>112174902</v>
      </c>
      <c r="AN790" s="51">
        <f>SUBTOTAL(9,AC790:AM790)</f>
        <v>112174902</v>
      </c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>
        <v>98323835</v>
      </c>
      <c r="AZ790" s="51"/>
      <c r="BA790" s="51"/>
      <c r="BB790" s="51"/>
      <c r="BC790" s="52">
        <f t="shared" si="127"/>
        <v>210498737</v>
      </c>
      <c r="BD790" s="51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>
        <v>19664767</v>
      </c>
      <c r="BO790" s="51"/>
      <c r="BP790" s="52">
        <v>230163504</v>
      </c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>
        <v>19664767</v>
      </c>
      <c r="CD790" s="52"/>
      <c r="CE790" s="52"/>
      <c r="CF790" s="52"/>
      <c r="CG790" s="52">
        <f t="shared" si="128"/>
        <v>249828271</v>
      </c>
      <c r="CH790" s="52"/>
      <c r="CI790" s="52"/>
      <c r="CJ790" s="52"/>
      <c r="CK790" s="52"/>
      <c r="CL790" s="52"/>
      <c r="CM790" s="52"/>
      <c r="CN790" s="52"/>
      <c r="CO790" s="52"/>
      <c r="CP790" s="52"/>
      <c r="CQ790" s="52">
        <v>19664767</v>
      </c>
      <c r="CR790" s="52"/>
      <c r="CS790" s="52">
        <f t="shared" si="125"/>
        <v>269493038</v>
      </c>
      <c r="CT790" s="53">
        <v>157318136</v>
      </c>
      <c r="CU790" s="53">
        <f t="shared" si="126"/>
        <v>112174902</v>
      </c>
      <c r="CV790" s="54">
        <f t="shared" si="129"/>
        <v>269493038</v>
      </c>
      <c r="CW790" s="55">
        <f t="shared" si="130"/>
        <v>0</v>
      </c>
      <c r="CX790" s="16"/>
      <c r="CY790" s="16"/>
      <c r="CZ790" s="16"/>
    </row>
    <row r="791" spans="1:108" ht="15" customHeight="1" x14ac:dyDescent="0.2">
      <c r="A791" s="1">
        <v>8180008991</v>
      </c>
      <c r="B791" s="1">
        <v>818000899</v>
      </c>
      <c r="C791" s="9">
        <v>210027600</v>
      </c>
      <c r="D791" s="10" t="s">
        <v>588</v>
      </c>
      <c r="E791" s="42" t="s">
        <v>1609</v>
      </c>
      <c r="F791" s="21"/>
      <c r="G791" s="50"/>
      <c r="H791" s="21"/>
      <c r="I791" s="50"/>
      <c r="J791" s="21"/>
      <c r="K791" s="21"/>
      <c r="L791" s="50"/>
      <c r="M791" s="51"/>
      <c r="N791" s="21"/>
      <c r="O791" s="50"/>
      <c r="P791" s="21"/>
      <c r="Q791" s="50"/>
      <c r="R791" s="21"/>
      <c r="S791" s="21"/>
      <c r="T791" s="50"/>
      <c r="U791" s="51">
        <f t="shared" si="124"/>
        <v>0</v>
      </c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>
        <v>190411353</v>
      </c>
      <c r="AN791" s="51">
        <f>SUBTOTAL(9,AC791:AM791)</f>
        <v>190411353</v>
      </c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>
        <v>151882040</v>
      </c>
      <c r="AZ791" s="51"/>
      <c r="BA791" s="51"/>
      <c r="BB791" s="51"/>
      <c r="BC791" s="52">
        <f t="shared" si="127"/>
        <v>342293393</v>
      </c>
      <c r="BD791" s="51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>
        <v>30376408</v>
      </c>
      <c r="BO791" s="51"/>
      <c r="BP791" s="52">
        <v>372669801</v>
      </c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>
        <v>30376408</v>
      </c>
      <c r="CD791" s="52"/>
      <c r="CE791" s="52"/>
      <c r="CF791" s="52"/>
      <c r="CG791" s="52">
        <f t="shared" si="128"/>
        <v>403046209</v>
      </c>
      <c r="CH791" s="52"/>
      <c r="CI791" s="52"/>
      <c r="CJ791" s="52"/>
      <c r="CK791" s="52"/>
      <c r="CL791" s="52"/>
      <c r="CM791" s="52"/>
      <c r="CN791" s="52"/>
      <c r="CO791" s="52"/>
      <c r="CP791" s="52"/>
      <c r="CQ791" s="52">
        <v>30376408</v>
      </c>
      <c r="CR791" s="52"/>
      <c r="CS791" s="52">
        <f t="shared" si="125"/>
        <v>433422617</v>
      </c>
      <c r="CT791" s="53">
        <v>243011264</v>
      </c>
      <c r="CU791" s="53">
        <f t="shared" si="126"/>
        <v>190411353</v>
      </c>
      <c r="CV791" s="54">
        <f t="shared" si="129"/>
        <v>433422617</v>
      </c>
      <c r="CW791" s="55">
        <f t="shared" si="130"/>
        <v>0</v>
      </c>
      <c r="CX791" s="16"/>
      <c r="CY791" s="16"/>
      <c r="CZ791" s="16"/>
    </row>
    <row r="792" spans="1:108" ht="15" customHeight="1" x14ac:dyDescent="0.2">
      <c r="A792" s="1">
        <v>8916800790</v>
      </c>
      <c r="B792" s="1">
        <v>891680079</v>
      </c>
      <c r="C792" s="9">
        <v>211527615</v>
      </c>
      <c r="D792" s="10" t="s">
        <v>2114</v>
      </c>
      <c r="E792" s="42" t="s">
        <v>1610</v>
      </c>
      <c r="F792" s="21"/>
      <c r="G792" s="50"/>
      <c r="H792" s="21"/>
      <c r="I792" s="50"/>
      <c r="J792" s="21"/>
      <c r="K792" s="21"/>
      <c r="L792" s="50"/>
      <c r="M792" s="51"/>
      <c r="N792" s="21"/>
      <c r="O792" s="50"/>
      <c r="P792" s="21"/>
      <c r="Q792" s="50"/>
      <c r="R792" s="21"/>
      <c r="S792" s="21"/>
      <c r="T792" s="50"/>
      <c r="U792" s="51">
        <f t="shared" si="124"/>
        <v>0</v>
      </c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>
        <v>579561426</v>
      </c>
      <c r="AN792" s="51">
        <f>SUBTOTAL(9,AC792:AM792)</f>
        <v>579561426</v>
      </c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>
        <v>532055625</v>
      </c>
      <c r="AZ792" s="51"/>
      <c r="BA792" s="51"/>
      <c r="BB792" s="51"/>
      <c r="BC792" s="52">
        <f t="shared" si="127"/>
        <v>1111617051</v>
      </c>
      <c r="BD792" s="51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>
        <v>106411125</v>
      </c>
      <c r="BO792" s="51"/>
      <c r="BP792" s="52">
        <v>1218028176</v>
      </c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>
        <v>106411125</v>
      </c>
      <c r="CD792" s="52"/>
      <c r="CE792" s="52"/>
      <c r="CF792" s="52"/>
      <c r="CG792" s="52">
        <f t="shared" si="128"/>
        <v>1324439301</v>
      </c>
      <c r="CH792" s="52"/>
      <c r="CI792" s="52"/>
      <c r="CJ792" s="52"/>
      <c r="CK792" s="52"/>
      <c r="CL792" s="52"/>
      <c r="CM792" s="52"/>
      <c r="CN792" s="52"/>
      <c r="CO792" s="52"/>
      <c r="CP792" s="52"/>
      <c r="CQ792" s="52">
        <v>106411125</v>
      </c>
      <c r="CR792" s="52">
        <v>250930394</v>
      </c>
      <c r="CS792" s="52">
        <f t="shared" si="125"/>
        <v>1681780820</v>
      </c>
      <c r="CT792" s="53">
        <v>851289000</v>
      </c>
      <c r="CU792" s="53">
        <f t="shared" si="126"/>
        <v>830491820</v>
      </c>
      <c r="CV792" s="54">
        <f t="shared" si="129"/>
        <v>1681780820</v>
      </c>
      <c r="CW792" s="55">
        <f t="shared" si="130"/>
        <v>0</v>
      </c>
      <c r="CX792" s="16"/>
      <c r="CY792" s="16"/>
      <c r="CZ792" s="16"/>
    </row>
    <row r="793" spans="1:108" ht="15" customHeight="1" x14ac:dyDescent="0.2">
      <c r="A793" s="1">
        <v>8904814470</v>
      </c>
      <c r="B793" s="1">
        <v>890481447</v>
      </c>
      <c r="C793" s="9">
        <v>210013600</v>
      </c>
      <c r="D793" s="10" t="s">
        <v>202</v>
      </c>
      <c r="E793" s="42" t="s">
        <v>1233</v>
      </c>
      <c r="F793" s="21"/>
      <c r="G793" s="50"/>
      <c r="H793" s="21"/>
      <c r="I793" s="50"/>
      <c r="J793" s="21"/>
      <c r="K793" s="21"/>
      <c r="L793" s="50"/>
      <c r="M793" s="51"/>
      <c r="N793" s="21"/>
      <c r="O793" s="50"/>
      <c r="P793" s="21"/>
      <c r="Q793" s="50"/>
      <c r="R793" s="21"/>
      <c r="S793" s="21"/>
      <c r="T793" s="50"/>
      <c r="U793" s="51">
        <f t="shared" si="124"/>
        <v>0</v>
      </c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>
        <v>52747968</v>
      </c>
      <c r="AN793" s="51">
        <f>SUBTOTAL(9,AC793:AM793)</f>
        <v>52747968</v>
      </c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>
        <v>160158290</v>
      </c>
      <c r="AZ793" s="51"/>
      <c r="BA793" s="51">
        <f>VLOOKUP(B793,[1]Hoja3!J$3:K$674,2,0)</f>
        <v>90860265</v>
      </c>
      <c r="BB793" s="51"/>
      <c r="BC793" s="52">
        <f t="shared" si="127"/>
        <v>303766523</v>
      </c>
      <c r="BD793" s="51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>
        <v>32031658</v>
      </c>
      <c r="BO793" s="51"/>
      <c r="BP793" s="52">
        <v>335798181</v>
      </c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>
        <v>32031658</v>
      </c>
      <c r="CD793" s="52"/>
      <c r="CE793" s="52"/>
      <c r="CF793" s="52"/>
      <c r="CG793" s="52">
        <f t="shared" si="128"/>
        <v>367829839</v>
      </c>
      <c r="CH793" s="52"/>
      <c r="CI793" s="52"/>
      <c r="CJ793" s="52"/>
      <c r="CK793" s="52"/>
      <c r="CL793" s="52"/>
      <c r="CM793" s="52"/>
      <c r="CN793" s="52"/>
      <c r="CO793" s="52"/>
      <c r="CP793" s="52"/>
      <c r="CQ793" s="52">
        <v>32031658</v>
      </c>
      <c r="CR793" s="52"/>
      <c r="CS793" s="52">
        <f t="shared" si="125"/>
        <v>399861497</v>
      </c>
      <c r="CT793" s="53">
        <v>256253264</v>
      </c>
      <c r="CU793" s="53">
        <f t="shared" si="126"/>
        <v>143608233</v>
      </c>
      <c r="CV793" s="54">
        <f t="shared" si="129"/>
        <v>399861497</v>
      </c>
      <c r="CW793" s="55">
        <f t="shared" si="130"/>
        <v>0</v>
      </c>
      <c r="CX793" s="16"/>
      <c r="CY793" s="8"/>
      <c r="CZ793" s="8"/>
      <c r="DA793" s="8"/>
      <c r="DB793" s="8"/>
      <c r="DC793" s="8"/>
      <c r="DD793" s="8"/>
    </row>
    <row r="794" spans="1:108" ht="15" customHeight="1" x14ac:dyDescent="0.2">
      <c r="A794" s="1">
        <v>8907020407</v>
      </c>
      <c r="B794" s="1">
        <v>890702040</v>
      </c>
      <c r="C794" s="9">
        <v>211673616</v>
      </c>
      <c r="D794" s="10" t="s">
        <v>2234</v>
      </c>
      <c r="E794" s="42" t="s">
        <v>1961</v>
      </c>
      <c r="F794" s="21"/>
      <c r="G794" s="50"/>
      <c r="H794" s="21"/>
      <c r="I794" s="50"/>
      <c r="J794" s="21"/>
      <c r="K794" s="21"/>
      <c r="L794" s="50"/>
      <c r="M794" s="51"/>
      <c r="N794" s="21"/>
      <c r="O794" s="50"/>
      <c r="P794" s="21"/>
      <c r="Q794" s="50"/>
      <c r="R794" s="21"/>
      <c r="S794" s="21"/>
      <c r="T794" s="50"/>
      <c r="U794" s="51">
        <f t="shared" si="124"/>
        <v>0</v>
      </c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>
        <v>229988835</v>
      </c>
      <c r="AZ794" s="51"/>
      <c r="BA794" s="51">
        <f>VLOOKUP(B794,[1]Hoja3!J$3:K$674,2,0)</f>
        <v>408298324</v>
      </c>
      <c r="BB794" s="51"/>
      <c r="BC794" s="52">
        <f t="shared" si="127"/>
        <v>638287159</v>
      </c>
      <c r="BD794" s="51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>
        <v>45997767</v>
      </c>
      <c r="BO794" s="51"/>
      <c r="BP794" s="52">
        <v>684284926</v>
      </c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>
        <v>45997767</v>
      </c>
      <c r="CD794" s="52"/>
      <c r="CE794" s="52"/>
      <c r="CF794" s="52"/>
      <c r="CG794" s="52">
        <f t="shared" si="128"/>
        <v>730282693</v>
      </c>
      <c r="CH794" s="52"/>
      <c r="CI794" s="52"/>
      <c r="CJ794" s="52"/>
      <c r="CK794" s="52"/>
      <c r="CL794" s="52"/>
      <c r="CM794" s="52"/>
      <c r="CN794" s="52"/>
      <c r="CO794" s="52"/>
      <c r="CP794" s="52"/>
      <c r="CQ794" s="52">
        <v>45997767</v>
      </c>
      <c r="CR794" s="52"/>
      <c r="CS794" s="52">
        <f t="shared" si="125"/>
        <v>776280460</v>
      </c>
      <c r="CT794" s="53">
        <v>367982136</v>
      </c>
      <c r="CU794" s="53">
        <f t="shared" si="126"/>
        <v>408298324</v>
      </c>
      <c r="CV794" s="54">
        <f t="shared" si="129"/>
        <v>776280460</v>
      </c>
      <c r="CW794" s="55">
        <f t="shared" si="130"/>
        <v>0</v>
      </c>
      <c r="CX794" s="16"/>
      <c r="CY794" s="16"/>
      <c r="CZ794" s="16"/>
    </row>
    <row r="795" spans="1:108" ht="15" customHeight="1" x14ac:dyDescent="0.2">
      <c r="A795" s="1">
        <v>8919003579</v>
      </c>
      <c r="B795" s="1">
        <v>891900357</v>
      </c>
      <c r="C795" s="9">
        <v>211676616</v>
      </c>
      <c r="D795" s="10" t="s">
        <v>936</v>
      </c>
      <c r="E795" s="42" t="s">
        <v>1996</v>
      </c>
      <c r="F795" s="21"/>
      <c r="G795" s="50"/>
      <c r="H795" s="21"/>
      <c r="I795" s="50"/>
      <c r="J795" s="21"/>
      <c r="K795" s="21"/>
      <c r="L795" s="50"/>
      <c r="M795" s="51"/>
      <c r="N795" s="21"/>
      <c r="O795" s="50"/>
      <c r="P795" s="21"/>
      <c r="Q795" s="50"/>
      <c r="R795" s="21"/>
      <c r="S795" s="21"/>
      <c r="T795" s="50"/>
      <c r="U795" s="51">
        <f t="shared" si="124"/>
        <v>0</v>
      </c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>
        <v>41678857</v>
      </c>
      <c r="AN795" s="51">
        <f t="shared" ref="AN795:AN801" si="131">SUBTOTAL(9,AC795:AM795)</f>
        <v>41678857</v>
      </c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>
        <v>119865995</v>
      </c>
      <c r="AZ795" s="51"/>
      <c r="BA795" s="51">
        <f>VLOOKUP(B795,[1]Hoja3!J$3:K$674,2,0)</f>
        <v>196712907</v>
      </c>
      <c r="BB795" s="51"/>
      <c r="BC795" s="52">
        <f t="shared" si="127"/>
        <v>358257759</v>
      </c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>
        <v>23973199</v>
      </c>
      <c r="BO795" s="51"/>
      <c r="BP795" s="52">
        <v>382230958</v>
      </c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>
        <v>23973199</v>
      </c>
      <c r="CD795" s="52"/>
      <c r="CE795" s="52"/>
      <c r="CF795" s="52"/>
      <c r="CG795" s="52">
        <f t="shared" si="128"/>
        <v>406204157</v>
      </c>
      <c r="CH795" s="52"/>
      <c r="CI795" s="52"/>
      <c r="CJ795" s="52"/>
      <c r="CK795" s="52"/>
      <c r="CL795" s="52"/>
      <c r="CM795" s="52"/>
      <c r="CN795" s="52"/>
      <c r="CO795" s="52"/>
      <c r="CP795" s="52"/>
      <c r="CQ795" s="52">
        <v>23973199</v>
      </c>
      <c r="CR795" s="52"/>
      <c r="CS795" s="52">
        <f t="shared" si="125"/>
        <v>430177356</v>
      </c>
      <c r="CT795" s="53">
        <v>191785592</v>
      </c>
      <c r="CU795" s="53">
        <f t="shared" si="126"/>
        <v>238391764</v>
      </c>
      <c r="CV795" s="54">
        <f t="shared" si="129"/>
        <v>430177356</v>
      </c>
      <c r="CW795" s="55">
        <f t="shared" si="130"/>
        <v>0</v>
      </c>
      <c r="CX795" s="16"/>
      <c r="CY795" s="16"/>
      <c r="CZ795" s="16"/>
    </row>
    <row r="796" spans="1:108" ht="15" customHeight="1" x14ac:dyDescent="0.2">
      <c r="A796" s="1">
        <v>8921150072</v>
      </c>
      <c r="B796" s="1">
        <v>892115007</v>
      </c>
      <c r="C796" s="9">
        <v>210144001</v>
      </c>
      <c r="D796" s="10" t="s">
        <v>629</v>
      </c>
      <c r="E796" s="43" t="s">
        <v>1647</v>
      </c>
      <c r="F796" s="21"/>
      <c r="G796" s="50"/>
      <c r="H796" s="21"/>
      <c r="I796" s="57">
        <f>5633162434+99919222</f>
        <v>5733081656</v>
      </c>
      <c r="J796" s="21">
        <v>387499622</v>
      </c>
      <c r="K796" s="21">
        <v>782642742</v>
      </c>
      <c r="L796" s="50"/>
      <c r="M796" s="52">
        <f>SUM(F796:L796)</f>
        <v>6903224020</v>
      </c>
      <c r="N796" s="21"/>
      <c r="O796" s="50"/>
      <c r="P796" s="21"/>
      <c r="Q796" s="50">
        <f>6045831133+412669000+45417828</f>
        <v>6503917961</v>
      </c>
      <c r="R796" s="21">
        <v>387499622</v>
      </c>
      <c r="S796" s="21">
        <f>395143120+387499622</f>
        <v>782642742</v>
      </c>
      <c r="T796" s="50"/>
      <c r="U796" s="51">
        <f t="shared" si="124"/>
        <v>14577284345</v>
      </c>
      <c r="V796" s="51"/>
      <c r="W796" s="51"/>
      <c r="X796" s="51"/>
      <c r="Y796" s="51">
        <v>7141609856</v>
      </c>
      <c r="Z796" s="51">
        <v>313760966</v>
      </c>
      <c r="AA796" s="51">
        <v>725743015</v>
      </c>
      <c r="AB796" s="51"/>
      <c r="AC796" s="51">
        <f t="shared" ref="AC796:AC820" si="132">SUM(U796:AB796)</f>
        <v>22758398182</v>
      </c>
      <c r="AD796" s="51"/>
      <c r="AE796" s="51"/>
      <c r="AF796" s="51"/>
      <c r="AG796" s="51"/>
      <c r="AH796" s="51">
        <v>8393705089</v>
      </c>
      <c r="AI796" s="51">
        <v>4126464822</v>
      </c>
      <c r="AJ796" s="51">
        <v>358688665</v>
      </c>
      <c r="AK796" s="51">
        <v>911078496</v>
      </c>
      <c r="AL796" s="51"/>
      <c r="AM796" s="51">
        <v>1337373601</v>
      </c>
      <c r="AN796" s="51">
        <f t="shared" si="131"/>
        <v>37885708855</v>
      </c>
      <c r="AO796" s="51"/>
      <c r="AP796" s="51"/>
      <c r="AQ796" s="51">
        <v>1807210080</v>
      </c>
      <c r="AR796" s="51"/>
      <c r="AS796" s="51"/>
      <c r="AT796" s="51">
        <v>7393705089</v>
      </c>
      <c r="AU796" s="51">
        <v>1507885330</v>
      </c>
      <c r="AV796" s="51">
        <v>358688665</v>
      </c>
      <c r="AW796" s="51">
        <v>619010796</v>
      </c>
      <c r="AX796" s="51"/>
      <c r="AY796" s="51"/>
      <c r="AZ796" s="51">
        <v>2556446723</v>
      </c>
      <c r="BA796" s="51">
        <f>VLOOKUP(B796,[1]Hoja3!J$3:K$674,2,0)</f>
        <v>559206514</v>
      </c>
      <c r="BB796" s="51">
        <f>VLOOKUP(B796,'[2]anuladas en mayo gratuidad}'!K$2:L$55,2,0)</f>
        <v>51660680</v>
      </c>
      <c r="BC796" s="52">
        <f t="shared" si="127"/>
        <v>52636201372</v>
      </c>
      <c r="BD796" s="51"/>
      <c r="BE796" s="51"/>
      <c r="BF796" s="51">
        <v>361442016</v>
      </c>
      <c r="BG796" s="51"/>
      <c r="BH796" s="51"/>
      <c r="BI796" s="51">
        <v>6292741861</v>
      </c>
      <c r="BJ796" s="51">
        <v>927785974</v>
      </c>
      <c r="BK796" s="51">
        <v>533564908</v>
      </c>
      <c r="BL796" s="51">
        <v>1270344892</v>
      </c>
      <c r="BM796" s="51"/>
      <c r="BN796" s="51"/>
      <c r="BO796" s="51"/>
      <c r="BP796" s="52">
        <v>62022081023</v>
      </c>
      <c r="BQ796" s="52"/>
      <c r="BR796" s="52"/>
      <c r="BS796" s="52">
        <v>361442016</v>
      </c>
      <c r="BT796" s="52"/>
      <c r="BU796" s="52"/>
      <c r="BV796" s="52"/>
      <c r="BW796" s="52">
        <v>6306687310</v>
      </c>
      <c r="BX796" s="52">
        <v>3537764602</v>
      </c>
      <c r="BY796" s="52">
        <v>2549934214</v>
      </c>
      <c r="BZ796" s="52">
        <v>409728652</v>
      </c>
      <c r="CA796" s="52">
        <v>1081230044</v>
      </c>
      <c r="CB796" s="52"/>
      <c r="CC796" s="52"/>
      <c r="CD796" s="52"/>
      <c r="CE796" s="52">
        <v>28239585</v>
      </c>
      <c r="CF796" s="52"/>
      <c r="CG796" s="52">
        <f t="shared" si="128"/>
        <v>76297107446</v>
      </c>
      <c r="CH796" s="52"/>
      <c r="CI796" s="52"/>
      <c r="CJ796" s="52">
        <v>361442016</v>
      </c>
      <c r="CK796" s="52"/>
      <c r="CL796" s="52">
        <v>6138820354</v>
      </c>
      <c r="CM796" s="52">
        <v>337602326</v>
      </c>
      <c r="CN796" s="52">
        <v>419798797</v>
      </c>
      <c r="CO796" s="52">
        <v>764956309</v>
      </c>
      <c r="CP796" s="52"/>
      <c r="CQ796" s="52"/>
      <c r="CR796" s="52">
        <v>270975753</v>
      </c>
      <c r="CS796" s="52">
        <f t="shared" si="125"/>
        <v>84590703001</v>
      </c>
      <c r="CT796" s="53">
        <v>82446568228</v>
      </c>
      <c r="CU796" s="53">
        <f t="shared" si="126"/>
        <v>2144134773</v>
      </c>
      <c r="CV796" s="54">
        <f t="shared" si="129"/>
        <v>84590703001</v>
      </c>
      <c r="CW796" s="55">
        <f t="shared" si="130"/>
        <v>0</v>
      </c>
      <c r="CX796" s="16"/>
      <c r="CY796" s="16"/>
      <c r="CZ796" s="16"/>
    </row>
    <row r="797" spans="1:108" ht="15" customHeight="1" x14ac:dyDescent="0.2">
      <c r="A797" s="1">
        <v>8909073172</v>
      </c>
      <c r="B797" s="1">
        <v>890907317</v>
      </c>
      <c r="C797" s="9">
        <v>211505615</v>
      </c>
      <c r="D797" s="10" t="s">
        <v>123</v>
      </c>
      <c r="E797" s="43" t="s">
        <v>1152</v>
      </c>
      <c r="F797" s="21"/>
      <c r="G797" s="50"/>
      <c r="H797" s="21"/>
      <c r="I797" s="50">
        <f>2267352500+75473051</f>
        <v>2342825551</v>
      </c>
      <c r="J797" s="21">
        <v>176288063</v>
      </c>
      <c r="K797" s="21">
        <v>349487143</v>
      </c>
      <c r="L797" s="50"/>
      <c r="M797" s="52">
        <f>SUM(F797:L797)</f>
        <v>2868600757</v>
      </c>
      <c r="N797" s="21"/>
      <c r="O797" s="50"/>
      <c r="P797" s="21"/>
      <c r="Q797" s="50">
        <f>2170896735+34305932</f>
        <v>2205202667</v>
      </c>
      <c r="R797" s="21">
        <v>176288063</v>
      </c>
      <c r="S797" s="21">
        <f>173199080+176288063</f>
        <v>349487143</v>
      </c>
      <c r="T797" s="50"/>
      <c r="U797" s="51">
        <f t="shared" si="124"/>
        <v>5599578630</v>
      </c>
      <c r="V797" s="51"/>
      <c r="W797" s="51"/>
      <c r="X797" s="51"/>
      <c r="Y797" s="51">
        <v>3230635312</v>
      </c>
      <c r="Z797" s="51">
        <v>178224794</v>
      </c>
      <c r="AA797" s="51">
        <v>415710660</v>
      </c>
      <c r="AB797" s="51"/>
      <c r="AC797" s="51">
        <f t="shared" si="132"/>
        <v>9424149396</v>
      </c>
      <c r="AD797" s="51"/>
      <c r="AE797" s="51"/>
      <c r="AF797" s="51"/>
      <c r="AG797" s="51"/>
      <c r="AH797" s="51">
        <v>2338626446</v>
      </c>
      <c r="AI797" s="51">
        <v>567031049</v>
      </c>
      <c r="AJ797" s="51">
        <v>182281723</v>
      </c>
      <c r="AK797" s="51">
        <v>459491813</v>
      </c>
      <c r="AL797" s="51"/>
      <c r="AM797" s="51">
        <v>1353216035</v>
      </c>
      <c r="AN797" s="51">
        <f t="shared" si="131"/>
        <v>14324796462</v>
      </c>
      <c r="AO797" s="51"/>
      <c r="AP797" s="51"/>
      <c r="AQ797" s="51">
        <v>556552230</v>
      </c>
      <c r="AR797" s="51"/>
      <c r="AS797" s="51"/>
      <c r="AT797" s="51">
        <v>2338626446</v>
      </c>
      <c r="AU797" s="51"/>
      <c r="AV797" s="51">
        <v>182281723</v>
      </c>
      <c r="AW797" s="51">
        <v>311301295</v>
      </c>
      <c r="AX797" s="51"/>
      <c r="AY797" s="51"/>
      <c r="AZ797" s="51">
        <v>49288602</v>
      </c>
      <c r="BA797" s="51"/>
      <c r="BB797" s="51"/>
      <c r="BC797" s="52">
        <f t="shared" si="127"/>
        <v>17762846758</v>
      </c>
      <c r="BD797" s="51"/>
      <c r="BE797" s="51"/>
      <c r="BF797" s="51">
        <v>111310446</v>
      </c>
      <c r="BG797" s="51"/>
      <c r="BH797" s="51"/>
      <c r="BI797" s="51">
        <v>2520537731</v>
      </c>
      <c r="BJ797" s="51">
        <v>269460720</v>
      </c>
      <c r="BK797" s="51">
        <v>174422904</v>
      </c>
      <c r="BL797" s="51">
        <v>376561787</v>
      </c>
      <c r="BM797" s="51"/>
      <c r="BN797" s="51"/>
      <c r="BO797" s="51"/>
      <c r="BP797" s="52">
        <v>21215140346</v>
      </c>
      <c r="BQ797" s="52"/>
      <c r="BR797" s="52"/>
      <c r="BS797" s="52">
        <v>111310446</v>
      </c>
      <c r="BT797" s="52"/>
      <c r="BU797" s="52"/>
      <c r="BV797" s="52"/>
      <c r="BW797" s="52">
        <v>2381752993</v>
      </c>
      <c r="BX797" s="52"/>
      <c r="BY797" s="52">
        <v>1109617209</v>
      </c>
      <c r="BZ797" s="52">
        <v>182599446</v>
      </c>
      <c r="CA797" s="52">
        <v>476064544</v>
      </c>
      <c r="CB797" s="52"/>
      <c r="CC797" s="52"/>
      <c r="CD797" s="52"/>
      <c r="CE797" s="52"/>
      <c r="CF797" s="52"/>
      <c r="CG797" s="52">
        <f t="shared" si="128"/>
        <v>25476484984</v>
      </c>
      <c r="CH797" s="52"/>
      <c r="CI797" s="52"/>
      <c r="CJ797" s="52">
        <v>111310446</v>
      </c>
      <c r="CK797" s="52"/>
      <c r="CL797" s="52">
        <v>2374762904</v>
      </c>
      <c r="CM797" s="52">
        <v>306808171</v>
      </c>
      <c r="CN797" s="52">
        <v>183610670</v>
      </c>
      <c r="CO797" s="52">
        <v>331738138</v>
      </c>
      <c r="CP797" s="52"/>
      <c r="CQ797" s="52"/>
      <c r="CR797" s="52"/>
      <c r="CS797" s="52">
        <f t="shared" si="125"/>
        <v>28784715313</v>
      </c>
      <c r="CT797" s="53">
        <v>27431499278</v>
      </c>
      <c r="CU797" s="53">
        <f t="shared" si="126"/>
        <v>1353216035</v>
      </c>
      <c r="CV797" s="54">
        <f t="shared" si="129"/>
        <v>28784715313</v>
      </c>
      <c r="CW797" s="55">
        <f t="shared" si="130"/>
        <v>0</v>
      </c>
      <c r="CX797" s="16"/>
      <c r="CY797" s="16"/>
      <c r="CZ797" s="16"/>
    </row>
    <row r="798" spans="1:108" ht="15" customHeight="1" x14ac:dyDescent="0.2">
      <c r="A798" s="1">
        <v>8902046463</v>
      </c>
      <c r="B798" s="1">
        <v>890204646</v>
      </c>
      <c r="C798" s="9">
        <v>211568615</v>
      </c>
      <c r="D798" s="10" t="s">
        <v>871</v>
      </c>
      <c r="E798" s="42" t="s">
        <v>1883</v>
      </c>
      <c r="F798" s="21"/>
      <c r="G798" s="50"/>
      <c r="H798" s="21"/>
      <c r="I798" s="50"/>
      <c r="J798" s="21"/>
      <c r="K798" s="21"/>
      <c r="L798" s="50"/>
      <c r="M798" s="51"/>
      <c r="N798" s="21"/>
      <c r="O798" s="50"/>
      <c r="P798" s="21"/>
      <c r="Q798" s="50"/>
      <c r="R798" s="21"/>
      <c r="S798" s="21"/>
      <c r="T798" s="50"/>
      <c r="U798" s="51">
        <f t="shared" si="124"/>
        <v>0</v>
      </c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>
        <v>445430616</v>
      </c>
      <c r="AN798" s="51">
        <f t="shared" si="131"/>
        <v>445430616</v>
      </c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>
        <v>196703260</v>
      </c>
      <c r="AZ798" s="51"/>
      <c r="BA798" s="51"/>
      <c r="BB798" s="51"/>
      <c r="BC798" s="52">
        <f t="shared" si="127"/>
        <v>642133876</v>
      </c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>
        <v>39340652</v>
      </c>
      <c r="BO798" s="51"/>
      <c r="BP798" s="52">
        <v>681474528</v>
      </c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>
        <v>39340652</v>
      </c>
      <c r="CD798" s="52"/>
      <c r="CE798" s="52"/>
      <c r="CF798" s="52"/>
      <c r="CG798" s="52">
        <f t="shared" si="128"/>
        <v>720815180</v>
      </c>
      <c r="CH798" s="52"/>
      <c r="CI798" s="52"/>
      <c r="CJ798" s="52"/>
      <c r="CK798" s="52"/>
      <c r="CL798" s="52"/>
      <c r="CM798" s="52"/>
      <c r="CN798" s="52"/>
      <c r="CO798" s="52"/>
      <c r="CP798" s="52"/>
      <c r="CQ798" s="52">
        <v>39340652</v>
      </c>
      <c r="CR798" s="52"/>
      <c r="CS798" s="52">
        <f t="shared" si="125"/>
        <v>760155832</v>
      </c>
      <c r="CT798" s="53">
        <v>314725216</v>
      </c>
      <c r="CU798" s="53">
        <f t="shared" si="126"/>
        <v>445430616</v>
      </c>
      <c r="CV798" s="54">
        <f t="shared" si="129"/>
        <v>760155832</v>
      </c>
      <c r="CW798" s="55">
        <f t="shared" si="130"/>
        <v>0</v>
      </c>
      <c r="CX798" s="16"/>
      <c r="CY798" s="16"/>
      <c r="CZ798" s="16"/>
    </row>
    <row r="799" spans="1:108" ht="15" customHeight="1" x14ac:dyDescent="0.2">
      <c r="A799" s="1">
        <v>8908011384</v>
      </c>
      <c r="B799" s="1">
        <v>890801138</v>
      </c>
      <c r="C799" s="9">
        <v>211417614</v>
      </c>
      <c r="D799" s="10" t="s">
        <v>353</v>
      </c>
      <c r="E799" s="42" t="s">
        <v>1382</v>
      </c>
      <c r="F799" s="21"/>
      <c r="G799" s="50"/>
      <c r="H799" s="21"/>
      <c r="I799" s="50"/>
      <c r="J799" s="21"/>
      <c r="K799" s="21"/>
      <c r="L799" s="50"/>
      <c r="M799" s="51"/>
      <c r="N799" s="21"/>
      <c r="O799" s="50"/>
      <c r="P799" s="21"/>
      <c r="Q799" s="50"/>
      <c r="R799" s="21"/>
      <c r="S799" s="21"/>
      <c r="T799" s="50"/>
      <c r="U799" s="51">
        <f t="shared" si="124"/>
        <v>0</v>
      </c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>
        <v>725039184</v>
      </c>
      <c r="AN799" s="51">
        <f t="shared" si="131"/>
        <v>725039184</v>
      </c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>
        <v>356790225</v>
      </c>
      <c r="AZ799" s="51"/>
      <c r="BA799" s="51"/>
      <c r="BB799" s="51">
        <f>VLOOKUP(B799,'[2]anuladas en mayo gratuidad}'!K$2:L$55,2,0)</f>
        <v>106402871</v>
      </c>
      <c r="BC799" s="52">
        <f t="shared" si="127"/>
        <v>975426538</v>
      </c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>
        <v>71358045</v>
      </c>
      <c r="BO799" s="51"/>
      <c r="BP799" s="52">
        <v>1046784583</v>
      </c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>
        <v>71358045</v>
      </c>
      <c r="CD799" s="52"/>
      <c r="CE799" s="52">
        <v>106402871</v>
      </c>
      <c r="CF799" s="52"/>
      <c r="CG799" s="52">
        <f t="shared" si="128"/>
        <v>1224545499</v>
      </c>
      <c r="CH799" s="52"/>
      <c r="CI799" s="52"/>
      <c r="CJ799" s="52"/>
      <c r="CK799" s="52"/>
      <c r="CL799" s="52"/>
      <c r="CM799" s="52"/>
      <c r="CN799" s="52"/>
      <c r="CO799" s="52"/>
      <c r="CP799" s="52"/>
      <c r="CQ799" s="52">
        <v>71358045</v>
      </c>
      <c r="CR799" s="52"/>
      <c r="CS799" s="52">
        <f t="shared" si="125"/>
        <v>1295903544</v>
      </c>
      <c r="CT799" s="53">
        <v>570864360</v>
      </c>
      <c r="CU799" s="53">
        <f t="shared" si="126"/>
        <v>725039184</v>
      </c>
      <c r="CV799" s="54">
        <f t="shared" si="129"/>
        <v>1295903544</v>
      </c>
      <c r="CW799" s="55">
        <f t="shared" si="130"/>
        <v>0</v>
      </c>
      <c r="CX799" s="16"/>
      <c r="CY799" s="16"/>
      <c r="CZ799" s="16"/>
    </row>
    <row r="800" spans="1:108" ht="15" customHeight="1" x14ac:dyDescent="0.2">
      <c r="A800" s="1">
        <v>8000954611</v>
      </c>
      <c r="B800" s="1">
        <v>800095461</v>
      </c>
      <c r="C800" s="9">
        <v>211617616</v>
      </c>
      <c r="D800" s="10" t="s">
        <v>354</v>
      </c>
      <c r="E800" s="42" t="s">
        <v>1383</v>
      </c>
      <c r="F800" s="21"/>
      <c r="G800" s="50"/>
      <c r="H800" s="21"/>
      <c r="I800" s="50"/>
      <c r="J800" s="21"/>
      <c r="K800" s="21"/>
      <c r="L800" s="50"/>
      <c r="M800" s="51"/>
      <c r="N800" s="21"/>
      <c r="O800" s="50"/>
      <c r="P800" s="21"/>
      <c r="Q800" s="50"/>
      <c r="R800" s="21"/>
      <c r="S800" s="21"/>
      <c r="T800" s="50"/>
      <c r="U800" s="51">
        <f t="shared" si="124"/>
        <v>0</v>
      </c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>
        <v>155841599</v>
      </c>
      <c r="AN800" s="51">
        <f t="shared" si="131"/>
        <v>155841599</v>
      </c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>
        <v>74655405</v>
      </c>
      <c r="AZ800" s="51"/>
      <c r="BA800" s="51"/>
      <c r="BB800" s="51"/>
      <c r="BC800" s="52">
        <f t="shared" si="127"/>
        <v>230497004</v>
      </c>
      <c r="BD800" s="51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>
        <v>14931081</v>
      </c>
      <c r="BO800" s="51"/>
      <c r="BP800" s="52">
        <v>245428085</v>
      </c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>
        <v>14931081</v>
      </c>
      <c r="CD800" s="52"/>
      <c r="CE800" s="52"/>
      <c r="CF800" s="52"/>
      <c r="CG800" s="52">
        <f t="shared" si="128"/>
        <v>260359166</v>
      </c>
      <c r="CH800" s="52"/>
      <c r="CI800" s="52"/>
      <c r="CJ800" s="52"/>
      <c r="CK800" s="52"/>
      <c r="CL800" s="52"/>
      <c r="CM800" s="52"/>
      <c r="CN800" s="52"/>
      <c r="CO800" s="52"/>
      <c r="CP800" s="52"/>
      <c r="CQ800" s="52">
        <v>14931081</v>
      </c>
      <c r="CR800" s="52"/>
      <c r="CS800" s="52">
        <f t="shared" si="125"/>
        <v>275290247</v>
      </c>
      <c r="CT800" s="53">
        <v>119448648</v>
      </c>
      <c r="CU800" s="53">
        <f t="shared" si="126"/>
        <v>155841599</v>
      </c>
      <c r="CV800" s="54">
        <f t="shared" si="129"/>
        <v>275290247</v>
      </c>
      <c r="CW800" s="55">
        <f t="shared" si="130"/>
        <v>0</v>
      </c>
      <c r="CX800" s="16"/>
      <c r="CY800" s="16"/>
      <c r="CZ800" s="16"/>
    </row>
    <row r="801" spans="1:108" ht="15" customHeight="1" x14ac:dyDescent="0.2">
      <c r="A801" s="1">
        <v>8911800409</v>
      </c>
      <c r="B801" s="1">
        <v>891180040</v>
      </c>
      <c r="C801" s="9">
        <v>211541615</v>
      </c>
      <c r="D801" s="10" t="s">
        <v>617</v>
      </c>
      <c r="E801" s="42" t="s">
        <v>1636</v>
      </c>
      <c r="F801" s="21"/>
      <c r="G801" s="50"/>
      <c r="H801" s="21"/>
      <c r="I801" s="50"/>
      <c r="J801" s="21"/>
      <c r="K801" s="21"/>
      <c r="L801" s="50"/>
      <c r="M801" s="51"/>
      <c r="N801" s="21"/>
      <c r="O801" s="50"/>
      <c r="P801" s="21"/>
      <c r="Q801" s="50"/>
      <c r="R801" s="21"/>
      <c r="S801" s="21"/>
      <c r="T801" s="50"/>
      <c r="U801" s="51">
        <f t="shared" si="124"/>
        <v>0</v>
      </c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>
        <v>209992279</v>
      </c>
      <c r="AN801" s="51">
        <f t="shared" si="131"/>
        <v>209992279</v>
      </c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>
        <v>128004360</v>
      </c>
      <c r="AZ801" s="51"/>
      <c r="BA801" s="51">
        <f>VLOOKUP(B801,[1]Hoja3!J$3:K$674,2,0)</f>
        <v>121709835</v>
      </c>
      <c r="BB801" s="51"/>
      <c r="BC801" s="52">
        <f t="shared" si="127"/>
        <v>459706474</v>
      </c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>
        <v>25600872</v>
      </c>
      <c r="BO801" s="51"/>
      <c r="BP801" s="52">
        <v>485307346</v>
      </c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>
        <v>25600872</v>
      </c>
      <c r="CD801" s="52"/>
      <c r="CE801" s="52"/>
      <c r="CF801" s="52"/>
      <c r="CG801" s="52">
        <f t="shared" si="128"/>
        <v>510908218</v>
      </c>
      <c r="CH801" s="52"/>
      <c r="CI801" s="52"/>
      <c r="CJ801" s="52"/>
      <c r="CK801" s="52"/>
      <c r="CL801" s="52"/>
      <c r="CM801" s="52"/>
      <c r="CN801" s="52"/>
      <c r="CO801" s="52"/>
      <c r="CP801" s="52"/>
      <c r="CQ801" s="52">
        <v>25600872</v>
      </c>
      <c r="CR801" s="52"/>
      <c r="CS801" s="52">
        <f t="shared" si="125"/>
        <v>536509090</v>
      </c>
      <c r="CT801" s="53">
        <v>204806976</v>
      </c>
      <c r="CU801" s="53">
        <f t="shared" si="126"/>
        <v>331702114</v>
      </c>
      <c r="CV801" s="54">
        <f t="shared" si="129"/>
        <v>536509090</v>
      </c>
      <c r="CW801" s="55">
        <f t="shared" si="130"/>
        <v>0</v>
      </c>
      <c r="CX801" s="16"/>
      <c r="CY801" s="16"/>
      <c r="CZ801" s="16"/>
    </row>
    <row r="802" spans="1:108" ht="15" customHeight="1" x14ac:dyDescent="0.2">
      <c r="A802" s="1">
        <v>8000991321</v>
      </c>
      <c r="B802" s="1">
        <v>800099132</v>
      </c>
      <c r="C802" s="9">
        <v>212152621</v>
      </c>
      <c r="D802" s="10" t="s">
        <v>737</v>
      </c>
      <c r="E802" s="42" t="s">
        <v>1759</v>
      </c>
      <c r="F802" s="21"/>
      <c r="G802" s="50"/>
      <c r="H802" s="21"/>
      <c r="I802" s="50"/>
      <c r="J802" s="21"/>
      <c r="K802" s="21"/>
      <c r="L802" s="50"/>
      <c r="M802" s="51"/>
      <c r="N802" s="21"/>
      <c r="O802" s="50"/>
      <c r="P802" s="21"/>
      <c r="Q802" s="50"/>
      <c r="R802" s="21"/>
      <c r="S802" s="21"/>
      <c r="T802" s="50"/>
      <c r="U802" s="51">
        <f t="shared" si="124"/>
        <v>0</v>
      </c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>
        <v>228086070</v>
      </c>
      <c r="AZ802" s="51"/>
      <c r="BA802" s="51">
        <f>VLOOKUP(B802,[1]Hoja3!J$3:K$674,2,0)</f>
        <v>286924608</v>
      </c>
      <c r="BB802" s="51"/>
      <c r="BC802" s="52">
        <f t="shared" si="127"/>
        <v>515010678</v>
      </c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>
        <v>45617214</v>
      </c>
      <c r="BO802" s="51"/>
      <c r="BP802" s="52">
        <v>560627892</v>
      </c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>
        <v>45617214</v>
      </c>
      <c r="CD802" s="52"/>
      <c r="CE802" s="52"/>
      <c r="CF802" s="52"/>
      <c r="CG802" s="52">
        <f t="shared" si="128"/>
        <v>606245106</v>
      </c>
      <c r="CH802" s="52"/>
      <c r="CI802" s="52"/>
      <c r="CJ802" s="52"/>
      <c r="CK802" s="52"/>
      <c r="CL802" s="52"/>
      <c r="CM802" s="52"/>
      <c r="CN802" s="52"/>
      <c r="CO802" s="52"/>
      <c r="CP802" s="52"/>
      <c r="CQ802" s="52">
        <v>45617214</v>
      </c>
      <c r="CR802" s="52"/>
      <c r="CS802" s="52">
        <f t="shared" si="125"/>
        <v>651862320</v>
      </c>
      <c r="CT802" s="53">
        <v>364937712</v>
      </c>
      <c r="CU802" s="53">
        <f t="shared" si="126"/>
        <v>286924608</v>
      </c>
      <c r="CV802" s="54">
        <f t="shared" si="129"/>
        <v>651862320</v>
      </c>
      <c r="CW802" s="55">
        <f t="shared" si="130"/>
        <v>0</v>
      </c>
      <c r="CX802" s="16"/>
      <c r="CY802" s="16"/>
      <c r="CZ802" s="16"/>
    </row>
    <row r="803" spans="1:108" ht="15" customHeight="1" x14ac:dyDescent="0.2">
      <c r="A803" s="1">
        <v>8919002896</v>
      </c>
      <c r="B803" s="1">
        <v>891900289</v>
      </c>
      <c r="C803" s="9">
        <v>212276622</v>
      </c>
      <c r="D803" s="10" t="s">
        <v>937</v>
      </c>
      <c r="E803" s="42" t="s">
        <v>1997</v>
      </c>
      <c r="F803" s="21"/>
      <c r="G803" s="50"/>
      <c r="H803" s="21"/>
      <c r="I803" s="50"/>
      <c r="J803" s="21"/>
      <c r="K803" s="21"/>
      <c r="L803" s="50"/>
      <c r="M803" s="51"/>
      <c r="N803" s="21"/>
      <c r="O803" s="50"/>
      <c r="P803" s="21"/>
      <c r="Q803" s="50"/>
      <c r="R803" s="21"/>
      <c r="S803" s="21"/>
      <c r="T803" s="50"/>
      <c r="U803" s="51">
        <f t="shared" si="124"/>
        <v>0</v>
      </c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>
        <v>205223314</v>
      </c>
      <c r="AN803" s="51">
        <f>SUBTOTAL(9,AC803:AM803)</f>
        <v>205223314</v>
      </c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>
        <v>233646910</v>
      </c>
      <c r="AZ803" s="51"/>
      <c r="BA803" s="51">
        <f>VLOOKUP(B803,[1]Hoja3!J$3:K$674,2,0)</f>
        <v>202069003</v>
      </c>
      <c r="BB803" s="51"/>
      <c r="BC803" s="52">
        <f t="shared" si="127"/>
        <v>640939227</v>
      </c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>
        <v>46729382</v>
      </c>
      <c r="BO803" s="51"/>
      <c r="BP803" s="52">
        <v>687668609</v>
      </c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>
        <v>46729382</v>
      </c>
      <c r="CD803" s="52"/>
      <c r="CE803" s="52"/>
      <c r="CF803" s="52"/>
      <c r="CG803" s="52">
        <f t="shared" si="128"/>
        <v>734397991</v>
      </c>
      <c r="CH803" s="52"/>
      <c r="CI803" s="52"/>
      <c r="CJ803" s="52"/>
      <c r="CK803" s="52"/>
      <c r="CL803" s="52"/>
      <c r="CM803" s="52"/>
      <c r="CN803" s="52"/>
      <c r="CO803" s="52"/>
      <c r="CP803" s="52"/>
      <c r="CQ803" s="52">
        <v>46729382</v>
      </c>
      <c r="CR803" s="52"/>
      <c r="CS803" s="52">
        <f t="shared" si="125"/>
        <v>781127373</v>
      </c>
      <c r="CT803" s="53">
        <v>373835056</v>
      </c>
      <c r="CU803" s="53">
        <f t="shared" si="126"/>
        <v>407292317</v>
      </c>
      <c r="CV803" s="54">
        <f t="shared" si="129"/>
        <v>781127373</v>
      </c>
      <c r="CW803" s="55">
        <f t="shared" si="130"/>
        <v>0</v>
      </c>
      <c r="CX803" s="16"/>
      <c r="CY803" s="16"/>
      <c r="CZ803" s="16"/>
    </row>
    <row r="804" spans="1:108" ht="15" customHeight="1" x14ac:dyDescent="0.2">
      <c r="A804" s="1">
        <v>8907009118</v>
      </c>
      <c r="B804" s="1">
        <v>890700911</v>
      </c>
      <c r="C804" s="9">
        <v>212273622</v>
      </c>
      <c r="D804" s="10" t="s">
        <v>2235</v>
      </c>
      <c r="E804" s="42" t="s">
        <v>1962</v>
      </c>
      <c r="F804" s="21"/>
      <c r="G804" s="50"/>
      <c r="H804" s="21"/>
      <c r="I804" s="50"/>
      <c r="J804" s="21"/>
      <c r="K804" s="21"/>
      <c r="L804" s="50"/>
      <c r="M804" s="51"/>
      <c r="N804" s="21"/>
      <c r="O804" s="50"/>
      <c r="P804" s="21"/>
      <c r="Q804" s="50"/>
      <c r="R804" s="21"/>
      <c r="S804" s="21"/>
      <c r="T804" s="50"/>
      <c r="U804" s="51">
        <f t="shared" si="124"/>
        <v>0</v>
      </c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>
        <v>43022720</v>
      </c>
      <c r="AZ804" s="51"/>
      <c r="BA804" s="51">
        <f>VLOOKUP(B804,[1]Hoja3!J$3:K$674,2,0)</f>
        <v>114618688</v>
      </c>
      <c r="BB804" s="51"/>
      <c r="BC804" s="52">
        <f t="shared" si="127"/>
        <v>157641408</v>
      </c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>
        <v>8604544</v>
      </c>
      <c r="BO804" s="51"/>
      <c r="BP804" s="52">
        <v>166245952</v>
      </c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>
        <v>8604544</v>
      </c>
      <c r="CD804" s="52"/>
      <c r="CE804" s="52"/>
      <c r="CF804" s="52"/>
      <c r="CG804" s="52">
        <f t="shared" si="128"/>
        <v>174850496</v>
      </c>
      <c r="CH804" s="52"/>
      <c r="CI804" s="52"/>
      <c r="CJ804" s="52"/>
      <c r="CK804" s="52"/>
      <c r="CL804" s="52"/>
      <c r="CM804" s="52"/>
      <c r="CN804" s="52"/>
      <c r="CO804" s="52"/>
      <c r="CP804" s="52"/>
      <c r="CQ804" s="52">
        <v>8604544</v>
      </c>
      <c r="CR804" s="52"/>
      <c r="CS804" s="52">
        <f t="shared" si="125"/>
        <v>183455040</v>
      </c>
      <c r="CT804" s="53">
        <v>68836352</v>
      </c>
      <c r="CU804" s="53">
        <f t="shared" si="126"/>
        <v>114618688</v>
      </c>
      <c r="CV804" s="54">
        <f t="shared" si="129"/>
        <v>183455040</v>
      </c>
      <c r="CW804" s="55">
        <f t="shared" si="130"/>
        <v>0</v>
      </c>
      <c r="CX804" s="16"/>
      <c r="CY804" s="16"/>
      <c r="CZ804" s="16"/>
    </row>
    <row r="805" spans="1:108" ht="15" customHeight="1" x14ac:dyDescent="0.2">
      <c r="A805" s="1">
        <v>8918017703</v>
      </c>
      <c r="B805" s="1">
        <v>891801770</v>
      </c>
      <c r="C805" s="9">
        <v>212115621</v>
      </c>
      <c r="D805" s="10" t="s">
        <v>292</v>
      </c>
      <c r="E805" s="46" t="s">
        <v>1323</v>
      </c>
      <c r="F805" s="21"/>
      <c r="G805" s="50"/>
      <c r="H805" s="21"/>
      <c r="I805" s="50"/>
      <c r="J805" s="21"/>
      <c r="K805" s="21"/>
      <c r="L805" s="50"/>
      <c r="M805" s="51"/>
      <c r="N805" s="21"/>
      <c r="O805" s="50"/>
      <c r="P805" s="21"/>
      <c r="Q805" s="50"/>
      <c r="R805" s="21"/>
      <c r="S805" s="21"/>
      <c r="T805" s="50"/>
      <c r="U805" s="51">
        <f t="shared" si="124"/>
        <v>0</v>
      </c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>
        <v>25486181</v>
      </c>
      <c r="AN805" s="51">
        <f t="shared" ref="AN805:AN811" si="133">SUBTOTAL(9,AC805:AM805)</f>
        <v>25486181</v>
      </c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>
        <f>VLOOKUP(B805,[1]Hoja3!J$3:K$674,2,0)</f>
        <v>17314675</v>
      </c>
      <c r="BB805" s="51"/>
      <c r="BC805" s="52">
        <f t="shared" si="127"/>
        <v>42800856</v>
      </c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>
        <v>0</v>
      </c>
      <c r="BO805" s="51"/>
      <c r="BP805" s="52">
        <v>42800856</v>
      </c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>
        <v>0</v>
      </c>
      <c r="CD805" s="52"/>
      <c r="CE805" s="52"/>
      <c r="CF805" s="52"/>
      <c r="CG805" s="52">
        <f t="shared" si="128"/>
        <v>42800856</v>
      </c>
      <c r="CH805" s="52"/>
      <c r="CI805" s="52"/>
      <c r="CJ805" s="52"/>
      <c r="CK805" s="52"/>
      <c r="CL805" s="52"/>
      <c r="CM805" s="52"/>
      <c r="CN805" s="52"/>
      <c r="CO805" s="52"/>
      <c r="CP805" s="52"/>
      <c r="CQ805" s="52">
        <v>0</v>
      </c>
      <c r="CR805" s="52"/>
      <c r="CS805" s="52">
        <f t="shared" si="125"/>
        <v>42800856</v>
      </c>
      <c r="CT805" s="53"/>
      <c r="CU805" s="53">
        <f t="shared" si="126"/>
        <v>42800856</v>
      </c>
      <c r="CV805" s="54">
        <f t="shared" si="129"/>
        <v>42800856</v>
      </c>
      <c r="CW805" s="55">
        <f t="shared" si="130"/>
        <v>0</v>
      </c>
      <c r="CX805" s="16"/>
      <c r="CY805" s="8"/>
      <c r="CZ805" s="8"/>
      <c r="DA805" s="8"/>
      <c r="DB805" s="8"/>
      <c r="DC805" s="8"/>
      <c r="DD805" s="8"/>
    </row>
    <row r="806" spans="1:108" ht="15" customHeight="1" x14ac:dyDescent="0.2">
      <c r="A806" s="1">
        <v>8000959834</v>
      </c>
      <c r="B806" s="1">
        <v>800095983</v>
      </c>
      <c r="C806" s="9">
        <v>212219622</v>
      </c>
      <c r="D806" s="10" t="s">
        <v>401</v>
      </c>
      <c r="E806" s="46" t="s">
        <v>1429</v>
      </c>
      <c r="F806" s="21"/>
      <c r="G806" s="50"/>
      <c r="H806" s="21"/>
      <c r="I806" s="50"/>
      <c r="J806" s="21"/>
      <c r="K806" s="21"/>
      <c r="L806" s="50"/>
      <c r="M806" s="51"/>
      <c r="N806" s="21"/>
      <c r="O806" s="50"/>
      <c r="P806" s="21"/>
      <c r="Q806" s="50"/>
      <c r="R806" s="21"/>
      <c r="S806" s="21"/>
      <c r="T806" s="50"/>
      <c r="U806" s="51">
        <f t="shared" si="124"/>
        <v>0</v>
      </c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>
        <v>99232863</v>
      </c>
      <c r="AN806" s="51">
        <f t="shared" si="133"/>
        <v>99232863</v>
      </c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>
        <v>82506380</v>
      </c>
      <c r="AZ806" s="51"/>
      <c r="BA806" s="51">
        <f>VLOOKUP(B806,[1]Hoja3!J$3:K$674,2,0)</f>
        <v>40860058</v>
      </c>
      <c r="BB806" s="51"/>
      <c r="BC806" s="52">
        <f t="shared" si="127"/>
        <v>222599301</v>
      </c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>
        <v>16501276</v>
      </c>
      <c r="BO806" s="51"/>
      <c r="BP806" s="52">
        <v>239100577</v>
      </c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>
        <v>16501276</v>
      </c>
      <c r="CD806" s="52"/>
      <c r="CE806" s="52"/>
      <c r="CF806" s="52"/>
      <c r="CG806" s="52">
        <f t="shared" si="128"/>
        <v>255601853</v>
      </c>
      <c r="CH806" s="52"/>
      <c r="CI806" s="52"/>
      <c r="CJ806" s="52"/>
      <c r="CK806" s="52"/>
      <c r="CL806" s="52"/>
      <c r="CM806" s="52"/>
      <c r="CN806" s="52"/>
      <c r="CO806" s="52"/>
      <c r="CP806" s="52"/>
      <c r="CQ806" s="52">
        <v>16501276</v>
      </c>
      <c r="CR806" s="52"/>
      <c r="CS806" s="52">
        <f t="shared" si="125"/>
        <v>272103129</v>
      </c>
      <c r="CT806" s="53">
        <v>132010208</v>
      </c>
      <c r="CU806" s="53">
        <f t="shared" si="126"/>
        <v>140092921</v>
      </c>
      <c r="CV806" s="54">
        <f t="shared" si="129"/>
        <v>272103129</v>
      </c>
      <c r="CW806" s="55">
        <f t="shared" si="130"/>
        <v>0</v>
      </c>
      <c r="CX806" s="16"/>
      <c r="CY806" s="16"/>
      <c r="CZ806" s="16"/>
    </row>
    <row r="807" spans="1:108" ht="15" customHeight="1" x14ac:dyDescent="0.2">
      <c r="A807" s="1">
        <v>8001001389</v>
      </c>
      <c r="B807" s="1">
        <v>800100138</v>
      </c>
      <c r="C807" s="9">
        <v>212473624</v>
      </c>
      <c r="D807" s="10" t="s">
        <v>2246</v>
      </c>
      <c r="E807" s="46" t="s">
        <v>1963</v>
      </c>
      <c r="F807" s="21"/>
      <c r="G807" s="50"/>
      <c r="H807" s="21"/>
      <c r="I807" s="50"/>
      <c r="J807" s="21"/>
      <c r="K807" s="21"/>
      <c r="L807" s="50"/>
      <c r="M807" s="51"/>
      <c r="N807" s="21"/>
      <c r="O807" s="50"/>
      <c r="P807" s="21"/>
      <c r="Q807" s="50"/>
      <c r="R807" s="21"/>
      <c r="S807" s="21"/>
      <c r="T807" s="50"/>
      <c r="U807" s="51">
        <f t="shared" si="124"/>
        <v>0</v>
      </c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>
        <v>238682896</v>
      </c>
      <c r="AN807" s="51">
        <f t="shared" si="133"/>
        <v>238682896</v>
      </c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>
        <v>204865620</v>
      </c>
      <c r="AZ807" s="51"/>
      <c r="BA807" s="51">
        <f>VLOOKUP(B807,[1]Hoja3!J$3:K$674,2,0)</f>
        <v>214434192</v>
      </c>
      <c r="BB807" s="51"/>
      <c r="BC807" s="52">
        <f t="shared" si="127"/>
        <v>657982708</v>
      </c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>
        <v>40973124</v>
      </c>
      <c r="BO807" s="51"/>
      <c r="BP807" s="52">
        <v>698955832</v>
      </c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>
        <v>40973124</v>
      </c>
      <c r="CD807" s="52"/>
      <c r="CE807" s="52"/>
      <c r="CF807" s="52"/>
      <c r="CG807" s="52">
        <f t="shared" si="128"/>
        <v>739928956</v>
      </c>
      <c r="CH807" s="52"/>
      <c r="CI807" s="52"/>
      <c r="CJ807" s="52"/>
      <c r="CK807" s="52"/>
      <c r="CL807" s="52"/>
      <c r="CM807" s="52"/>
      <c r="CN807" s="52"/>
      <c r="CO807" s="52"/>
      <c r="CP807" s="52"/>
      <c r="CQ807" s="52">
        <v>40973124</v>
      </c>
      <c r="CR807" s="52"/>
      <c r="CS807" s="52">
        <f t="shared" si="125"/>
        <v>780902080</v>
      </c>
      <c r="CT807" s="53">
        <v>327784992</v>
      </c>
      <c r="CU807" s="53">
        <f t="shared" si="126"/>
        <v>453117088</v>
      </c>
      <c r="CV807" s="54">
        <f t="shared" si="129"/>
        <v>780902080</v>
      </c>
      <c r="CW807" s="55">
        <f t="shared" si="130"/>
        <v>0</v>
      </c>
      <c r="CX807" s="16"/>
      <c r="CY807" s="16"/>
      <c r="CZ807" s="16"/>
    </row>
    <row r="808" spans="1:108" ht="15" customHeight="1" x14ac:dyDescent="0.2">
      <c r="A808" s="1">
        <v>8000371752</v>
      </c>
      <c r="B808" s="1">
        <v>800037175</v>
      </c>
      <c r="C808" s="9">
        <v>215713657</v>
      </c>
      <c r="D808" s="10" t="s">
        <v>2159</v>
      </c>
      <c r="E808" s="46" t="s">
        <v>1238</v>
      </c>
      <c r="F808" s="21"/>
      <c r="G808" s="50"/>
      <c r="H808" s="21"/>
      <c r="I808" s="50"/>
      <c r="J808" s="21"/>
      <c r="K808" s="21"/>
      <c r="L808" s="50"/>
      <c r="M808" s="51"/>
      <c r="N808" s="21"/>
      <c r="O808" s="50"/>
      <c r="P808" s="21"/>
      <c r="Q808" s="50"/>
      <c r="R808" s="21"/>
      <c r="S808" s="21"/>
      <c r="T808" s="50"/>
      <c r="U808" s="51">
        <f t="shared" si="124"/>
        <v>0</v>
      </c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>
        <v>125628349</v>
      </c>
      <c r="AN808" s="51">
        <f t="shared" si="133"/>
        <v>125628349</v>
      </c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>
        <v>388101425</v>
      </c>
      <c r="AZ808" s="51"/>
      <c r="BA808" s="51">
        <f>VLOOKUP(B808,[1]Hoja3!J$3:K$674,2,0)</f>
        <v>445004036</v>
      </c>
      <c r="BB808" s="51"/>
      <c r="BC808" s="52">
        <f t="shared" si="127"/>
        <v>958733810</v>
      </c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>
        <v>77620285</v>
      </c>
      <c r="BO808" s="51"/>
      <c r="BP808" s="52">
        <v>1036354095</v>
      </c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>
        <v>77620285</v>
      </c>
      <c r="CD808" s="52"/>
      <c r="CE808" s="52"/>
      <c r="CF808" s="52"/>
      <c r="CG808" s="52">
        <f t="shared" si="128"/>
        <v>1113974380</v>
      </c>
      <c r="CH808" s="52"/>
      <c r="CI808" s="52"/>
      <c r="CJ808" s="52"/>
      <c r="CK808" s="52"/>
      <c r="CL808" s="52"/>
      <c r="CM808" s="52"/>
      <c r="CN808" s="52"/>
      <c r="CO808" s="52"/>
      <c r="CP808" s="52"/>
      <c r="CQ808" s="52">
        <v>77620285</v>
      </c>
      <c r="CR808" s="52"/>
      <c r="CS808" s="52">
        <f t="shared" si="125"/>
        <v>1191594665</v>
      </c>
      <c r="CT808" s="53">
        <v>620962280</v>
      </c>
      <c r="CU808" s="53">
        <f t="shared" si="126"/>
        <v>570632385</v>
      </c>
      <c r="CV808" s="54">
        <f t="shared" si="129"/>
        <v>1191594665</v>
      </c>
      <c r="CW808" s="55">
        <f t="shared" si="130"/>
        <v>0</v>
      </c>
      <c r="CX808" s="16"/>
      <c r="CY808" s="8"/>
      <c r="CZ808" s="8"/>
      <c r="DA808" s="8"/>
      <c r="DB808" s="8"/>
      <c r="DC808" s="8"/>
      <c r="DD808" s="8"/>
    </row>
    <row r="809" spans="1:108" ht="15" customHeight="1" x14ac:dyDescent="0.2">
      <c r="A809" s="1">
        <v>8000434862</v>
      </c>
      <c r="B809" s="1">
        <v>800043486</v>
      </c>
      <c r="C809" s="9">
        <v>216713667</v>
      </c>
      <c r="D809" s="10" t="s">
        <v>2160</v>
      </c>
      <c r="E809" s="46" t="s">
        <v>1239</v>
      </c>
      <c r="F809" s="21"/>
      <c r="G809" s="50"/>
      <c r="H809" s="21"/>
      <c r="I809" s="50"/>
      <c r="J809" s="21"/>
      <c r="K809" s="21"/>
      <c r="L809" s="50"/>
      <c r="M809" s="51"/>
      <c r="N809" s="21"/>
      <c r="O809" s="50"/>
      <c r="P809" s="21"/>
      <c r="Q809" s="50"/>
      <c r="R809" s="21"/>
      <c r="S809" s="21"/>
      <c r="T809" s="50"/>
      <c r="U809" s="51">
        <f t="shared" si="124"/>
        <v>0</v>
      </c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>
        <v>158863000</v>
      </c>
      <c r="AN809" s="51">
        <f t="shared" si="133"/>
        <v>158863000</v>
      </c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>
        <f>VLOOKUP(B809,[1]Hoja3!J$3:K$674,2,0)</f>
        <v>179939579</v>
      </c>
      <c r="BB809" s="51"/>
      <c r="BC809" s="52">
        <f t="shared" si="127"/>
        <v>338802579</v>
      </c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>
        <v>43877943</v>
      </c>
      <c r="BO809" s="51"/>
      <c r="BP809" s="52">
        <v>382680522</v>
      </c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>
        <v>43877943</v>
      </c>
      <c r="CD809" s="52">
        <v>219389715</v>
      </c>
      <c r="CE809" s="52"/>
      <c r="CF809" s="52"/>
      <c r="CG809" s="52">
        <f t="shared" si="128"/>
        <v>645948180</v>
      </c>
      <c r="CH809" s="52"/>
      <c r="CI809" s="52"/>
      <c r="CJ809" s="52"/>
      <c r="CK809" s="52"/>
      <c r="CL809" s="52"/>
      <c r="CM809" s="52"/>
      <c r="CN809" s="52"/>
      <c r="CO809" s="52"/>
      <c r="CP809" s="52"/>
      <c r="CQ809" s="52">
        <v>43877943</v>
      </c>
      <c r="CR809" s="52"/>
      <c r="CS809" s="52">
        <f t="shared" si="125"/>
        <v>689826123</v>
      </c>
      <c r="CT809" s="53">
        <v>351023544</v>
      </c>
      <c r="CU809" s="53">
        <f t="shared" si="126"/>
        <v>338802579</v>
      </c>
      <c r="CV809" s="54">
        <f t="shared" si="129"/>
        <v>689826123</v>
      </c>
      <c r="CW809" s="55">
        <f t="shared" si="130"/>
        <v>0</v>
      </c>
      <c r="CX809" s="16"/>
      <c r="CY809" s="8"/>
      <c r="CZ809" s="8"/>
      <c r="DA809" s="8"/>
      <c r="DB809" s="8"/>
      <c r="DC809" s="8"/>
      <c r="DD809" s="8"/>
    </row>
    <row r="810" spans="1:108" ht="15" customHeight="1" x14ac:dyDescent="0.2">
      <c r="A810" s="1">
        <v>8902046431</v>
      </c>
      <c r="B810" s="1">
        <v>890204643</v>
      </c>
      <c r="C810" s="9">
        <v>215568655</v>
      </c>
      <c r="D810" s="10" t="s">
        <v>872</v>
      </c>
      <c r="E810" s="46" t="s">
        <v>1884</v>
      </c>
      <c r="F810" s="21"/>
      <c r="G810" s="50"/>
      <c r="H810" s="21"/>
      <c r="I810" s="50"/>
      <c r="J810" s="21"/>
      <c r="K810" s="21"/>
      <c r="L810" s="50"/>
      <c r="M810" s="51"/>
      <c r="N810" s="21"/>
      <c r="O810" s="50"/>
      <c r="P810" s="21"/>
      <c r="Q810" s="50"/>
      <c r="R810" s="21"/>
      <c r="S810" s="21"/>
      <c r="T810" s="50"/>
      <c r="U810" s="51">
        <f t="shared" si="124"/>
        <v>0</v>
      </c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>
        <v>268112376</v>
      </c>
      <c r="AN810" s="51">
        <f t="shared" si="133"/>
        <v>268112376</v>
      </c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>
        <v>199687195</v>
      </c>
      <c r="AZ810" s="51"/>
      <c r="BA810" s="51">
        <f>VLOOKUP(B810,[1]Hoja3!J$3:K$674,2,0)</f>
        <v>229609924</v>
      </c>
      <c r="BB810" s="51"/>
      <c r="BC810" s="52">
        <f t="shared" si="127"/>
        <v>697409495</v>
      </c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>
        <v>39937439</v>
      </c>
      <c r="BO810" s="51"/>
      <c r="BP810" s="52">
        <v>737346934</v>
      </c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>
        <v>39937439</v>
      </c>
      <c r="CD810" s="52"/>
      <c r="CE810" s="52"/>
      <c r="CF810" s="52"/>
      <c r="CG810" s="52">
        <f t="shared" si="128"/>
        <v>777284373</v>
      </c>
      <c r="CH810" s="52"/>
      <c r="CI810" s="52"/>
      <c r="CJ810" s="52"/>
      <c r="CK810" s="52"/>
      <c r="CL810" s="52"/>
      <c r="CM810" s="52"/>
      <c r="CN810" s="52"/>
      <c r="CO810" s="52"/>
      <c r="CP810" s="52"/>
      <c r="CQ810" s="52">
        <v>39937439</v>
      </c>
      <c r="CR810" s="52"/>
      <c r="CS810" s="52">
        <f t="shared" si="125"/>
        <v>817221812</v>
      </c>
      <c r="CT810" s="53">
        <v>319499512</v>
      </c>
      <c r="CU810" s="53">
        <f t="shared" si="126"/>
        <v>497722300</v>
      </c>
      <c r="CV810" s="54">
        <f t="shared" si="129"/>
        <v>817221812</v>
      </c>
      <c r="CW810" s="55">
        <f t="shared" si="130"/>
        <v>0</v>
      </c>
      <c r="CX810" s="16"/>
      <c r="CY810" s="16"/>
      <c r="CZ810" s="16"/>
    </row>
    <row r="811" spans="1:108" ht="15" customHeight="1" x14ac:dyDescent="0.2">
      <c r="A811" s="1">
        <v>8901159821</v>
      </c>
      <c r="B811" s="1">
        <v>890115982</v>
      </c>
      <c r="C811" s="9">
        <v>213408634</v>
      </c>
      <c r="D811" s="10" t="s">
        <v>174</v>
      </c>
      <c r="E811" s="46" t="s">
        <v>1203</v>
      </c>
      <c r="F811" s="21"/>
      <c r="G811" s="50"/>
      <c r="H811" s="21"/>
      <c r="I811" s="50"/>
      <c r="J811" s="21"/>
      <c r="K811" s="21"/>
      <c r="L811" s="50"/>
      <c r="M811" s="51"/>
      <c r="N811" s="21"/>
      <c r="O811" s="50"/>
      <c r="P811" s="21"/>
      <c r="Q811" s="50"/>
      <c r="R811" s="21"/>
      <c r="S811" s="21"/>
      <c r="T811" s="50"/>
      <c r="U811" s="51">
        <f t="shared" si="124"/>
        <v>0</v>
      </c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>
        <v>229148245</v>
      </c>
      <c r="AN811" s="51">
        <f t="shared" si="133"/>
        <v>229148245</v>
      </c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>
        <v>209406100</v>
      </c>
      <c r="AZ811" s="51"/>
      <c r="BA811" s="51">
        <f>VLOOKUP(B811,[1]Hoja3!J$3:K$674,2,0)</f>
        <v>102557394</v>
      </c>
      <c r="BB811" s="51"/>
      <c r="BC811" s="52">
        <f t="shared" si="127"/>
        <v>541111739</v>
      </c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>
        <v>41881220</v>
      </c>
      <c r="BO811" s="51"/>
      <c r="BP811" s="52">
        <v>582992959</v>
      </c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>
        <v>41881220</v>
      </c>
      <c r="CD811" s="52"/>
      <c r="CE811" s="52"/>
      <c r="CF811" s="52"/>
      <c r="CG811" s="52">
        <f t="shared" si="128"/>
        <v>624874179</v>
      </c>
      <c r="CH811" s="52"/>
      <c r="CI811" s="52"/>
      <c r="CJ811" s="52"/>
      <c r="CK811" s="52"/>
      <c r="CL811" s="52"/>
      <c r="CM811" s="52"/>
      <c r="CN811" s="52"/>
      <c r="CO811" s="52"/>
      <c r="CP811" s="52"/>
      <c r="CQ811" s="52">
        <v>41881220</v>
      </c>
      <c r="CR811" s="52"/>
      <c r="CS811" s="52">
        <f t="shared" si="125"/>
        <v>666755399</v>
      </c>
      <c r="CT811" s="53">
        <v>335049760</v>
      </c>
      <c r="CU811" s="53">
        <f t="shared" si="126"/>
        <v>331705639</v>
      </c>
      <c r="CV811" s="54">
        <f t="shared" si="129"/>
        <v>666755399</v>
      </c>
      <c r="CW811" s="55">
        <f t="shared" si="130"/>
        <v>0</v>
      </c>
      <c r="CX811" s="16"/>
      <c r="CY811" s="16"/>
      <c r="CZ811" s="16"/>
    </row>
    <row r="812" spans="1:108" ht="15" customHeight="1" x14ac:dyDescent="0.2">
      <c r="A812" s="1">
        <v>8909837369</v>
      </c>
      <c r="B812" s="1">
        <v>890983736</v>
      </c>
      <c r="C812" s="9">
        <v>212805628</v>
      </c>
      <c r="D812" s="10" t="s">
        <v>124</v>
      </c>
      <c r="E812" s="46" t="s">
        <v>1153</v>
      </c>
      <c r="F812" s="21"/>
      <c r="G812" s="50"/>
      <c r="H812" s="21"/>
      <c r="I812" s="50"/>
      <c r="J812" s="21"/>
      <c r="K812" s="21"/>
      <c r="L812" s="50"/>
      <c r="M812" s="51"/>
      <c r="N812" s="21"/>
      <c r="O812" s="50"/>
      <c r="P812" s="21"/>
      <c r="Q812" s="50"/>
      <c r="R812" s="21"/>
      <c r="S812" s="21"/>
      <c r="T812" s="50"/>
      <c r="U812" s="51">
        <f t="shared" si="124"/>
        <v>0</v>
      </c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>
        <v>75178600</v>
      </c>
      <c r="AZ812" s="51"/>
      <c r="BA812" s="51">
        <f>VLOOKUP(B812,[1]Hoja3!J$3:K$674,2,0)</f>
        <v>130154951</v>
      </c>
      <c r="BB812" s="51"/>
      <c r="BC812" s="52">
        <f t="shared" si="127"/>
        <v>205333551</v>
      </c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>
        <v>15035720</v>
      </c>
      <c r="BO812" s="51"/>
      <c r="BP812" s="52">
        <v>220369271</v>
      </c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>
        <v>15035720</v>
      </c>
      <c r="CD812" s="52"/>
      <c r="CE812" s="52"/>
      <c r="CF812" s="52"/>
      <c r="CG812" s="52">
        <f t="shared" si="128"/>
        <v>235404991</v>
      </c>
      <c r="CH812" s="52"/>
      <c r="CI812" s="52"/>
      <c r="CJ812" s="52"/>
      <c r="CK812" s="52"/>
      <c r="CL812" s="52"/>
      <c r="CM812" s="52"/>
      <c r="CN812" s="52"/>
      <c r="CO812" s="52"/>
      <c r="CP812" s="52"/>
      <c r="CQ812" s="52">
        <v>15035720</v>
      </c>
      <c r="CR812" s="52"/>
      <c r="CS812" s="52">
        <f t="shared" si="125"/>
        <v>250440711</v>
      </c>
      <c r="CT812" s="53">
        <v>120285760</v>
      </c>
      <c r="CU812" s="53">
        <f t="shared" si="126"/>
        <v>130154951</v>
      </c>
      <c r="CV812" s="54">
        <f t="shared" si="129"/>
        <v>250440711</v>
      </c>
      <c r="CW812" s="55">
        <f t="shared" si="130"/>
        <v>0</v>
      </c>
      <c r="CX812" s="16"/>
      <c r="CY812" s="16"/>
      <c r="CZ812" s="16"/>
    </row>
    <row r="813" spans="1:108" ht="15" customHeight="1" x14ac:dyDescent="0.2">
      <c r="A813" s="1">
        <v>8000948444</v>
      </c>
      <c r="B813" s="1">
        <v>800094844</v>
      </c>
      <c r="C813" s="9">
        <v>213808638</v>
      </c>
      <c r="D813" s="10" t="s">
        <v>175</v>
      </c>
      <c r="E813" s="46" t="s">
        <v>1204</v>
      </c>
      <c r="F813" s="21"/>
      <c r="G813" s="50"/>
      <c r="H813" s="21"/>
      <c r="I813" s="50"/>
      <c r="J813" s="21"/>
      <c r="K813" s="21"/>
      <c r="L813" s="50"/>
      <c r="M813" s="51"/>
      <c r="N813" s="21"/>
      <c r="O813" s="50"/>
      <c r="P813" s="21"/>
      <c r="Q813" s="50"/>
      <c r="R813" s="21"/>
      <c r="S813" s="21"/>
      <c r="T813" s="50"/>
      <c r="U813" s="51">
        <f t="shared" si="124"/>
        <v>0</v>
      </c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>
        <v>1374709621</v>
      </c>
      <c r="AN813" s="51">
        <f>SUBTOTAL(9,AC813:AM813)</f>
        <v>1374709621</v>
      </c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>
        <v>572493255</v>
      </c>
      <c r="AZ813" s="51"/>
      <c r="BA813" s="51"/>
      <c r="BB813" s="51"/>
      <c r="BC813" s="52">
        <f t="shared" si="127"/>
        <v>1947202876</v>
      </c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>
        <v>114498651</v>
      </c>
      <c r="BO813" s="51"/>
      <c r="BP813" s="52">
        <v>2061701527</v>
      </c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>
        <v>114498651</v>
      </c>
      <c r="CD813" s="52"/>
      <c r="CE813" s="52">
        <v>23370014</v>
      </c>
      <c r="CF813" s="52"/>
      <c r="CG813" s="52">
        <f t="shared" si="128"/>
        <v>2199570192</v>
      </c>
      <c r="CH813" s="52"/>
      <c r="CI813" s="52"/>
      <c r="CJ813" s="52"/>
      <c r="CK813" s="52"/>
      <c r="CL813" s="52"/>
      <c r="CM813" s="52"/>
      <c r="CN813" s="52"/>
      <c r="CO813" s="52"/>
      <c r="CP813" s="52"/>
      <c r="CQ813" s="52">
        <v>114498651</v>
      </c>
      <c r="CR813" s="52"/>
      <c r="CS813" s="52">
        <f t="shared" si="125"/>
        <v>2314068843</v>
      </c>
      <c r="CT813" s="53">
        <v>915989208</v>
      </c>
      <c r="CU813" s="53">
        <f t="shared" si="126"/>
        <v>1398079635</v>
      </c>
      <c r="CV813" s="54">
        <f t="shared" si="129"/>
        <v>2314068843</v>
      </c>
      <c r="CW813" s="55">
        <f t="shared" si="130"/>
        <v>0</v>
      </c>
      <c r="CX813" s="16"/>
      <c r="CY813" s="16"/>
      <c r="CZ813" s="16"/>
    </row>
    <row r="814" spans="1:108" ht="15" customHeight="1" x14ac:dyDescent="0.2">
      <c r="A814" s="1">
        <v>8918578236</v>
      </c>
      <c r="B814" s="1">
        <v>891857823</v>
      </c>
      <c r="C814" s="9">
        <v>210085300</v>
      </c>
      <c r="D814" s="10" t="s">
        <v>967</v>
      </c>
      <c r="E814" s="48" t="s">
        <v>2250</v>
      </c>
      <c r="F814" s="21"/>
      <c r="G814" s="50"/>
      <c r="H814" s="21"/>
      <c r="I814" s="50"/>
      <c r="J814" s="21"/>
      <c r="K814" s="21"/>
      <c r="L814" s="50"/>
      <c r="M814" s="51"/>
      <c r="N814" s="21"/>
      <c r="O814" s="50"/>
      <c r="P814" s="21"/>
      <c r="Q814" s="50"/>
      <c r="R814" s="21"/>
      <c r="S814" s="21"/>
      <c r="T814" s="50"/>
      <c r="U814" s="51">
        <f t="shared" si="124"/>
        <v>0</v>
      </c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>
        <v>60101919</v>
      </c>
      <c r="AN814" s="51">
        <f>SUBTOTAL(9,AC814:AM814)</f>
        <v>60101919</v>
      </c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>
        <v>29934620</v>
      </c>
      <c r="AZ814" s="51"/>
      <c r="BA814" s="51"/>
      <c r="BB814" s="51"/>
      <c r="BC814" s="52">
        <f t="shared" si="127"/>
        <v>90036539</v>
      </c>
      <c r="BD814" s="51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>
        <v>5986924</v>
      </c>
      <c r="BO814" s="51"/>
      <c r="BP814" s="52">
        <v>96023463</v>
      </c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>
        <v>5986924</v>
      </c>
      <c r="CD814" s="52"/>
      <c r="CE814" s="52"/>
      <c r="CF814" s="52"/>
      <c r="CG814" s="52">
        <f t="shared" si="128"/>
        <v>102010387</v>
      </c>
      <c r="CH814" s="52"/>
      <c r="CI814" s="52"/>
      <c r="CJ814" s="52"/>
      <c r="CK814" s="52"/>
      <c r="CL814" s="52"/>
      <c r="CM814" s="52"/>
      <c r="CN814" s="52"/>
      <c r="CO814" s="52"/>
      <c r="CP814" s="52"/>
      <c r="CQ814" s="52">
        <v>5986924</v>
      </c>
      <c r="CR814" s="52"/>
      <c r="CS814" s="52">
        <f t="shared" si="125"/>
        <v>107997311</v>
      </c>
      <c r="CT814" s="53">
        <v>47895392</v>
      </c>
      <c r="CU814" s="53">
        <f t="shared" si="126"/>
        <v>60101919</v>
      </c>
      <c r="CV814" s="54">
        <f t="shared" si="129"/>
        <v>107997311</v>
      </c>
      <c r="CW814" s="55">
        <f t="shared" si="130"/>
        <v>0</v>
      </c>
      <c r="CX814" s="16"/>
      <c r="CY814" s="16"/>
      <c r="CZ814" s="16"/>
    </row>
    <row r="815" spans="1:108" ht="15" customHeight="1" x14ac:dyDescent="0.2">
      <c r="A815" s="1">
        <v>8190032248</v>
      </c>
      <c r="B815" s="1">
        <v>819003224</v>
      </c>
      <c r="C815" s="9">
        <v>216047660</v>
      </c>
      <c r="D815" s="10" t="s">
        <v>656</v>
      </c>
      <c r="E815" s="46" t="s">
        <v>1676</v>
      </c>
      <c r="F815" s="21"/>
      <c r="G815" s="50"/>
      <c r="H815" s="21"/>
      <c r="I815" s="50"/>
      <c r="J815" s="21"/>
      <c r="K815" s="21"/>
      <c r="L815" s="50"/>
      <c r="M815" s="51"/>
      <c r="N815" s="21"/>
      <c r="O815" s="50"/>
      <c r="P815" s="21"/>
      <c r="Q815" s="50"/>
      <c r="R815" s="21"/>
      <c r="S815" s="21"/>
      <c r="T815" s="50"/>
      <c r="U815" s="51">
        <f t="shared" si="124"/>
        <v>0</v>
      </c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>
        <v>231025790</v>
      </c>
      <c r="AZ815" s="51"/>
      <c r="BA815" s="51">
        <f>VLOOKUP(B815,[1]Hoja3!J$3:K$674,2,0)</f>
        <v>363133031</v>
      </c>
      <c r="BB815" s="51"/>
      <c r="BC815" s="52">
        <f t="shared" si="127"/>
        <v>594158821</v>
      </c>
      <c r="BD815" s="51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>
        <v>46205158</v>
      </c>
      <c r="BO815" s="51"/>
      <c r="BP815" s="52">
        <v>640363979</v>
      </c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>
        <v>46205158</v>
      </c>
      <c r="CD815" s="52"/>
      <c r="CE815" s="52"/>
      <c r="CF815" s="52"/>
      <c r="CG815" s="52">
        <f t="shared" si="128"/>
        <v>686569137</v>
      </c>
      <c r="CH815" s="52"/>
      <c r="CI815" s="52"/>
      <c r="CJ815" s="52"/>
      <c r="CK815" s="52"/>
      <c r="CL815" s="52"/>
      <c r="CM815" s="52"/>
      <c r="CN815" s="52"/>
      <c r="CO815" s="52"/>
      <c r="CP815" s="52"/>
      <c r="CQ815" s="52">
        <v>46205158</v>
      </c>
      <c r="CR815" s="52"/>
      <c r="CS815" s="52">
        <f t="shared" si="125"/>
        <v>732774295</v>
      </c>
      <c r="CT815" s="53">
        <v>369641264</v>
      </c>
      <c r="CU815" s="53">
        <f t="shared" si="126"/>
        <v>363133031</v>
      </c>
      <c r="CV815" s="54">
        <f t="shared" si="129"/>
        <v>732774295</v>
      </c>
      <c r="CW815" s="55">
        <f t="shared" si="130"/>
        <v>0</v>
      </c>
      <c r="CX815" s="16"/>
      <c r="CY815" s="16"/>
      <c r="CZ815" s="16"/>
    </row>
    <row r="816" spans="1:108" ht="15" customHeight="1" x14ac:dyDescent="0.2">
      <c r="A816" s="1">
        <v>8909803316</v>
      </c>
      <c r="B816" s="1">
        <v>890980331</v>
      </c>
      <c r="C816" s="9">
        <v>213105631</v>
      </c>
      <c r="D816" s="10" t="s">
        <v>125</v>
      </c>
      <c r="E816" s="47" t="s">
        <v>1154</v>
      </c>
      <c r="F816" s="21"/>
      <c r="G816" s="50"/>
      <c r="H816" s="21"/>
      <c r="I816" s="50">
        <f>840164734+64881472</f>
        <v>905046206</v>
      </c>
      <c r="J816" s="21">
        <v>63923514</v>
      </c>
      <c r="K816" s="21">
        <v>126642609</v>
      </c>
      <c r="L816" s="50"/>
      <c r="M816" s="52">
        <f>SUM(F816:L816)</f>
        <v>1095612329</v>
      </c>
      <c r="N816" s="21"/>
      <c r="O816" s="50"/>
      <c r="P816" s="21"/>
      <c r="Q816" s="50">
        <f>789140809+29491578</f>
        <v>818632387</v>
      </c>
      <c r="R816" s="21">
        <v>63923514</v>
      </c>
      <c r="S816" s="21">
        <f>62719095+63923514</f>
        <v>126642609</v>
      </c>
      <c r="T816" s="50"/>
      <c r="U816" s="51">
        <f t="shared" si="124"/>
        <v>2104810839</v>
      </c>
      <c r="V816" s="51"/>
      <c r="W816" s="51"/>
      <c r="X816" s="51"/>
      <c r="Y816" s="51">
        <v>1483080821</v>
      </c>
      <c r="Z816" s="51">
        <v>61404552</v>
      </c>
      <c r="AA816" s="51">
        <v>144842152</v>
      </c>
      <c r="AB816" s="51"/>
      <c r="AC816" s="51">
        <f t="shared" si="132"/>
        <v>3794138364</v>
      </c>
      <c r="AD816" s="51"/>
      <c r="AE816" s="51"/>
      <c r="AF816" s="51"/>
      <c r="AG816" s="51"/>
      <c r="AH816" s="51">
        <v>846944219</v>
      </c>
      <c r="AI816" s="51">
        <v>255706232</v>
      </c>
      <c r="AJ816" s="51">
        <v>65347725</v>
      </c>
      <c r="AK816" s="51">
        <v>164708958</v>
      </c>
      <c r="AL816" s="51"/>
      <c r="AM816" s="51">
        <v>503042975</v>
      </c>
      <c r="AN816" s="51">
        <f>SUBTOTAL(9,AC816:AM816)</f>
        <v>5629888473</v>
      </c>
      <c r="AO816" s="51"/>
      <c r="AP816" s="51"/>
      <c r="AQ816" s="51">
        <v>203339010</v>
      </c>
      <c r="AR816" s="51"/>
      <c r="AS816" s="51"/>
      <c r="AT816" s="51">
        <v>846944219</v>
      </c>
      <c r="AU816" s="51"/>
      <c r="AV816" s="51">
        <v>65347725</v>
      </c>
      <c r="AW816" s="51">
        <v>111540250</v>
      </c>
      <c r="AX816" s="51"/>
      <c r="AY816" s="51"/>
      <c r="AZ816" s="51"/>
      <c r="BA816" s="51"/>
      <c r="BB816" s="51"/>
      <c r="BC816" s="52">
        <f t="shared" si="127"/>
        <v>6857059677</v>
      </c>
      <c r="BD816" s="51"/>
      <c r="BE816" s="51"/>
      <c r="BF816" s="51">
        <v>40667802</v>
      </c>
      <c r="BG816" s="51"/>
      <c r="BH816" s="51"/>
      <c r="BI816" s="51">
        <v>872503886</v>
      </c>
      <c r="BJ816" s="51">
        <v>51104148</v>
      </c>
      <c r="BK816" s="51">
        <v>72385338</v>
      </c>
      <c r="BL816" s="51">
        <v>183704873</v>
      </c>
      <c r="BM816" s="51"/>
      <c r="BN816" s="51"/>
      <c r="BO816" s="51"/>
      <c r="BP816" s="52">
        <v>8077425724</v>
      </c>
      <c r="BQ816" s="52"/>
      <c r="BR816" s="52"/>
      <c r="BS816" s="52">
        <v>40667802</v>
      </c>
      <c r="BT816" s="52"/>
      <c r="BU816" s="52"/>
      <c r="BV816" s="52"/>
      <c r="BW816" s="52">
        <v>881045111</v>
      </c>
      <c r="BX816" s="52"/>
      <c r="BY816" s="52">
        <v>418477534</v>
      </c>
      <c r="BZ816" s="52">
        <v>66825418</v>
      </c>
      <c r="CA816" s="52">
        <v>174660157</v>
      </c>
      <c r="CB816" s="52"/>
      <c r="CC816" s="52"/>
      <c r="CD816" s="52"/>
      <c r="CE816" s="52"/>
      <c r="CF816" s="52"/>
      <c r="CG816" s="52">
        <f t="shared" si="128"/>
        <v>9659101746</v>
      </c>
      <c r="CH816" s="52"/>
      <c r="CI816" s="52"/>
      <c r="CJ816" s="52">
        <v>40667802</v>
      </c>
      <c r="CK816" s="52"/>
      <c r="CL816" s="52">
        <v>873221854</v>
      </c>
      <c r="CM816" s="52">
        <v>163277332</v>
      </c>
      <c r="CN816" s="52">
        <v>66563809</v>
      </c>
      <c r="CO816" s="52">
        <v>120253227</v>
      </c>
      <c r="CP816" s="52"/>
      <c r="CQ816" s="52"/>
      <c r="CR816" s="52"/>
      <c r="CS816" s="52">
        <f t="shared" si="125"/>
        <v>10923085770</v>
      </c>
      <c r="CT816" s="53">
        <v>10420042795</v>
      </c>
      <c r="CU816" s="53">
        <f t="shared" si="126"/>
        <v>503042975</v>
      </c>
      <c r="CV816" s="54">
        <f t="shared" si="129"/>
        <v>10923085770</v>
      </c>
      <c r="CW816" s="55">
        <f t="shared" si="130"/>
        <v>0</v>
      </c>
      <c r="CX816" s="16"/>
      <c r="CY816" s="16"/>
      <c r="CZ816" s="16"/>
    </row>
    <row r="817" spans="1:108" ht="15" customHeight="1" x14ac:dyDescent="0.2">
      <c r="A817" s="1">
        <v>8000285171</v>
      </c>
      <c r="B817" s="1">
        <v>800028517</v>
      </c>
      <c r="C817" s="9">
        <v>213215632</v>
      </c>
      <c r="D817" s="10" t="s">
        <v>293</v>
      </c>
      <c r="E817" s="46" t="s">
        <v>1324</v>
      </c>
      <c r="F817" s="21"/>
      <c r="G817" s="50"/>
      <c r="H817" s="21"/>
      <c r="I817" s="50"/>
      <c r="J817" s="21"/>
      <c r="K817" s="21"/>
      <c r="L817" s="50"/>
      <c r="M817" s="51"/>
      <c r="N817" s="21"/>
      <c r="O817" s="50"/>
      <c r="P817" s="21"/>
      <c r="Q817" s="50"/>
      <c r="R817" s="21"/>
      <c r="S817" s="21"/>
      <c r="T817" s="50"/>
      <c r="U817" s="51">
        <f t="shared" si="124"/>
        <v>0</v>
      </c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>
        <v>53793537</v>
      </c>
      <c r="AN817" s="51">
        <f>SUBTOTAL(9,AC817:AM817)</f>
        <v>53793537</v>
      </c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>
        <v>101835620</v>
      </c>
      <c r="AZ817" s="51"/>
      <c r="BA817" s="51">
        <f>VLOOKUP(B817,[1]Hoja3!J$3:K$674,2,0)</f>
        <v>153307564</v>
      </c>
      <c r="BB817" s="51"/>
      <c r="BC817" s="52">
        <f t="shared" si="127"/>
        <v>308936721</v>
      </c>
      <c r="BD817" s="51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>
        <v>20367124</v>
      </c>
      <c r="BO817" s="51"/>
      <c r="BP817" s="52">
        <v>329303845</v>
      </c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>
        <v>20367124</v>
      </c>
      <c r="CD817" s="52"/>
      <c r="CE817" s="52"/>
      <c r="CF817" s="52"/>
      <c r="CG817" s="52">
        <f t="shared" si="128"/>
        <v>349670969</v>
      </c>
      <c r="CH817" s="52"/>
      <c r="CI817" s="52"/>
      <c r="CJ817" s="52"/>
      <c r="CK817" s="52"/>
      <c r="CL817" s="52"/>
      <c r="CM817" s="52"/>
      <c r="CN817" s="52"/>
      <c r="CO817" s="52"/>
      <c r="CP817" s="52"/>
      <c r="CQ817" s="52">
        <v>20367124</v>
      </c>
      <c r="CR817" s="52"/>
      <c r="CS817" s="52">
        <f t="shared" si="125"/>
        <v>370038093</v>
      </c>
      <c r="CT817" s="53">
        <v>162936992</v>
      </c>
      <c r="CU817" s="53">
        <f t="shared" si="126"/>
        <v>207101101</v>
      </c>
      <c r="CV817" s="54">
        <f t="shared" si="129"/>
        <v>370038093</v>
      </c>
      <c r="CW817" s="55">
        <f t="shared" si="130"/>
        <v>0</v>
      </c>
      <c r="CX817" s="16"/>
      <c r="CY817" s="8"/>
      <c r="CZ817" s="8"/>
      <c r="DA817" s="8"/>
      <c r="DB817" s="8"/>
      <c r="DC817" s="8"/>
      <c r="DD817" s="8"/>
    </row>
    <row r="818" spans="1:108" ht="15" customHeight="1" x14ac:dyDescent="0.2">
      <c r="A818" s="1">
        <v>8001036638</v>
      </c>
      <c r="B818" s="1">
        <v>800103663</v>
      </c>
      <c r="C818" s="9">
        <v>211585315</v>
      </c>
      <c r="D818" s="10" t="s">
        <v>968</v>
      </c>
      <c r="E818" s="46" t="s">
        <v>2027</v>
      </c>
      <c r="F818" s="21"/>
      <c r="G818" s="50"/>
      <c r="H818" s="21"/>
      <c r="I818" s="50"/>
      <c r="J818" s="21"/>
      <c r="K818" s="21"/>
      <c r="L818" s="50"/>
      <c r="M818" s="51"/>
      <c r="N818" s="21"/>
      <c r="O818" s="50"/>
      <c r="P818" s="21"/>
      <c r="Q818" s="50"/>
      <c r="R818" s="21"/>
      <c r="S818" s="21"/>
      <c r="T818" s="50"/>
      <c r="U818" s="51">
        <f t="shared" si="124"/>
        <v>0</v>
      </c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>
        <v>19569551</v>
      </c>
      <c r="AN818" s="51">
        <f>SUBTOTAL(9,AC818:AM818)</f>
        <v>19569551</v>
      </c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>
        <v>14363855</v>
      </c>
      <c r="AZ818" s="51"/>
      <c r="BA818" s="51"/>
      <c r="BB818" s="51"/>
      <c r="BC818" s="52">
        <f t="shared" si="127"/>
        <v>33933406</v>
      </c>
      <c r="BD818" s="51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>
        <v>2872771</v>
      </c>
      <c r="BO818" s="51"/>
      <c r="BP818" s="52">
        <v>36806177</v>
      </c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>
        <v>2872771</v>
      </c>
      <c r="CD818" s="52"/>
      <c r="CE818" s="52"/>
      <c r="CF818" s="52"/>
      <c r="CG818" s="52">
        <f t="shared" si="128"/>
        <v>39678948</v>
      </c>
      <c r="CH818" s="52"/>
      <c r="CI818" s="52"/>
      <c r="CJ818" s="52"/>
      <c r="CK818" s="52"/>
      <c r="CL818" s="52"/>
      <c r="CM818" s="52"/>
      <c r="CN818" s="52"/>
      <c r="CO818" s="52"/>
      <c r="CP818" s="52"/>
      <c r="CQ818" s="52">
        <v>2872771</v>
      </c>
      <c r="CR818" s="52"/>
      <c r="CS818" s="52">
        <f t="shared" si="125"/>
        <v>42551719</v>
      </c>
      <c r="CT818" s="53">
        <v>22982168</v>
      </c>
      <c r="CU818" s="53">
        <f t="shared" si="126"/>
        <v>19569551</v>
      </c>
      <c r="CV818" s="54">
        <f t="shared" si="129"/>
        <v>42551719</v>
      </c>
      <c r="CW818" s="55">
        <f t="shared" si="130"/>
        <v>0</v>
      </c>
      <c r="CX818" s="16"/>
      <c r="CY818" s="16"/>
      <c r="CZ818" s="16"/>
    </row>
    <row r="819" spans="1:108" ht="15" customHeight="1" x14ac:dyDescent="0.2">
      <c r="A819" s="1">
        <v>8000198461</v>
      </c>
      <c r="B819" s="1">
        <v>800019846</v>
      </c>
      <c r="C819" s="9">
        <v>213815638</v>
      </c>
      <c r="D819" s="10" t="s">
        <v>294</v>
      </c>
      <c r="E819" s="46" t="s">
        <v>1325</v>
      </c>
      <c r="F819" s="21"/>
      <c r="G819" s="50"/>
      <c r="H819" s="21"/>
      <c r="I819" s="50"/>
      <c r="J819" s="21"/>
      <c r="K819" s="21"/>
      <c r="L819" s="50"/>
      <c r="M819" s="51"/>
      <c r="N819" s="21"/>
      <c r="O819" s="50"/>
      <c r="P819" s="21"/>
      <c r="Q819" s="50"/>
      <c r="R819" s="21"/>
      <c r="S819" s="21"/>
      <c r="T819" s="50"/>
      <c r="U819" s="51">
        <f t="shared" si="124"/>
        <v>0</v>
      </c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>
        <v>26526835</v>
      </c>
      <c r="AZ819" s="51"/>
      <c r="BA819" s="51">
        <f>VLOOKUP(B819,[1]Hoja3!J$3:K$674,2,0)</f>
        <v>52056713</v>
      </c>
      <c r="BB819" s="51"/>
      <c r="BC819" s="52">
        <f t="shared" si="127"/>
        <v>78583548</v>
      </c>
      <c r="BD819" s="51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>
        <v>5305367</v>
      </c>
      <c r="BO819" s="51"/>
      <c r="BP819" s="52">
        <v>83888915</v>
      </c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>
        <v>5305367</v>
      </c>
      <c r="CD819" s="52"/>
      <c r="CE819" s="52"/>
      <c r="CF819" s="52"/>
      <c r="CG819" s="52">
        <f t="shared" si="128"/>
        <v>89194282</v>
      </c>
      <c r="CH819" s="52"/>
      <c r="CI819" s="52"/>
      <c r="CJ819" s="52"/>
      <c r="CK819" s="52"/>
      <c r="CL819" s="52"/>
      <c r="CM819" s="52"/>
      <c r="CN819" s="52"/>
      <c r="CO819" s="52"/>
      <c r="CP819" s="52"/>
      <c r="CQ819" s="52">
        <v>5305367</v>
      </c>
      <c r="CR819" s="52"/>
      <c r="CS819" s="52">
        <f t="shared" si="125"/>
        <v>94499649</v>
      </c>
      <c r="CT819" s="53">
        <v>42442936</v>
      </c>
      <c r="CU819" s="53">
        <f t="shared" si="126"/>
        <v>52056713</v>
      </c>
      <c r="CV819" s="54">
        <f t="shared" si="129"/>
        <v>94499649</v>
      </c>
      <c r="CW819" s="55">
        <f t="shared" si="130"/>
        <v>0</v>
      </c>
      <c r="CX819" s="16"/>
      <c r="CY819" s="8"/>
      <c r="CZ819" s="8"/>
      <c r="DA819" s="8"/>
      <c r="DB819" s="8"/>
      <c r="DC819" s="8"/>
      <c r="DD819" s="8"/>
    </row>
    <row r="820" spans="1:108" ht="15" customHeight="1" x14ac:dyDescent="0.2">
      <c r="A820" s="1">
        <v>8000967778</v>
      </c>
      <c r="B820" s="1">
        <v>800096777</v>
      </c>
      <c r="C820" s="9">
        <v>216023660</v>
      </c>
      <c r="D820" s="10" t="s">
        <v>2182</v>
      </c>
      <c r="E820" s="47" t="s">
        <v>1018</v>
      </c>
      <c r="F820" s="21"/>
      <c r="G820" s="50"/>
      <c r="H820" s="21"/>
      <c r="I820" s="57">
        <f>3381205754+51691483</f>
        <v>3432897237</v>
      </c>
      <c r="J820" s="21">
        <v>239101125</v>
      </c>
      <c r="K820" s="21">
        <v>483316038</v>
      </c>
      <c r="L820" s="50"/>
      <c r="M820" s="52">
        <f>SUM(F820:L820)</f>
        <v>4155314400</v>
      </c>
      <c r="N820" s="21"/>
      <c r="O820" s="50"/>
      <c r="P820" s="21"/>
      <c r="Q820" s="50">
        <f>3283515181+23496129</f>
        <v>3307011310</v>
      </c>
      <c r="R820" s="21">
        <v>239101125</v>
      </c>
      <c r="S820" s="21">
        <f>244214913+239101125</f>
        <v>483316038</v>
      </c>
      <c r="T820" s="50"/>
      <c r="U820" s="51">
        <f t="shared" si="124"/>
        <v>8184742873</v>
      </c>
      <c r="V820" s="51"/>
      <c r="W820" s="51"/>
      <c r="X820" s="51"/>
      <c r="Y820" s="51">
        <v>5325431895</v>
      </c>
      <c r="Z820" s="51">
        <v>238252994</v>
      </c>
      <c r="AA820" s="51">
        <v>541839747</v>
      </c>
      <c r="AB820" s="51"/>
      <c r="AC820" s="51">
        <f t="shared" si="132"/>
        <v>14290267509</v>
      </c>
      <c r="AD820" s="51"/>
      <c r="AE820" s="51"/>
      <c r="AF820" s="51"/>
      <c r="AG820" s="51"/>
      <c r="AH820" s="51">
        <v>3441754975</v>
      </c>
      <c r="AI820" s="51">
        <v>347560704</v>
      </c>
      <c r="AJ820" s="51">
        <v>245623058</v>
      </c>
      <c r="AK820" s="51">
        <v>619389794</v>
      </c>
      <c r="AL820" s="51"/>
      <c r="AM820" s="51">
        <v>1068773499</v>
      </c>
      <c r="AN820" s="51">
        <f>SUBTOTAL(9,AC820:AM820)</f>
        <v>20013369539</v>
      </c>
      <c r="AO820" s="51"/>
      <c r="AP820" s="51"/>
      <c r="AQ820" s="51">
        <v>843076960</v>
      </c>
      <c r="AR820" s="51"/>
      <c r="AS820" s="51"/>
      <c r="AT820" s="51">
        <v>3441754975</v>
      </c>
      <c r="AU820" s="51"/>
      <c r="AV820" s="51">
        <v>245623058</v>
      </c>
      <c r="AW820" s="51">
        <v>419503160</v>
      </c>
      <c r="AX820" s="51"/>
      <c r="AY820" s="51"/>
      <c r="AZ820" s="51"/>
      <c r="BA820" s="51">
        <f>VLOOKUP(B820,[1]Hoja3!J$3:K$674,2,0)</f>
        <v>591306826</v>
      </c>
      <c r="BB820" s="51"/>
      <c r="BC820" s="52">
        <f t="shared" si="127"/>
        <v>25554634518</v>
      </c>
      <c r="BD820" s="51"/>
      <c r="BE820" s="51"/>
      <c r="BF820" s="51">
        <v>168615392</v>
      </c>
      <c r="BG820" s="51"/>
      <c r="BH820" s="51"/>
      <c r="BI820" s="51">
        <v>3534526274</v>
      </c>
      <c r="BJ820" s="51">
        <v>538092820</v>
      </c>
      <c r="BK820" s="51">
        <v>259227789</v>
      </c>
      <c r="BL820" s="51">
        <v>539532172</v>
      </c>
      <c r="BM820" s="51"/>
      <c r="BN820" s="51"/>
      <c r="BO820" s="51"/>
      <c r="BP820" s="52">
        <v>30594628965</v>
      </c>
      <c r="BQ820" s="52"/>
      <c r="BR820" s="52"/>
      <c r="BS820" s="52">
        <v>168615392</v>
      </c>
      <c r="BT820" s="52"/>
      <c r="BU820" s="52"/>
      <c r="BV820" s="52"/>
      <c r="BW820" s="52">
        <v>3572282691</v>
      </c>
      <c r="BX820" s="52">
        <v>570496000</v>
      </c>
      <c r="BY820" s="52">
        <v>1600000000</v>
      </c>
      <c r="BZ820" s="52">
        <v>248069435</v>
      </c>
      <c r="CA820" s="52">
        <v>664000627</v>
      </c>
      <c r="CB820" s="52"/>
      <c r="CC820" s="52"/>
      <c r="CD820" s="52"/>
      <c r="CE820" s="52"/>
      <c r="CF820" s="52"/>
      <c r="CG820" s="52">
        <f t="shared" si="128"/>
        <v>37418093110</v>
      </c>
      <c r="CH820" s="52"/>
      <c r="CI820" s="52"/>
      <c r="CJ820" s="52">
        <v>168615392</v>
      </c>
      <c r="CK820" s="52"/>
      <c r="CL820" s="52">
        <v>3491642910</v>
      </c>
      <c r="CM820" s="52">
        <v>145672007</v>
      </c>
      <c r="CN820" s="52">
        <v>250894369</v>
      </c>
      <c r="CO820" s="52">
        <v>459040996</v>
      </c>
      <c r="CP820" s="52"/>
      <c r="CQ820" s="52"/>
      <c r="CR820" s="52"/>
      <c r="CS820" s="52">
        <f t="shared" si="125"/>
        <v>41933958784</v>
      </c>
      <c r="CT820" s="53">
        <v>40273878459</v>
      </c>
      <c r="CU820" s="53">
        <f t="shared" si="126"/>
        <v>1660080325</v>
      </c>
      <c r="CV820" s="54">
        <f t="shared" si="129"/>
        <v>41933958784</v>
      </c>
      <c r="CW820" s="55">
        <f t="shared" si="130"/>
        <v>0</v>
      </c>
      <c r="CX820" s="16"/>
      <c r="CY820" s="16"/>
      <c r="CZ820" s="16"/>
    </row>
    <row r="821" spans="1:108" ht="15" customHeight="1" x14ac:dyDescent="0.2">
      <c r="A821" s="1">
        <v>8911801801</v>
      </c>
      <c r="B821" s="1">
        <v>891180180</v>
      </c>
      <c r="C821" s="9">
        <v>216041660</v>
      </c>
      <c r="D821" s="10" t="s">
        <v>618</v>
      </c>
      <c r="E821" s="46" t="s">
        <v>1637</v>
      </c>
      <c r="F821" s="21"/>
      <c r="G821" s="50"/>
      <c r="H821" s="21"/>
      <c r="I821" s="50"/>
      <c r="J821" s="21"/>
      <c r="K821" s="21"/>
      <c r="L821" s="50"/>
      <c r="M821" s="51"/>
      <c r="N821" s="21"/>
      <c r="O821" s="50"/>
      <c r="P821" s="21"/>
      <c r="Q821" s="50"/>
      <c r="R821" s="21"/>
      <c r="S821" s="21"/>
      <c r="T821" s="50"/>
      <c r="U821" s="51">
        <f t="shared" si="124"/>
        <v>0</v>
      </c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>
        <v>95255785</v>
      </c>
      <c r="AZ821" s="51"/>
      <c r="BA821" s="51">
        <f>VLOOKUP(B821,[1]Hoja3!J$3:K$674,2,0)</f>
        <v>220949308</v>
      </c>
      <c r="BB821" s="51"/>
      <c r="BC821" s="52">
        <f t="shared" si="127"/>
        <v>316205093</v>
      </c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>
        <v>19051157</v>
      </c>
      <c r="BO821" s="51"/>
      <c r="BP821" s="52">
        <v>335256250</v>
      </c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>
        <v>19051157</v>
      </c>
      <c r="CD821" s="52"/>
      <c r="CE821" s="52"/>
      <c r="CF821" s="52"/>
      <c r="CG821" s="52">
        <f t="shared" si="128"/>
        <v>354307407</v>
      </c>
      <c r="CH821" s="52"/>
      <c r="CI821" s="52"/>
      <c r="CJ821" s="52"/>
      <c r="CK821" s="52"/>
      <c r="CL821" s="52"/>
      <c r="CM821" s="52"/>
      <c r="CN821" s="52"/>
      <c r="CO821" s="52"/>
      <c r="CP821" s="52"/>
      <c r="CQ821" s="52">
        <v>19051157</v>
      </c>
      <c r="CR821" s="52"/>
      <c r="CS821" s="52">
        <f t="shared" si="125"/>
        <v>373358564</v>
      </c>
      <c r="CT821" s="53">
        <v>152409256</v>
      </c>
      <c r="CU821" s="53">
        <f t="shared" si="126"/>
        <v>220949308</v>
      </c>
      <c r="CV821" s="54">
        <f t="shared" si="129"/>
        <v>373358564</v>
      </c>
      <c r="CW821" s="55">
        <f t="shared" si="130"/>
        <v>0</v>
      </c>
      <c r="CX821" s="16"/>
      <c r="CY821" s="16"/>
      <c r="CZ821" s="16"/>
    </row>
    <row r="822" spans="1:108" ht="15" customHeight="1" x14ac:dyDescent="0.2">
      <c r="A822" s="1">
        <v>8908011313</v>
      </c>
      <c r="B822" s="1">
        <v>890801131</v>
      </c>
      <c r="C822" s="9">
        <v>215317653</v>
      </c>
      <c r="D822" s="10" t="s">
        <v>355</v>
      </c>
      <c r="E822" s="46" t="s">
        <v>1384</v>
      </c>
      <c r="F822" s="21"/>
      <c r="G822" s="50"/>
      <c r="H822" s="21"/>
      <c r="I822" s="50"/>
      <c r="J822" s="21"/>
      <c r="K822" s="21"/>
      <c r="L822" s="50"/>
      <c r="M822" s="51"/>
      <c r="N822" s="21"/>
      <c r="O822" s="50"/>
      <c r="P822" s="21"/>
      <c r="Q822" s="50"/>
      <c r="R822" s="21"/>
      <c r="S822" s="21"/>
      <c r="T822" s="50"/>
      <c r="U822" s="51">
        <f t="shared" si="124"/>
        <v>0</v>
      </c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>
        <v>142807865</v>
      </c>
      <c r="AN822" s="51">
        <f>SUBTOTAL(9,AC822:AM822)</f>
        <v>142807865</v>
      </c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>
        <v>124968660</v>
      </c>
      <c r="AZ822" s="51"/>
      <c r="BA822" s="51">
        <f>VLOOKUP(B822,[1]Hoja3!J$3:K$674,2,0)</f>
        <v>77548860</v>
      </c>
      <c r="BB822" s="51"/>
      <c r="BC822" s="52">
        <f t="shared" si="127"/>
        <v>345325385</v>
      </c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>
        <v>24993732</v>
      </c>
      <c r="BO822" s="51"/>
      <c r="BP822" s="52">
        <v>370319117</v>
      </c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>
        <v>24993732</v>
      </c>
      <c r="CD822" s="52"/>
      <c r="CE822" s="52"/>
      <c r="CF822" s="52"/>
      <c r="CG822" s="52">
        <f t="shared" si="128"/>
        <v>395312849</v>
      </c>
      <c r="CH822" s="52"/>
      <c r="CI822" s="52"/>
      <c r="CJ822" s="52"/>
      <c r="CK822" s="52"/>
      <c r="CL822" s="52"/>
      <c r="CM822" s="52"/>
      <c r="CN822" s="52"/>
      <c r="CO822" s="52"/>
      <c r="CP822" s="52"/>
      <c r="CQ822" s="52">
        <v>24993732</v>
      </c>
      <c r="CR822" s="52"/>
      <c r="CS822" s="52">
        <f t="shared" si="125"/>
        <v>420306581</v>
      </c>
      <c r="CT822" s="53">
        <v>199949856</v>
      </c>
      <c r="CU822" s="53">
        <f t="shared" si="126"/>
        <v>220356725</v>
      </c>
      <c r="CV822" s="54">
        <f t="shared" si="129"/>
        <v>420306581</v>
      </c>
      <c r="CW822" s="55">
        <f t="shared" si="130"/>
        <v>0</v>
      </c>
      <c r="CX822" s="16"/>
      <c r="CY822" s="16"/>
      <c r="CZ822" s="16"/>
    </row>
    <row r="823" spans="1:108" ht="15" customHeight="1" x14ac:dyDescent="0.2">
      <c r="A823" s="1">
        <v>8917800539</v>
      </c>
      <c r="B823" s="1">
        <v>891780053</v>
      </c>
      <c r="C823" s="9">
        <v>217547675</v>
      </c>
      <c r="D823" s="10" t="s">
        <v>657</v>
      </c>
      <c r="E823" s="46" t="s">
        <v>1677</v>
      </c>
      <c r="F823" s="21"/>
      <c r="G823" s="50"/>
      <c r="H823" s="21"/>
      <c r="I823" s="50"/>
      <c r="J823" s="21"/>
      <c r="K823" s="21"/>
      <c r="L823" s="50"/>
      <c r="M823" s="51"/>
      <c r="N823" s="21"/>
      <c r="O823" s="50"/>
      <c r="P823" s="21"/>
      <c r="Q823" s="50"/>
      <c r="R823" s="21"/>
      <c r="S823" s="21"/>
      <c r="T823" s="50"/>
      <c r="U823" s="51">
        <f t="shared" si="124"/>
        <v>0</v>
      </c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>
        <v>181530634</v>
      </c>
      <c r="AN823" s="51">
        <f>SUBTOTAL(9,AC823:AM823)</f>
        <v>181530634</v>
      </c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2">
        <f t="shared" si="127"/>
        <v>181530634</v>
      </c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>
        <v>0</v>
      </c>
      <c r="BO823" s="51"/>
      <c r="BP823" s="52">
        <v>181530634</v>
      </c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>
        <v>146616484</v>
      </c>
      <c r="CD823" s="52"/>
      <c r="CE823" s="52"/>
      <c r="CF823" s="52"/>
      <c r="CG823" s="52">
        <f t="shared" si="128"/>
        <v>328147118</v>
      </c>
      <c r="CH823" s="52"/>
      <c r="CI823" s="52"/>
      <c r="CJ823" s="52"/>
      <c r="CK823" s="52"/>
      <c r="CL823" s="52"/>
      <c r="CM823" s="52"/>
      <c r="CN823" s="52"/>
      <c r="CO823" s="52"/>
      <c r="CP823" s="52"/>
      <c r="CQ823" s="52">
        <v>20945212</v>
      </c>
      <c r="CR823" s="52"/>
      <c r="CS823" s="52">
        <f t="shared" si="125"/>
        <v>349092330</v>
      </c>
      <c r="CT823" s="53">
        <v>167561696</v>
      </c>
      <c r="CU823" s="53">
        <f t="shared" si="126"/>
        <v>181530634</v>
      </c>
      <c r="CV823" s="54">
        <f t="shared" si="129"/>
        <v>349092330</v>
      </c>
      <c r="CW823" s="55">
        <f t="shared" si="130"/>
        <v>0</v>
      </c>
      <c r="CX823" s="16"/>
      <c r="CY823" s="8"/>
      <c r="CZ823" s="8"/>
      <c r="DA823" s="8"/>
      <c r="DB823" s="8"/>
      <c r="DC823" s="8"/>
      <c r="DD823" s="8"/>
    </row>
    <row r="824" spans="1:108" ht="15" customHeight="1" x14ac:dyDescent="0.2">
      <c r="A824" s="1">
        <v>8905015490</v>
      </c>
      <c r="B824" s="1">
        <v>890501549</v>
      </c>
      <c r="C824" s="9">
        <v>216054660</v>
      </c>
      <c r="D824" s="10" t="s">
        <v>779</v>
      </c>
      <c r="E824" s="46" t="s">
        <v>2065</v>
      </c>
      <c r="F824" s="21"/>
      <c r="G824" s="50"/>
      <c r="H824" s="21"/>
      <c r="I824" s="50"/>
      <c r="J824" s="21"/>
      <c r="K824" s="21"/>
      <c r="L824" s="50"/>
      <c r="M824" s="51"/>
      <c r="N824" s="21"/>
      <c r="O824" s="50"/>
      <c r="P824" s="21"/>
      <c r="Q824" s="50"/>
      <c r="R824" s="21"/>
      <c r="S824" s="21"/>
      <c r="T824" s="50"/>
      <c r="U824" s="51">
        <f t="shared" si="124"/>
        <v>0</v>
      </c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>
        <v>82431913</v>
      </c>
      <c r="AN824" s="51">
        <f>SUBTOTAL(9,AC824:AM824)</f>
        <v>82431913</v>
      </c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>
        <v>80320925</v>
      </c>
      <c r="AZ824" s="51"/>
      <c r="BA824" s="51">
        <f>VLOOKUP(B824,[1]Hoja3!J$3:K$674,2,0)</f>
        <v>89025505</v>
      </c>
      <c r="BB824" s="51"/>
      <c r="BC824" s="52">
        <f t="shared" si="127"/>
        <v>251778343</v>
      </c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>
        <v>16064185</v>
      </c>
      <c r="BO824" s="51"/>
      <c r="BP824" s="52">
        <v>267842528</v>
      </c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>
        <v>16064185</v>
      </c>
      <c r="CD824" s="52"/>
      <c r="CE824" s="52"/>
      <c r="CF824" s="52"/>
      <c r="CG824" s="52">
        <f t="shared" si="128"/>
        <v>283906713</v>
      </c>
      <c r="CH824" s="52"/>
      <c r="CI824" s="52"/>
      <c r="CJ824" s="52"/>
      <c r="CK824" s="52"/>
      <c r="CL824" s="52"/>
      <c r="CM824" s="52"/>
      <c r="CN824" s="52"/>
      <c r="CO824" s="52"/>
      <c r="CP824" s="52"/>
      <c r="CQ824" s="52">
        <v>16064185</v>
      </c>
      <c r="CR824" s="52"/>
      <c r="CS824" s="52">
        <f t="shared" si="125"/>
        <v>299970898</v>
      </c>
      <c r="CT824" s="53">
        <v>128513480</v>
      </c>
      <c r="CU824" s="53">
        <f t="shared" si="126"/>
        <v>171457418</v>
      </c>
      <c r="CV824" s="54">
        <f t="shared" si="129"/>
        <v>299970898</v>
      </c>
      <c r="CW824" s="55">
        <f t="shared" si="130"/>
        <v>0</v>
      </c>
      <c r="CX824" s="16"/>
      <c r="CY824" s="16"/>
      <c r="CZ824" s="16"/>
    </row>
    <row r="825" spans="1:108" ht="15" customHeight="1" x14ac:dyDescent="0.2">
      <c r="A825" s="1">
        <v>8001001404</v>
      </c>
      <c r="B825" s="1">
        <v>800100140</v>
      </c>
      <c r="C825" s="9">
        <v>217173671</v>
      </c>
      <c r="D825" s="10" t="s">
        <v>2236</v>
      </c>
      <c r="E825" s="46" t="s">
        <v>1964</v>
      </c>
      <c r="F825" s="21"/>
      <c r="G825" s="50"/>
      <c r="H825" s="21"/>
      <c r="I825" s="50"/>
      <c r="J825" s="21"/>
      <c r="K825" s="21"/>
      <c r="L825" s="50"/>
      <c r="M825" s="51"/>
      <c r="N825" s="21"/>
      <c r="O825" s="50"/>
      <c r="P825" s="21"/>
      <c r="Q825" s="50"/>
      <c r="R825" s="21"/>
      <c r="S825" s="21"/>
      <c r="T825" s="50"/>
      <c r="U825" s="51">
        <f t="shared" si="124"/>
        <v>0</v>
      </c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>
        <v>88418865</v>
      </c>
      <c r="AN825" s="51">
        <f>SUBTOTAL(9,AC825:AM825)</f>
        <v>88418865</v>
      </c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>
        <v>90559495</v>
      </c>
      <c r="AZ825" s="51"/>
      <c r="BA825" s="51">
        <f>VLOOKUP(B825,[1]Hoja3!J$3:K$674,2,0)</f>
        <v>105405750</v>
      </c>
      <c r="BB825" s="51"/>
      <c r="BC825" s="52">
        <f t="shared" si="127"/>
        <v>284384110</v>
      </c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>
        <v>18111899</v>
      </c>
      <c r="BO825" s="51"/>
      <c r="BP825" s="52">
        <v>302496009</v>
      </c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>
        <v>18111899</v>
      </c>
      <c r="CD825" s="52"/>
      <c r="CE825" s="52"/>
      <c r="CF825" s="52"/>
      <c r="CG825" s="52">
        <f t="shared" si="128"/>
        <v>320607908</v>
      </c>
      <c r="CH825" s="52"/>
      <c r="CI825" s="52"/>
      <c r="CJ825" s="52"/>
      <c r="CK825" s="52"/>
      <c r="CL825" s="52"/>
      <c r="CM825" s="52"/>
      <c r="CN825" s="52"/>
      <c r="CO825" s="52"/>
      <c r="CP825" s="52"/>
      <c r="CQ825" s="52">
        <v>18111899</v>
      </c>
      <c r="CR825" s="52"/>
      <c r="CS825" s="52">
        <f t="shared" si="125"/>
        <v>338719807</v>
      </c>
      <c r="CT825" s="53">
        <v>144895192</v>
      </c>
      <c r="CU825" s="53">
        <f t="shared" si="126"/>
        <v>193824615</v>
      </c>
      <c r="CV825" s="54">
        <f t="shared" si="129"/>
        <v>338719807</v>
      </c>
      <c r="CW825" s="55">
        <f t="shared" si="130"/>
        <v>0</v>
      </c>
      <c r="CX825" s="16"/>
      <c r="CY825" s="16"/>
      <c r="CZ825" s="16"/>
    </row>
    <row r="826" spans="1:108" ht="15" customHeight="1" x14ac:dyDescent="0.2">
      <c r="A826" s="1">
        <v>8900011270</v>
      </c>
      <c r="B826" s="1">
        <v>890001127</v>
      </c>
      <c r="C826" s="9">
        <v>219063690</v>
      </c>
      <c r="D826" s="10" t="s">
        <v>799</v>
      </c>
      <c r="E826" s="46" t="s">
        <v>1816</v>
      </c>
      <c r="F826" s="21"/>
      <c r="G826" s="50"/>
      <c r="H826" s="21"/>
      <c r="I826" s="50"/>
      <c r="J826" s="21"/>
      <c r="K826" s="21"/>
      <c r="L826" s="50"/>
      <c r="M826" s="51"/>
      <c r="N826" s="21"/>
      <c r="O826" s="50"/>
      <c r="P826" s="21"/>
      <c r="Q826" s="50"/>
      <c r="R826" s="21"/>
      <c r="S826" s="21"/>
      <c r="T826" s="50"/>
      <c r="U826" s="51">
        <f t="shared" si="124"/>
        <v>0</v>
      </c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>
        <v>50845710</v>
      </c>
      <c r="AZ826" s="51"/>
      <c r="BA826" s="51">
        <f>VLOOKUP(B826,[1]Hoja3!J$3:K$674,2,0)</f>
        <v>87332014</v>
      </c>
      <c r="BB826" s="51"/>
      <c r="BC826" s="52">
        <f t="shared" si="127"/>
        <v>138177724</v>
      </c>
      <c r="BD826" s="51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>
        <v>10169142</v>
      </c>
      <c r="BO826" s="51"/>
      <c r="BP826" s="52">
        <v>148346866</v>
      </c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>
        <v>10169142</v>
      </c>
      <c r="CD826" s="52"/>
      <c r="CE826" s="52"/>
      <c r="CF826" s="52"/>
      <c r="CG826" s="52">
        <f t="shared" si="128"/>
        <v>158516008</v>
      </c>
      <c r="CH826" s="52"/>
      <c r="CI826" s="52"/>
      <c r="CJ826" s="52"/>
      <c r="CK826" s="52"/>
      <c r="CL826" s="52"/>
      <c r="CM826" s="52"/>
      <c r="CN826" s="52"/>
      <c r="CO826" s="52"/>
      <c r="CP826" s="52"/>
      <c r="CQ826" s="52">
        <v>10169142</v>
      </c>
      <c r="CR826" s="52"/>
      <c r="CS826" s="52">
        <f t="shared" si="125"/>
        <v>168685150</v>
      </c>
      <c r="CT826" s="53">
        <v>81353136</v>
      </c>
      <c r="CU826" s="53">
        <f t="shared" si="126"/>
        <v>87332014</v>
      </c>
      <c r="CV826" s="54">
        <f t="shared" si="129"/>
        <v>168685150</v>
      </c>
      <c r="CW826" s="55">
        <f t="shared" si="130"/>
        <v>0</v>
      </c>
      <c r="CX826" s="16"/>
      <c r="CY826" s="16"/>
      <c r="CZ826" s="16"/>
    </row>
    <row r="827" spans="1:108" ht="15" customHeight="1" x14ac:dyDescent="0.2">
      <c r="A827" s="1">
        <v>8909805770</v>
      </c>
      <c r="B827" s="1">
        <v>890980577</v>
      </c>
      <c r="C827" s="9">
        <v>214205642</v>
      </c>
      <c r="D827" s="10" t="s">
        <v>126</v>
      </c>
      <c r="E827" s="46" t="s">
        <v>1155</v>
      </c>
      <c r="F827" s="21"/>
      <c r="G827" s="50"/>
      <c r="H827" s="21"/>
      <c r="I827" s="50"/>
      <c r="J827" s="21"/>
      <c r="K827" s="21"/>
      <c r="L827" s="50"/>
      <c r="M827" s="51"/>
      <c r="N827" s="21"/>
      <c r="O827" s="50"/>
      <c r="P827" s="21"/>
      <c r="Q827" s="50"/>
      <c r="R827" s="21"/>
      <c r="S827" s="21"/>
      <c r="T827" s="50"/>
      <c r="U827" s="51">
        <f t="shared" si="124"/>
        <v>0</v>
      </c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>
        <v>230548887</v>
      </c>
      <c r="AN827" s="51">
        <f>SUBTOTAL(9,AC827:AM827)</f>
        <v>230548887</v>
      </c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2">
        <f t="shared" si="127"/>
        <v>230548887</v>
      </c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>
        <v>20098556</v>
      </c>
      <c r="BO827" s="51"/>
      <c r="BP827" s="52">
        <v>250647443</v>
      </c>
      <c r="BQ827" s="52"/>
      <c r="BR827" s="52"/>
      <c r="BS827" s="52"/>
      <c r="BT827" s="52"/>
      <c r="BU827" s="52"/>
      <c r="BV827" s="52"/>
      <c r="BW827" s="52"/>
      <c r="BX827" s="52"/>
      <c r="BY827" s="52"/>
      <c r="BZ827" s="52"/>
      <c r="CA827" s="52"/>
      <c r="CB827" s="52"/>
      <c r="CC827" s="52">
        <v>20098556</v>
      </c>
      <c r="CD827" s="52">
        <v>100492780</v>
      </c>
      <c r="CE827" s="52"/>
      <c r="CF827" s="52"/>
      <c r="CG827" s="52">
        <f t="shared" si="128"/>
        <v>371238779</v>
      </c>
      <c r="CH827" s="52"/>
      <c r="CI827" s="52"/>
      <c r="CJ827" s="52"/>
      <c r="CK827" s="52"/>
      <c r="CL827" s="52"/>
      <c r="CM827" s="52"/>
      <c r="CN827" s="52"/>
      <c r="CO827" s="52"/>
      <c r="CP827" s="52"/>
      <c r="CQ827" s="52">
        <v>20098556</v>
      </c>
      <c r="CR827" s="52"/>
      <c r="CS827" s="52">
        <f t="shared" si="125"/>
        <v>391337335</v>
      </c>
      <c r="CT827" s="53">
        <v>160788448</v>
      </c>
      <c r="CU827" s="53">
        <f t="shared" si="126"/>
        <v>230548887</v>
      </c>
      <c r="CV827" s="54">
        <f t="shared" si="129"/>
        <v>391337335</v>
      </c>
      <c r="CW827" s="55">
        <f t="shared" si="130"/>
        <v>0</v>
      </c>
      <c r="CX827" s="16"/>
      <c r="CY827" s="16"/>
      <c r="CZ827" s="16"/>
    </row>
    <row r="828" spans="1:108" ht="15" customHeight="1" x14ac:dyDescent="0.2">
      <c r="A828" s="1">
        <v>8000167579</v>
      </c>
      <c r="B828" s="1">
        <v>800016757</v>
      </c>
      <c r="C828" s="9">
        <v>214615646</v>
      </c>
      <c r="D828" s="10" t="s">
        <v>295</v>
      </c>
      <c r="E828" s="46" t="s">
        <v>1326</v>
      </c>
      <c r="F828" s="21"/>
      <c r="G828" s="50"/>
      <c r="H828" s="21"/>
      <c r="I828" s="50"/>
      <c r="J828" s="21"/>
      <c r="K828" s="21"/>
      <c r="L828" s="50"/>
      <c r="M828" s="51"/>
      <c r="N828" s="21"/>
      <c r="O828" s="50"/>
      <c r="P828" s="21"/>
      <c r="Q828" s="50"/>
      <c r="R828" s="21"/>
      <c r="S828" s="21"/>
      <c r="T828" s="50"/>
      <c r="U828" s="51">
        <f t="shared" si="124"/>
        <v>0</v>
      </c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>
        <v>76134355</v>
      </c>
      <c r="AN828" s="51">
        <f>SUBTOTAL(9,AC828:AM828)</f>
        <v>76134355</v>
      </c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>
        <f>VLOOKUP(B828,[1]Hoja3!J$3:K$674,2,0)</f>
        <v>247528810</v>
      </c>
      <c r="BB828" s="51"/>
      <c r="BC828" s="52">
        <f t="shared" si="127"/>
        <v>323663165</v>
      </c>
      <c r="BD828" s="51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>
        <v>0</v>
      </c>
      <c r="BO828" s="51"/>
      <c r="BP828" s="52">
        <v>323663165</v>
      </c>
      <c r="BQ828" s="52"/>
      <c r="BR828" s="52"/>
      <c r="BS828" s="52"/>
      <c r="BT828" s="52"/>
      <c r="BU828" s="52"/>
      <c r="BV828" s="52"/>
      <c r="BW828" s="52"/>
      <c r="BX828" s="52"/>
      <c r="BY828" s="52"/>
      <c r="BZ828" s="52"/>
      <c r="CA828" s="52"/>
      <c r="CB828" s="52"/>
      <c r="CC828" s="52">
        <v>0</v>
      </c>
      <c r="CD828" s="52"/>
      <c r="CE828" s="52"/>
      <c r="CF828" s="52"/>
      <c r="CG828" s="52">
        <f t="shared" si="128"/>
        <v>323663165</v>
      </c>
      <c r="CH828" s="52"/>
      <c r="CI828" s="52"/>
      <c r="CJ828" s="52"/>
      <c r="CK828" s="52"/>
      <c r="CL828" s="52"/>
      <c r="CM828" s="52"/>
      <c r="CN828" s="52"/>
      <c r="CO828" s="52"/>
      <c r="CP828" s="52"/>
      <c r="CQ828" s="52">
        <v>199077624</v>
      </c>
      <c r="CR828" s="52"/>
      <c r="CS828" s="52">
        <f t="shared" si="125"/>
        <v>522740789</v>
      </c>
      <c r="CT828" s="53">
        <v>199077624</v>
      </c>
      <c r="CU828" s="53">
        <f t="shared" si="126"/>
        <v>323663165</v>
      </c>
      <c r="CV828" s="54">
        <f t="shared" si="129"/>
        <v>522740789</v>
      </c>
      <c r="CW828" s="55">
        <f t="shared" si="130"/>
        <v>0</v>
      </c>
      <c r="CX828" s="16"/>
      <c r="CY828" s="8"/>
      <c r="CZ828" s="8"/>
      <c r="DA828" s="8"/>
      <c r="DB828" s="8"/>
      <c r="DC828" s="8"/>
      <c r="DD828" s="8"/>
    </row>
    <row r="829" spans="1:108" ht="15" customHeight="1" x14ac:dyDescent="0.2">
      <c r="A829" s="1">
        <v>8908011495</v>
      </c>
      <c r="B829" s="1">
        <v>890801149</v>
      </c>
      <c r="C829" s="9">
        <v>216217662</v>
      </c>
      <c r="D829" s="10" t="s">
        <v>356</v>
      </c>
      <c r="E829" s="46" t="s">
        <v>1385</v>
      </c>
      <c r="F829" s="21"/>
      <c r="G829" s="50"/>
      <c r="H829" s="21"/>
      <c r="I829" s="50"/>
      <c r="J829" s="21"/>
      <c r="K829" s="21"/>
      <c r="L829" s="50"/>
      <c r="M829" s="51"/>
      <c r="N829" s="21"/>
      <c r="O829" s="50"/>
      <c r="P829" s="21"/>
      <c r="Q829" s="50"/>
      <c r="R829" s="21"/>
      <c r="S829" s="21"/>
      <c r="T829" s="50"/>
      <c r="U829" s="51">
        <f t="shared" si="124"/>
        <v>0</v>
      </c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>
        <v>335215012</v>
      </c>
      <c r="AN829" s="51">
        <f>SUBTOTAL(9,AC829:AM829)</f>
        <v>335215012</v>
      </c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>
        <v>163252520</v>
      </c>
      <c r="AZ829" s="51"/>
      <c r="BA829" s="51"/>
      <c r="BB829" s="51">
        <f>VLOOKUP(B829,'[2]anuladas en mayo gratuidad}'!K$2:L$55,2,0)</f>
        <v>95588319</v>
      </c>
      <c r="BC829" s="52">
        <f t="shared" si="127"/>
        <v>402879213</v>
      </c>
      <c r="BD829" s="51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>
        <v>32650504</v>
      </c>
      <c r="BO829" s="51"/>
      <c r="BP829" s="52">
        <v>435529717</v>
      </c>
      <c r="BQ829" s="52"/>
      <c r="BR829" s="52"/>
      <c r="BS829" s="52"/>
      <c r="BT829" s="52"/>
      <c r="BU829" s="52"/>
      <c r="BV829" s="52"/>
      <c r="BW829" s="52"/>
      <c r="BX829" s="52"/>
      <c r="BY829" s="52"/>
      <c r="BZ829" s="52"/>
      <c r="CA829" s="52"/>
      <c r="CB829" s="52"/>
      <c r="CC829" s="52">
        <v>32650504</v>
      </c>
      <c r="CD829" s="52"/>
      <c r="CE829" s="52"/>
      <c r="CF829" s="52"/>
      <c r="CG829" s="52">
        <f t="shared" si="128"/>
        <v>468180221</v>
      </c>
      <c r="CH829" s="52"/>
      <c r="CI829" s="52"/>
      <c r="CJ829" s="52"/>
      <c r="CK829" s="52"/>
      <c r="CL829" s="52"/>
      <c r="CM829" s="52"/>
      <c r="CN829" s="52"/>
      <c r="CO829" s="52"/>
      <c r="CP829" s="52"/>
      <c r="CQ829" s="52">
        <v>32650504</v>
      </c>
      <c r="CR829" s="52">
        <v>95588319</v>
      </c>
      <c r="CS829" s="52">
        <f t="shared" si="125"/>
        <v>596419044</v>
      </c>
      <c r="CT829" s="53">
        <v>261204032</v>
      </c>
      <c r="CU829" s="53">
        <f t="shared" si="126"/>
        <v>335215012</v>
      </c>
      <c r="CV829" s="54">
        <f t="shared" si="129"/>
        <v>596419044</v>
      </c>
      <c r="CW829" s="55">
        <f t="shared" si="130"/>
        <v>0</v>
      </c>
      <c r="CX829" s="16"/>
      <c r="CY829" s="16"/>
      <c r="CZ829" s="16"/>
    </row>
    <row r="830" spans="1:108" ht="15" customHeight="1" x14ac:dyDescent="0.2">
      <c r="A830" s="1">
        <v>8000991360</v>
      </c>
      <c r="B830" s="1">
        <v>800099136</v>
      </c>
      <c r="C830" s="9">
        <v>217852678</v>
      </c>
      <c r="D830" s="10" t="s">
        <v>738</v>
      </c>
      <c r="E830" s="46" t="s">
        <v>1760</v>
      </c>
      <c r="F830" s="21"/>
      <c r="G830" s="50"/>
      <c r="H830" s="21"/>
      <c r="I830" s="50"/>
      <c r="J830" s="21"/>
      <c r="K830" s="21"/>
      <c r="L830" s="50"/>
      <c r="M830" s="51"/>
      <c r="N830" s="21"/>
      <c r="O830" s="50"/>
      <c r="P830" s="21"/>
      <c r="Q830" s="50"/>
      <c r="R830" s="21"/>
      <c r="S830" s="21"/>
      <c r="T830" s="50"/>
      <c r="U830" s="51">
        <f t="shared" si="124"/>
        <v>0</v>
      </c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>
        <v>220738192</v>
      </c>
      <c r="AN830" s="51">
        <f>SUBTOTAL(9,AC830:AM830)</f>
        <v>220738192</v>
      </c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>
        <f>VLOOKUP(B830,[1]Hoja3!J$3:K$674,2,0)</f>
        <v>33785749</v>
      </c>
      <c r="BB830" s="51"/>
      <c r="BC830" s="52">
        <f t="shared" si="127"/>
        <v>254523941</v>
      </c>
      <c r="BD830" s="51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>
        <v>0</v>
      </c>
      <c r="BO830" s="51"/>
      <c r="BP830" s="52">
        <v>254523941</v>
      </c>
      <c r="BQ830" s="52"/>
      <c r="BR830" s="52"/>
      <c r="BS830" s="52"/>
      <c r="BT830" s="52"/>
      <c r="BU830" s="52"/>
      <c r="BV830" s="52"/>
      <c r="BW830" s="52"/>
      <c r="BX830" s="52"/>
      <c r="BY830" s="52"/>
      <c r="BZ830" s="52"/>
      <c r="CA830" s="52"/>
      <c r="CB830" s="52"/>
      <c r="CC830" s="52">
        <v>338408189</v>
      </c>
      <c r="CD830" s="52"/>
      <c r="CE830" s="52"/>
      <c r="CF830" s="52"/>
      <c r="CG830" s="52">
        <f t="shared" si="128"/>
        <v>592932130</v>
      </c>
      <c r="CH830" s="52"/>
      <c r="CI830" s="52"/>
      <c r="CJ830" s="52"/>
      <c r="CK830" s="52"/>
      <c r="CL830" s="52"/>
      <c r="CM830" s="52"/>
      <c r="CN830" s="52"/>
      <c r="CO830" s="52"/>
      <c r="CP830" s="52"/>
      <c r="CQ830" s="52">
        <v>48344027</v>
      </c>
      <c r="CR830" s="52"/>
      <c r="CS830" s="52">
        <f t="shared" si="125"/>
        <v>641276157</v>
      </c>
      <c r="CT830" s="53">
        <v>386752216</v>
      </c>
      <c r="CU830" s="53">
        <f t="shared" si="126"/>
        <v>254523941</v>
      </c>
      <c r="CV830" s="54">
        <f t="shared" si="129"/>
        <v>641276157</v>
      </c>
      <c r="CW830" s="55">
        <f t="shared" si="130"/>
        <v>0</v>
      </c>
      <c r="CX830" s="16"/>
      <c r="CY830" s="16"/>
      <c r="CZ830" s="16"/>
    </row>
    <row r="831" spans="1:108" ht="15" customHeight="1" x14ac:dyDescent="0.2">
      <c r="A831" s="1">
        <v>8922800551</v>
      </c>
      <c r="B831" s="1">
        <v>892280055</v>
      </c>
      <c r="C831" s="9">
        <v>217070670</v>
      </c>
      <c r="D831" s="10" t="s">
        <v>905</v>
      </c>
      <c r="E831" s="46" t="s">
        <v>1918</v>
      </c>
      <c r="F831" s="21"/>
      <c r="G831" s="50"/>
      <c r="H831" s="21"/>
      <c r="I831" s="50"/>
      <c r="J831" s="21"/>
      <c r="K831" s="21"/>
      <c r="L831" s="50"/>
      <c r="M831" s="51"/>
      <c r="N831" s="21"/>
      <c r="O831" s="50"/>
      <c r="P831" s="21"/>
      <c r="Q831" s="50"/>
      <c r="R831" s="21"/>
      <c r="S831" s="21"/>
      <c r="T831" s="50"/>
      <c r="U831" s="51">
        <f t="shared" si="124"/>
        <v>0</v>
      </c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>
        <v>83946977</v>
      </c>
      <c r="AN831" s="51">
        <f>SUBTOTAL(9,AC831:AM831)</f>
        <v>83946977</v>
      </c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>
        <v>529346295</v>
      </c>
      <c r="AZ831" s="51"/>
      <c r="BA831" s="51">
        <f>VLOOKUP(B831,[1]Hoja3!J$3:K$674,2,0)</f>
        <v>731038825</v>
      </c>
      <c r="BB831" s="51"/>
      <c r="BC831" s="52">
        <f t="shared" si="127"/>
        <v>1344332097</v>
      </c>
      <c r="BD831" s="51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>
        <v>105869259</v>
      </c>
      <c r="BO831" s="51"/>
      <c r="BP831" s="52">
        <v>1450201356</v>
      </c>
      <c r="BQ831" s="52"/>
      <c r="BR831" s="52"/>
      <c r="BS831" s="52"/>
      <c r="BT831" s="52"/>
      <c r="BU831" s="52"/>
      <c r="BV831" s="52"/>
      <c r="BW831" s="52"/>
      <c r="BX831" s="52"/>
      <c r="BY831" s="52"/>
      <c r="BZ831" s="52"/>
      <c r="CA831" s="52"/>
      <c r="CB831" s="52"/>
      <c r="CC831" s="52">
        <v>105869259</v>
      </c>
      <c r="CD831" s="52"/>
      <c r="CE831" s="52"/>
      <c r="CF831" s="52"/>
      <c r="CG831" s="52">
        <f t="shared" si="128"/>
        <v>1556070615</v>
      </c>
      <c r="CH831" s="52"/>
      <c r="CI831" s="52"/>
      <c r="CJ831" s="52"/>
      <c r="CK831" s="52"/>
      <c r="CL831" s="52"/>
      <c r="CM831" s="52"/>
      <c r="CN831" s="52"/>
      <c r="CO831" s="52"/>
      <c r="CP831" s="52"/>
      <c r="CQ831" s="52">
        <v>105869259</v>
      </c>
      <c r="CR831" s="52"/>
      <c r="CS831" s="52">
        <f t="shared" si="125"/>
        <v>1661939874</v>
      </c>
      <c r="CT831" s="53">
        <v>846954072</v>
      </c>
      <c r="CU831" s="53">
        <f t="shared" si="126"/>
        <v>814985802</v>
      </c>
      <c r="CV831" s="54">
        <f t="shared" si="129"/>
        <v>1661939874</v>
      </c>
      <c r="CW831" s="55">
        <f t="shared" si="130"/>
        <v>0</v>
      </c>
      <c r="CX831" s="16"/>
      <c r="CY831" s="16"/>
      <c r="CZ831" s="16"/>
    </row>
    <row r="832" spans="1:108" ht="15" customHeight="1" x14ac:dyDescent="0.2">
      <c r="A832" s="1">
        <v>8911800566</v>
      </c>
      <c r="B832" s="1">
        <v>891180056</v>
      </c>
      <c r="C832" s="9">
        <v>216841668</v>
      </c>
      <c r="D832" s="10" t="s">
        <v>619</v>
      </c>
      <c r="E832" s="46" t="s">
        <v>1638</v>
      </c>
      <c r="F832" s="21"/>
      <c r="G832" s="50"/>
      <c r="H832" s="21"/>
      <c r="I832" s="50"/>
      <c r="J832" s="21"/>
      <c r="K832" s="21"/>
      <c r="L832" s="50"/>
      <c r="M832" s="51"/>
      <c r="N832" s="21"/>
      <c r="O832" s="50"/>
      <c r="P832" s="21"/>
      <c r="Q832" s="50"/>
      <c r="R832" s="21"/>
      <c r="S832" s="21"/>
      <c r="T832" s="50"/>
      <c r="U832" s="51">
        <f t="shared" si="124"/>
        <v>0</v>
      </c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>
        <v>218483400</v>
      </c>
      <c r="AZ832" s="51"/>
      <c r="BA832" s="51">
        <f>VLOOKUP(B832,[1]Hoja3!J$3:K$674,2,0)</f>
        <v>480705104</v>
      </c>
      <c r="BB832" s="51"/>
      <c r="BC832" s="52">
        <f t="shared" si="127"/>
        <v>699188504</v>
      </c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>
        <v>43696680</v>
      </c>
      <c r="BO832" s="51"/>
      <c r="BP832" s="52">
        <v>742885184</v>
      </c>
      <c r="BQ832" s="52"/>
      <c r="BR832" s="52"/>
      <c r="BS832" s="52"/>
      <c r="BT832" s="52"/>
      <c r="BU832" s="52"/>
      <c r="BV832" s="52"/>
      <c r="BW832" s="52"/>
      <c r="BX832" s="52"/>
      <c r="BY832" s="52"/>
      <c r="BZ832" s="52"/>
      <c r="CA832" s="52"/>
      <c r="CB832" s="52"/>
      <c r="CC832" s="52">
        <v>43696680</v>
      </c>
      <c r="CD832" s="52"/>
      <c r="CE832" s="52"/>
      <c r="CF832" s="52"/>
      <c r="CG832" s="52">
        <f t="shared" si="128"/>
        <v>786581864</v>
      </c>
      <c r="CH832" s="52"/>
      <c r="CI832" s="52"/>
      <c r="CJ832" s="52"/>
      <c r="CK832" s="52"/>
      <c r="CL832" s="52"/>
      <c r="CM832" s="52"/>
      <c r="CN832" s="52"/>
      <c r="CO832" s="52"/>
      <c r="CP832" s="52"/>
      <c r="CQ832" s="52">
        <v>43696680</v>
      </c>
      <c r="CR832" s="52"/>
      <c r="CS832" s="52">
        <f t="shared" si="125"/>
        <v>830278544</v>
      </c>
      <c r="CT832" s="53">
        <v>349573440</v>
      </c>
      <c r="CU832" s="53">
        <f t="shared" si="126"/>
        <v>480705104</v>
      </c>
      <c r="CV832" s="54">
        <f t="shared" si="129"/>
        <v>830278544</v>
      </c>
      <c r="CW832" s="55">
        <f t="shared" si="130"/>
        <v>0</v>
      </c>
      <c r="CX832" s="16"/>
      <c r="CY832" s="16"/>
      <c r="CZ832" s="16"/>
    </row>
    <row r="833" spans="1:108" ht="15" customHeight="1" x14ac:dyDescent="0.2">
      <c r="A833" s="1">
        <v>8000966192</v>
      </c>
      <c r="B833" s="1">
        <v>800096619</v>
      </c>
      <c r="C833" s="9">
        <v>211020710</v>
      </c>
      <c r="D833" s="10" t="s">
        <v>433</v>
      </c>
      <c r="E833" s="46" t="s">
        <v>1460</v>
      </c>
      <c r="F833" s="21"/>
      <c r="G833" s="50"/>
      <c r="H833" s="21"/>
      <c r="I833" s="50"/>
      <c r="J833" s="21"/>
      <c r="K833" s="21"/>
      <c r="L833" s="50"/>
      <c r="M833" s="51"/>
      <c r="N833" s="21"/>
      <c r="O833" s="50"/>
      <c r="P833" s="21"/>
      <c r="Q833" s="50"/>
      <c r="R833" s="21"/>
      <c r="S833" s="21"/>
      <c r="T833" s="50"/>
      <c r="U833" s="51">
        <f t="shared" si="124"/>
        <v>0</v>
      </c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>
        <v>158666010</v>
      </c>
      <c r="AZ833" s="51"/>
      <c r="BA833" s="51">
        <f>VLOOKUP(B833,[1]Hoja3!J$3:K$674,2,0)</f>
        <v>341217894</v>
      </c>
      <c r="BB833" s="51"/>
      <c r="BC833" s="52">
        <f t="shared" si="127"/>
        <v>499883904</v>
      </c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>
        <v>31733202</v>
      </c>
      <c r="BO833" s="51"/>
      <c r="BP833" s="52">
        <v>531617106</v>
      </c>
      <c r="BQ833" s="52"/>
      <c r="BR833" s="52"/>
      <c r="BS833" s="52"/>
      <c r="BT833" s="52"/>
      <c r="BU833" s="52"/>
      <c r="BV833" s="52"/>
      <c r="BW833" s="52"/>
      <c r="BX833" s="52"/>
      <c r="BY833" s="52"/>
      <c r="BZ833" s="52"/>
      <c r="CA833" s="52"/>
      <c r="CB833" s="52"/>
      <c r="CC833" s="52">
        <v>31733202</v>
      </c>
      <c r="CD833" s="52"/>
      <c r="CE833" s="52"/>
      <c r="CF833" s="52"/>
      <c r="CG833" s="52">
        <f t="shared" si="128"/>
        <v>563350308</v>
      </c>
      <c r="CH833" s="52"/>
      <c r="CI833" s="52"/>
      <c r="CJ833" s="52"/>
      <c r="CK833" s="52"/>
      <c r="CL833" s="52"/>
      <c r="CM833" s="52"/>
      <c r="CN833" s="52"/>
      <c r="CO833" s="52"/>
      <c r="CP833" s="52"/>
      <c r="CQ833" s="52">
        <v>31733202</v>
      </c>
      <c r="CR833" s="52"/>
      <c r="CS833" s="52">
        <f t="shared" si="125"/>
        <v>595083510</v>
      </c>
      <c r="CT833" s="53">
        <v>253865616</v>
      </c>
      <c r="CU833" s="53">
        <f t="shared" si="126"/>
        <v>341217894</v>
      </c>
      <c r="CV833" s="54">
        <f t="shared" si="129"/>
        <v>595083510</v>
      </c>
      <c r="CW833" s="55">
        <f t="shared" si="130"/>
        <v>0</v>
      </c>
      <c r="CX833" s="16"/>
      <c r="CY833" s="16"/>
      <c r="CZ833" s="16"/>
    </row>
    <row r="834" spans="1:108" ht="15" customHeight="1" x14ac:dyDescent="0.2">
      <c r="A834" s="1">
        <v>8000752319</v>
      </c>
      <c r="B834" s="1">
        <v>800075231</v>
      </c>
      <c r="C834" s="9">
        <v>217023670</v>
      </c>
      <c r="D834" s="10" t="s">
        <v>2200</v>
      </c>
      <c r="E834" s="46" t="s">
        <v>1481</v>
      </c>
      <c r="F834" s="21"/>
      <c r="G834" s="50"/>
      <c r="H834" s="21"/>
      <c r="I834" s="50"/>
      <c r="J834" s="21"/>
      <c r="K834" s="21"/>
      <c r="L834" s="50"/>
      <c r="M834" s="51"/>
      <c r="N834" s="21"/>
      <c r="O834" s="50"/>
      <c r="P834" s="21"/>
      <c r="Q834" s="50"/>
      <c r="R834" s="21"/>
      <c r="S834" s="21"/>
      <c r="T834" s="50"/>
      <c r="U834" s="51">
        <f t="shared" si="124"/>
        <v>0</v>
      </c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>
        <v>109164563</v>
      </c>
      <c r="AN834" s="51">
        <f>SUBTOTAL(9,AC834:AM834)</f>
        <v>109164563</v>
      </c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>
        <v>676388270</v>
      </c>
      <c r="AZ834" s="51"/>
      <c r="BA834" s="51"/>
      <c r="BB834" s="51"/>
      <c r="BC834" s="52">
        <f t="shared" si="127"/>
        <v>785552833</v>
      </c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>
        <v>135277654</v>
      </c>
      <c r="BO834" s="51"/>
      <c r="BP834" s="52">
        <v>920830487</v>
      </c>
      <c r="BQ834" s="52"/>
      <c r="BR834" s="52"/>
      <c r="BS834" s="52"/>
      <c r="BT834" s="52"/>
      <c r="BU834" s="52"/>
      <c r="BV834" s="52"/>
      <c r="BW834" s="52"/>
      <c r="BX834" s="52"/>
      <c r="BY834" s="52"/>
      <c r="BZ834" s="52"/>
      <c r="CA834" s="52"/>
      <c r="CB834" s="52"/>
      <c r="CC834" s="52">
        <v>135277654</v>
      </c>
      <c r="CD834" s="52"/>
      <c r="CE834" s="52">
        <v>705280349</v>
      </c>
      <c r="CF834" s="52"/>
      <c r="CG834" s="52">
        <f t="shared" si="128"/>
        <v>1761388490</v>
      </c>
      <c r="CH834" s="52"/>
      <c r="CI834" s="52"/>
      <c r="CJ834" s="52"/>
      <c r="CK834" s="52"/>
      <c r="CL834" s="52"/>
      <c r="CM834" s="52"/>
      <c r="CN834" s="52"/>
      <c r="CO834" s="52"/>
      <c r="CP834" s="52"/>
      <c r="CQ834" s="52">
        <v>135277654</v>
      </c>
      <c r="CR834" s="52">
        <v>26756966</v>
      </c>
      <c r="CS834" s="52">
        <f t="shared" si="125"/>
        <v>1923423110</v>
      </c>
      <c r="CT834" s="53">
        <v>1082221232</v>
      </c>
      <c r="CU834" s="53">
        <f t="shared" si="126"/>
        <v>841201878</v>
      </c>
      <c r="CV834" s="54">
        <f t="shared" si="129"/>
        <v>1923423110</v>
      </c>
      <c r="CW834" s="55">
        <f t="shared" si="130"/>
        <v>0</v>
      </c>
      <c r="CX834" s="16"/>
      <c r="CY834" s="16"/>
      <c r="CZ834" s="16"/>
    </row>
    <row r="835" spans="1:108" ht="15" customHeight="1" x14ac:dyDescent="0.2">
      <c r="A835" s="1">
        <v>8909818683</v>
      </c>
      <c r="B835" s="1">
        <v>890981868</v>
      </c>
      <c r="C835" s="9">
        <v>214705647</v>
      </c>
      <c r="D835" s="10" t="s">
        <v>127</v>
      </c>
      <c r="E835" s="46" t="s">
        <v>1122</v>
      </c>
      <c r="F835" s="21"/>
      <c r="G835" s="50"/>
      <c r="H835" s="21"/>
      <c r="I835" s="50"/>
      <c r="J835" s="21"/>
      <c r="K835" s="21"/>
      <c r="L835" s="50"/>
      <c r="M835" s="51"/>
      <c r="N835" s="21"/>
      <c r="O835" s="50"/>
      <c r="P835" s="21"/>
      <c r="Q835" s="50"/>
      <c r="R835" s="21"/>
      <c r="S835" s="21"/>
      <c r="T835" s="50"/>
      <c r="U835" s="51">
        <f t="shared" ref="U835:U898" si="134">SUM(M835:T835)</f>
        <v>0</v>
      </c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>
        <v>47041855</v>
      </c>
      <c r="AZ835" s="51"/>
      <c r="BA835" s="51">
        <f>VLOOKUP(B835,[1]Hoja3!J$3:K$674,2,0)</f>
        <v>103780690</v>
      </c>
      <c r="BB835" s="51"/>
      <c r="BC835" s="52">
        <f t="shared" si="127"/>
        <v>150822545</v>
      </c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>
        <v>9408371</v>
      </c>
      <c r="BO835" s="51"/>
      <c r="BP835" s="52">
        <v>160230916</v>
      </c>
      <c r="BQ835" s="52"/>
      <c r="BR835" s="52"/>
      <c r="BS835" s="52"/>
      <c r="BT835" s="52"/>
      <c r="BU835" s="52"/>
      <c r="BV835" s="52"/>
      <c r="BW835" s="52"/>
      <c r="BX835" s="52"/>
      <c r="BY835" s="52"/>
      <c r="BZ835" s="52"/>
      <c r="CA835" s="52"/>
      <c r="CB835" s="52"/>
      <c r="CC835" s="52">
        <v>9408371</v>
      </c>
      <c r="CD835" s="52"/>
      <c r="CE835" s="52"/>
      <c r="CF835" s="52"/>
      <c r="CG835" s="52">
        <f t="shared" si="128"/>
        <v>169639287</v>
      </c>
      <c r="CH835" s="52"/>
      <c r="CI835" s="52"/>
      <c r="CJ835" s="52"/>
      <c r="CK835" s="52"/>
      <c r="CL835" s="52"/>
      <c r="CM835" s="52"/>
      <c r="CN835" s="52"/>
      <c r="CO835" s="52"/>
      <c r="CP835" s="52"/>
      <c r="CQ835" s="52">
        <v>9408371</v>
      </c>
      <c r="CR835" s="52"/>
      <c r="CS835" s="52">
        <f t="shared" ref="CS835:CS898" si="135">SUM(CG835:CR835)</f>
        <v>179047658</v>
      </c>
      <c r="CT835" s="53">
        <v>75266968</v>
      </c>
      <c r="CU835" s="53">
        <f t="shared" ref="CU835:CU898" si="136">+AM835+BA835-BB835+BO835+CE835+CF835+CR835</f>
        <v>103780690</v>
      </c>
      <c r="CV835" s="54">
        <f t="shared" si="129"/>
        <v>179047658</v>
      </c>
      <c r="CW835" s="55">
        <f t="shared" si="130"/>
        <v>0</v>
      </c>
      <c r="CX835" s="16"/>
      <c r="CY835" s="8"/>
      <c r="CZ835" s="8"/>
      <c r="DA835" s="8"/>
      <c r="DB835" s="8"/>
      <c r="DC835" s="8"/>
      <c r="DD835" s="8"/>
    </row>
    <row r="836" spans="1:108" ht="15" customHeight="1" x14ac:dyDescent="0.2">
      <c r="A836" s="1">
        <v>8902070221</v>
      </c>
      <c r="B836" s="1">
        <v>890207022</v>
      </c>
      <c r="C836" s="9">
        <v>216968669</v>
      </c>
      <c r="D836" s="10" t="s">
        <v>873</v>
      </c>
      <c r="E836" s="46" t="s">
        <v>1885</v>
      </c>
      <c r="F836" s="21"/>
      <c r="G836" s="50"/>
      <c r="H836" s="21"/>
      <c r="I836" s="50"/>
      <c r="J836" s="21"/>
      <c r="K836" s="21"/>
      <c r="L836" s="50"/>
      <c r="M836" s="51"/>
      <c r="N836" s="21"/>
      <c r="O836" s="50"/>
      <c r="P836" s="21"/>
      <c r="Q836" s="50"/>
      <c r="R836" s="21"/>
      <c r="S836" s="21"/>
      <c r="T836" s="50"/>
      <c r="U836" s="51">
        <f t="shared" si="134"/>
        <v>0</v>
      </c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>
        <v>19354654</v>
      </c>
      <c r="AN836" s="51">
        <f>SUBTOTAL(9,AC836:AM836)</f>
        <v>19354654</v>
      </c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>
        <v>67970400</v>
      </c>
      <c r="AZ836" s="51"/>
      <c r="BA836" s="51">
        <f>VLOOKUP(B836,[1]Hoja3!J$3:K$674,2,0)</f>
        <v>65097972</v>
      </c>
      <c r="BB836" s="51"/>
      <c r="BC836" s="52">
        <f t="shared" ref="BC836:BC899" si="137">SUM(AN836:BA836)-BB836</f>
        <v>152423026</v>
      </c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>
        <v>13594080</v>
      </c>
      <c r="BO836" s="51"/>
      <c r="BP836" s="52">
        <v>166017106</v>
      </c>
      <c r="BQ836" s="52"/>
      <c r="BR836" s="52"/>
      <c r="BS836" s="52"/>
      <c r="BT836" s="52"/>
      <c r="BU836" s="52"/>
      <c r="BV836" s="52"/>
      <c r="BW836" s="52"/>
      <c r="BX836" s="52"/>
      <c r="BY836" s="52"/>
      <c r="BZ836" s="52"/>
      <c r="CA836" s="52"/>
      <c r="CB836" s="52"/>
      <c r="CC836" s="52">
        <v>13594080</v>
      </c>
      <c r="CD836" s="52"/>
      <c r="CE836" s="52"/>
      <c r="CF836" s="52"/>
      <c r="CG836" s="52">
        <f t="shared" ref="CG836:CG899" si="138">SUM(BP836:CF836)</f>
        <v>179611186</v>
      </c>
      <c r="CH836" s="52"/>
      <c r="CI836" s="52"/>
      <c r="CJ836" s="52"/>
      <c r="CK836" s="52"/>
      <c r="CL836" s="52"/>
      <c r="CM836" s="52"/>
      <c r="CN836" s="52"/>
      <c r="CO836" s="52"/>
      <c r="CP836" s="52"/>
      <c r="CQ836" s="52">
        <v>13594080</v>
      </c>
      <c r="CR836" s="52"/>
      <c r="CS836" s="52">
        <f t="shared" si="135"/>
        <v>193205266</v>
      </c>
      <c r="CT836" s="53">
        <v>108752640</v>
      </c>
      <c r="CU836" s="53">
        <f t="shared" si="136"/>
        <v>84452626</v>
      </c>
      <c r="CV836" s="54">
        <f t="shared" ref="CV836:CV899" si="139">+CT836+CU836</f>
        <v>193205266</v>
      </c>
      <c r="CW836" s="55">
        <f t="shared" ref="CW836:CW899" si="140">+CS836-CV836</f>
        <v>0</v>
      </c>
      <c r="CX836" s="16"/>
      <c r="CY836" s="16"/>
      <c r="CZ836" s="16"/>
    </row>
    <row r="837" spans="1:108" ht="15" customHeight="1" x14ac:dyDescent="0.2">
      <c r="A837" s="1">
        <v>8000967818</v>
      </c>
      <c r="B837" s="1">
        <v>800096781</v>
      </c>
      <c r="C837" s="9">
        <v>217223672</v>
      </c>
      <c r="D837" s="10" t="s">
        <v>455</v>
      </c>
      <c r="E837" s="46" t="s">
        <v>1482</v>
      </c>
      <c r="F837" s="21"/>
      <c r="G837" s="50"/>
      <c r="H837" s="21"/>
      <c r="I837" s="50"/>
      <c r="J837" s="21"/>
      <c r="K837" s="21"/>
      <c r="L837" s="50"/>
      <c r="M837" s="51"/>
      <c r="N837" s="21"/>
      <c r="O837" s="50"/>
      <c r="P837" s="21"/>
      <c r="Q837" s="50"/>
      <c r="R837" s="21"/>
      <c r="S837" s="21"/>
      <c r="T837" s="50"/>
      <c r="U837" s="51">
        <f t="shared" si="134"/>
        <v>0</v>
      </c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>
        <v>630256153</v>
      </c>
      <c r="AN837" s="51">
        <f>SUBTOTAL(9,AC837:AM837)</f>
        <v>630256153</v>
      </c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2">
        <f t="shared" si="137"/>
        <v>630256153</v>
      </c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>
        <v>69023269</v>
      </c>
      <c r="BO837" s="51"/>
      <c r="BP837" s="52">
        <v>699279422</v>
      </c>
      <c r="BQ837" s="52"/>
      <c r="BR837" s="52"/>
      <c r="BS837" s="52"/>
      <c r="BT837" s="52"/>
      <c r="BU837" s="52"/>
      <c r="BV837" s="52"/>
      <c r="BW837" s="52"/>
      <c r="BX837" s="52"/>
      <c r="BY837" s="52"/>
      <c r="BZ837" s="52"/>
      <c r="CA837" s="52"/>
      <c r="CB837" s="52"/>
      <c r="CC837" s="52">
        <v>69023269</v>
      </c>
      <c r="CD837" s="52">
        <v>345116345</v>
      </c>
      <c r="CE837" s="52"/>
      <c r="CF837" s="52"/>
      <c r="CG837" s="52">
        <f t="shared" si="138"/>
        <v>1113419036</v>
      </c>
      <c r="CH837" s="52"/>
      <c r="CI837" s="52"/>
      <c r="CJ837" s="52"/>
      <c r="CK837" s="52"/>
      <c r="CL837" s="52"/>
      <c r="CM837" s="52"/>
      <c r="CN837" s="52"/>
      <c r="CO837" s="52"/>
      <c r="CP837" s="52"/>
      <c r="CQ837" s="52">
        <v>69023269</v>
      </c>
      <c r="CR837" s="52"/>
      <c r="CS837" s="52">
        <f t="shared" si="135"/>
        <v>1182442305</v>
      </c>
      <c r="CT837" s="53">
        <v>552186152</v>
      </c>
      <c r="CU837" s="53">
        <f t="shared" si="136"/>
        <v>630256153</v>
      </c>
      <c r="CV837" s="54">
        <f t="shared" si="139"/>
        <v>1182442305</v>
      </c>
      <c r="CW837" s="55">
        <f t="shared" si="140"/>
        <v>0</v>
      </c>
      <c r="CX837" s="16"/>
      <c r="CY837" s="16"/>
      <c r="CZ837" s="16"/>
    </row>
    <row r="838" spans="1:108" ht="15" customHeight="1" x14ac:dyDescent="0.2">
      <c r="A838" s="1">
        <v>8605270461</v>
      </c>
      <c r="B838" s="1">
        <v>860527046</v>
      </c>
      <c r="C838" s="9">
        <v>214525645</v>
      </c>
      <c r="D838" s="10" t="s">
        <v>2121</v>
      </c>
      <c r="E838" s="46" t="s">
        <v>1556</v>
      </c>
      <c r="F838" s="21"/>
      <c r="G838" s="50"/>
      <c r="H838" s="21"/>
      <c r="I838" s="50"/>
      <c r="J838" s="21"/>
      <c r="K838" s="21"/>
      <c r="L838" s="50"/>
      <c r="M838" s="51"/>
      <c r="N838" s="21"/>
      <c r="O838" s="50"/>
      <c r="P838" s="21"/>
      <c r="Q838" s="50"/>
      <c r="R838" s="21"/>
      <c r="S838" s="21"/>
      <c r="T838" s="50"/>
      <c r="U838" s="51">
        <f t="shared" si="134"/>
        <v>0</v>
      </c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>
        <v>58756097</v>
      </c>
      <c r="AN838" s="51">
        <f>SUBTOTAL(9,AC838:AM838)</f>
        <v>58756097</v>
      </c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>
        <f>VLOOKUP(B838,[1]Hoja3!J$3:K$674,2,0)</f>
        <v>93543776</v>
      </c>
      <c r="BB838" s="51"/>
      <c r="BC838" s="52">
        <f t="shared" si="137"/>
        <v>152299873</v>
      </c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>
        <v>0</v>
      </c>
      <c r="BO838" s="51"/>
      <c r="BP838" s="52">
        <v>152299873</v>
      </c>
      <c r="BQ838" s="52"/>
      <c r="BR838" s="52"/>
      <c r="BS838" s="52"/>
      <c r="BT838" s="52"/>
      <c r="BU838" s="52"/>
      <c r="BV838" s="52"/>
      <c r="BW838" s="52"/>
      <c r="BX838" s="52"/>
      <c r="BY838" s="52"/>
      <c r="BZ838" s="52"/>
      <c r="CA838" s="52"/>
      <c r="CB838" s="52"/>
      <c r="CC838" s="52">
        <v>0</v>
      </c>
      <c r="CD838" s="52"/>
      <c r="CE838" s="52"/>
      <c r="CF838" s="52"/>
      <c r="CG838" s="52">
        <f t="shared" si="138"/>
        <v>152299873</v>
      </c>
      <c r="CH838" s="52"/>
      <c r="CI838" s="52"/>
      <c r="CJ838" s="52"/>
      <c r="CK838" s="52"/>
      <c r="CL838" s="52"/>
      <c r="CM838" s="52"/>
      <c r="CN838" s="52"/>
      <c r="CO838" s="52"/>
      <c r="CP838" s="52"/>
      <c r="CQ838" s="52">
        <v>123590112</v>
      </c>
      <c r="CR838" s="52"/>
      <c r="CS838" s="52">
        <f t="shared" si="135"/>
        <v>275889985</v>
      </c>
      <c r="CT838" s="53">
        <v>123590112</v>
      </c>
      <c r="CU838" s="53">
        <f t="shared" si="136"/>
        <v>152299873</v>
      </c>
      <c r="CV838" s="54">
        <f t="shared" si="139"/>
        <v>275889985</v>
      </c>
      <c r="CW838" s="55">
        <f t="shared" si="140"/>
        <v>0</v>
      </c>
      <c r="CX838" s="16"/>
      <c r="CY838" s="16"/>
      <c r="CZ838" s="16"/>
    </row>
    <row r="839" spans="1:108" ht="15" customHeight="1" x14ac:dyDescent="0.2">
      <c r="A839" s="1">
        <v>8001001411</v>
      </c>
      <c r="B839" s="1">
        <v>800100141</v>
      </c>
      <c r="C839" s="9">
        <v>217573675</v>
      </c>
      <c r="D839" s="10" t="s">
        <v>2237</v>
      </c>
      <c r="E839" s="46" t="s">
        <v>1965</v>
      </c>
      <c r="F839" s="21"/>
      <c r="G839" s="50"/>
      <c r="H839" s="21"/>
      <c r="I839" s="50"/>
      <c r="J839" s="21"/>
      <c r="K839" s="21"/>
      <c r="L839" s="50"/>
      <c r="M839" s="51"/>
      <c r="N839" s="21"/>
      <c r="O839" s="50"/>
      <c r="P839" s="21"/>
      <c r="Q839" s="50"/>
      <c r="R839" s="21"/>
      <c r="S839" s="21"/>
      <c r="T839" s="50"/>
      <c r="U839" s="51">
        <f t="shared" si="134"/>
        <v>0</v>
      </c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>
        <v>67183970</v>
      </c>
      <c r="AN839" s="51">
        <f>SUBTOTAL(9,AC839:AM839)</f>
        <v>67183970</v>
      </c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>
        <v>119609340</v>
      </c>
      <c r="AZ839" s="51"/>
      <c r="BA839" s="51">
        <f>VLOOKUP(B839,[1]Hoja3!J$3:K$674,2,0)</f>
        <v>176541768</v>
      </c>
      <c r="BB839" s="51"/>
      <c r="BC839" s="52">
        <f t="shared" si="137"/>
        <v>363335078</v>
      </c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>
        <v>23921868</v>
      </c>
      <c r="BO839" s="51"/>
      <c r="BP839" s="52">
        <v>387256946</v>
      </c>
      <c r="BQ839" s="52"/>
      <c r="BR839" s="52"/>
      <c r="BS839" s="52"/>
      <c r="BT839" s="52"/>
      <c r="BU839" s="52"/>
      <c r="BV839" s="52"/>
      <c r="BW839" s="52"/>
      <c r="BX839" s="52"/>
      <c r="BY839" s="52"/>
      <c r="BZ839" s="52"/>
      <c r="CA839" s="52"/>
      <c r="CB839" s="52"/>
      <c r="CC839" s="52">
        <v>23921868</v>
      </c>
      <c r="CD839" s="52"/>
      <c r="CE839" s="52"/>
      <c r="CF839" s="52"/>
      <c r="CG839" s="52">
        <f t="shared" si="138"/>
        <v>411178814</v>
      </c>
      <c r="CH839" s="52"/>
      <c r="CI839" s="52"/>
      <c r="CJ839" s="52"/>
      <c r="CK839" s="52"/>
      <c r="CL839" s="52"/>
      <c r="CM839" s="52"/>
      <c r="CN839" s="52"/>
      <c r="CO839" s="52"/>
      <c r="CP839" s="52"/>
      <c r="CQ839" s="52">
        <v>23921868</v>
      </c>
      <c r="CR839" s="52"/>
      <c r="CS839" s="52">
        <f t="shared" si="135"/>
        <v>435100682</v>
      </c>
      <c r="CT839" s="53">
        <v>191374944</v>
      </c>
      <c r="CU839" s="53">
        <f t="shared" si="136"/>
        <v>243725738</v>
      </c>
      <c r="CV839" s="54">
        <f t="shared" si="139"/>
        <v>435100682</v>
      </c>
      <c r="CW839" s="55">
        <f t="shared" si="140"/>
        <v>0</v>
      </c>
      <c r="CX839" s="16"/>
      <c r="CY839" s="16"/>
      <c r="CZ839" s="16"/>
    </row>
    <row r="840" spans="1:108" ht="15" customHeight="1" x14ac:dyDescent="0.2">
      <c r="A840" s="1">
        <v>8922800544</v>
      </c>
      <c r="B840" s="1">
        <v>892280054</v>
      </c>
      <c r="C840" s="9">
        <v>217870678</v>
      </c>
      <c r="D840" s="10" t="s">
        <v>906</v>
      </c>
      <c r="E840" s="46" t="s">
        <v>1919</v>
      </c>
      <c r="F840" s="21"/>
      <c r="G840" s="50"/>
      <c r="H840" s="21"/>
      <c r="I840" s="50"/>
      <c r="J840" s="21"/>
      <c r="K840" s="21"/>
      <c r="L840" s="50"/>
      <c r="M840" s="51"/>
      <c r="N840" s="21"/>
      <c r="O840" s="50"/>
      <c r="P840" s="21"/>
      <c r="Q840" s="50"/>
      <c r="R840" s="21"/>
      <c r="S840" s="21"/>
      <c r="T840" s="50"/>
      <c r="U840" s="51">
        <f t="shared" si="134"/>
        <v>0</v>
      </c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>
        <f>VLOOKUP(B840,[1]Hoja3!J$3:K$674,2,0)</f>
        <v>519555219</v>
      </c>
      <c r="BB840" s="51"/>
      <c r="BC840" s="52">
        <f t="shared" si="137"/>
        <v>519555219</v>
      </c>
      <c r="BD840" s="51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>
        <v>0</v>
      </c>
      <c r="BO840" s="51"/>
      <c r="BP840" s="52">
        <v>519555219</v>
      </c>
      <c r="BQ840" s="52"/>
      <c r="BR840" s="52"/>
      <c r="BS840" s="52"/>
      <c r="BT840" s="52"/>
      <c r="BU840" s="52"/>
      <c r="BV840" s="52"/>
      <c r="BW840" s="52"/>
      <c r="BX840" s="52"/>
      <c r="BY840" s="52"/>
      <c r="BZ840" s="52"/>
      <c r="CA840" s="52"/>
      <c r="CB840" s="52"/>
      <c r="CC840" s="52"/>
      <c r="CD840" s="52"/>
      <c r="CE840" s="52"/>
      <c r="CF840" s="52"/>
      <c r="CG840" s="52">
        <f t="shared" si="138"/>
        <v>519555219</v>
      </c>
      <c r="CH840" s="52"/>
      <c r="CI840" s="52"/>
      <c r="CJ840" s="52"/>
      <c r="CK840" s="52"/>
      <c r="CL840" s="52"/>
      <c r="CM840" s="52"/>
      <c r="CN840" s="52"/>
      <c r="CO840" s="52"/>
      <c r="CP840" s="52"/>
      <c r="CQ840" s="52">
        <v>535715912</v>
      </c>
      <c r="CR840" s="52">
        <v>14837224</v>
      </c>
      <c r="CS840" s="52">
        <f t="shared" si="135"/>
        <v>1070108355</v>
      </c>
      <c r="CT840" s="53">
        <v>535715912</v>
      </c>
      <c r="CU840" s="53">
        <f t="shared" si="136"/>
        <v>534392443</v>
      </c>
      <c r="CV840" s="54">
        <f t="shared" si="139"/>
        <v>1070108355</v>
      </c>
      <c r="CW840" s="55">
        <f t="shared" si="140"/>
        <v>0</v>
      </c>
      <c r="CX840" s="16"/>
      <c r="CY840" s="16"/>
      <c r="CZ840" s="16"/>
    </row>
    <row r="841" spans="1:108" ht="15" customHeight="1" x14ac:dyDescent="0.2">
      <c r="A841" s="1">
        <v>8902102275</v>
      </c>
      <c r="B841" s="1">
        <v>890210227</v>
      </c>
      <c r="C841" s="9">
        <v>217368673</v>
      </c>
      <c r="D841" s="10" t="s">
        <v>874</v>
      </c>
      <c r="E841" s="46" t="s">
        <v>1886</v>
      </c>
      <c r="F841" s="21"/>
      <c r="G841" s="50"/>
      <c r="H841" s="21"/>
      <c r="I841" s="50"/>
      <c r="J841" s="21"/>
      <c r="K841" s="21"/>
      <c r="L841" s="50"/>
      <c r="M841" s="51"/>
      <c r="N841" s="21"/>
      <c r="O841" s="50"/>
      <c r="P841" s="21"/>
      <c r="Q841" s="50"/>
      <c r="R841" s="21"/>
      <c r="S841" s="21"/>
      <c r="T841" s="50"/>
      <c r="U841" s="51">
        <f t="shared" si="134"/>
        <v>0</v>
      </c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>
        <v>19224243</v>
      </c>
      <c r="AN841" s="51">
        <f t="shared" ref="AN841:AN846" si="141">SUBTOTAL(9,AC841:AM841)</f>
        <v>19224243</v>
      </c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>
        <v>19220210</v>
      </c>
      <c r="AZ841" s="51"/>
      <c r="BA841" s="51">
        <f>VLOOKUP(B841,[1]Hoja3!J$3:K$674,2,0)</f>
        <v>19643415</v>
      </c>
      <c r="BB841" s="51"/>
      <c r="BC841" s="52">
        <f t="shared" si="137"/>
        <v>58087868</v>
      </c>
      <c r="BD841" s="51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>
        <v>3844042</v>
      </c>
      <c r="BO841" s="51"/>
      <c r="BP841" s="52">
        <v>61931910</v>
      </c>
      <c r="BQ841" s="52"/>
      <c r="BR841" s="52"/>
      <c r="BS841" s="52"/>
      <c r="BT841" s="52"/>
      <c r="BU841" s="52"/>
      <c r="BV841" s="52"/>
      <c r="BW841" s="52"/>
      <c r="BX841" s="52"/>
      <c r="BY841" s="52"/>
      <c r="BZ841" s="52"/>
      <c r="CA841" s="52"/>
      <c r="CB841" s="52"/>
      <c r="CC841" s="52">
        <v>3844042</v>
      </c>
      <c r="CD841" s="52"/>
      <c r="CE841" s="52"/>
      <c r="CF841" s="52"/>
      <c r="CG841" s="52">
        <f t="shared" si="138"/>
        <v>65775952</v>
      </c>
      <c r="CH841" s="52"/>
      <c r="CI841" s="52"/>
      <c r="CJ841" s="52"/>
      <c r="CK841" s="52"/>
      <c r="CL841" s="52"/>
      <c r="CM841" s="52"/>
      <c r="CN841" s="52"/>
      <c r="CO841" s="52"/>
      <c r="CP841" s="52"/>
      <c r="CQ841" s="52">
        <v>3844042</v>
      </c>
      <c r="CR841" s="52"/>
      <c r="CS841" s="52">
        <f t="shared" si="135"/>
        <v>69619994</v>
      </c>
      <c r="CT841" s="53">
        <v>30752336</v>
      </c>
      <c r="CU841" s="53">
        <f t="shared" si="136"/>
        <v>38867658</v>
      </c>
      <c r="CV841" s="54">
        <f t="shared" si="139"/>
        <v>69619994</v>
      </c>
      <c r="CW841" s="55">
        <f t="shared" si="140"/>
        <v>0</v>
      </c>
      <c r="CX841" s="16"/>
      <c r="CY841" s="16"/>
      <c r="CZ841" s="16"/>
    </row>
    <row r="842" spans="1:108" ht="15" customHeight="1" x14ac:dyDescent="0.2">
      <c r="A842" s="1">
        <v>8000968049</v>
      </c>
      <c r="B842" s="1">
        <v>800096804</v>
      </c>
      <c r="C842" s="9">
        <v>217523675</v>
      </c>
      <c r="D842" s="10" t="s">
        <v>2113</v>
      </c>
      <c r="E842" s="46" t="s">
        <v>1483</v>
      </c>
      <c r="F842" s="21"/>
      <c r="G842" s="50"/>
      <c r="H842" s="21"/>
      <c r="I842" s="50"/>
      <c r="J842" s="21"/>
      <c r="K842" s="21"/>
      <c r="L842" s="50"/>
      <c r="M842" s="51"/>
      <c r="N842" s="21"/>
      <c r="O842" s="50"/>
      <c r="P842" s="21"/>
      <c r="Q842" s="50"/>
      <c r="R842" s="21"/>
      <c r="S842" s="21"/>
      <c r="T842" s="50"/>
      <c r="U842" s="51">
        <f t="shared" si="134"/>
        <v>0</v>
      </c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>
        <v>523822108</v>
      </c>
      <c r="AN842" s="51">
        <f t="shared" si="141"/>
        <v>523822108</v>
      </c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>
        <v>374686345</v>
      </c>
      <c r="AZ842" s="51"/>
      <c r="BA842" s="51">
        <f>VLOOKUP(B842,[1]Hoja3!J$3:K$674,2,0)</f>
        <v>40074503</v>
      </c>
      <c r="BB842" s="51"/>
      <c r="BC842" s="52">
        <f t="shared" si="137"/>
        <v>938582956</v>
      </c>
      <c r="BD842" s="51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>
        <v>74937269</v>
      </c>
      <c r="BO842" s="51"/>
      <c r="BP842" s="52">
        <v>1013520225</v>
      </c>
      <c r="BQ842" s="52"/>
      <c r="BR842" s="52"/>
      <c r="BS842" s="52"/>
      <c r="BT842" s="52"/>
      <c r="BU842" s="52"/>
      <c r="BV842" s="52"/>
      <c r="BW842" s="52"/>
      <c r="BX842" s="52"/>
      <c r="BY842" s="52"/>
      <c r="BZ842" s="52"/>
      <c r="CA842" s="52"/>
      <c r="CB842" s="52"/>
      <c r="CC842" s="52">
        <v>74937269</v>
      </c>
      <c r="CD842" s="52"/>
      <c r="CE842" s="52"/>
      <c r="CF842" s="52"/>
      <c r="CG842" s="52">
        <f t="shared" si="138"/>
        <v>1088457494</v>
      </c>
      <c r="CH842" s="52"/>
      <c r="CI842" s="52"/>
      <c r="CJ842" s="52"/>
      <c r="CK842" s="52"/>
      <c r="CL842" s="52"/>
      <c r="CM842" s="52"/>
      <c r="CN842" s="52"/>
      <c r="CO842" s="52"/>
      <c r="CP842" s="52"/>
      <c r="CQ842" s="52">
        <v>74937269</v>
      </c>
      <c r="CR842" s="52"/>
      <c r="CS842" s="52">
        <f t="shared" si="135"/>
        <v>1163394763</v>
      </c>
      <c r="CT842" s="53">
        <v>599498152</v>
      </c>
      <c r="CU842" s="53">
        <f t="shared" si="136"/>
        <v>563896611</v>
      </c>
      <c r="CV842" s="54">
        <f t="shared" si="139"/>
        <v>1163394763</v>
      </c>
      <c r="CW842" s="55">
        <f t="shared" si="140"/>
        <v>0</v>
      </c>
      <c r="CX842" s="16"/>
      <c r="CY842" s="16"/>
      <c r="CZ842" s="16"/>
    </row>
    <row r="843" spans="1:108" ht="15" customHeight="1" x14ac:dyDescent="0.2">
      <c r="A843" s="1">
        <v>8000934375</v>
      </c>
      <c r="B843" s="1">
        <v>800093437</v>
      </c>
      <c r="C843" s="9">
        <v>214925649</v>
      </c>
      <c r="D843" s="10" t="s">
        <v>531</v>
      </c>
      <c r="E843" s="46" t="s">
        <v>1557</v>
      </c>
      <c r="F843" s="21"/>
      <c r="G843" s="50"/>
      <c r="H843" s="21"/>
      <c r="I843" s="50"/>
      <c r="J843" s="21"/>
      <c r="K843" s="21"/>
      <c r="L843" s="50"/>
      <c r="M843" s="51"/>
      <c r="N843" s="21"/>
      <c r="O843" s="50"/>
      <c r="P843" s="21"/>
      <c r="Q843" s="50"/>
      <c r="R843" s="21"/>
      <c r="S843" s="21"/>
      <c r="T843" s="50"/>
      <c r="U843" s="51">
        <f t="shared" si="134"/>
        <v>0</v>
      </c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>
        <v>155952926</v>
      </c>
      <c r="AN843" s="51">
        <f t="shared" si="141"/>
        <v>155952926</v>
      </c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>
        <v>73920050</v>
      </c>
      <c r="AZ843" s="51"/>
      <c r="BA843" s="51"/>
      <c r="BB843" s="51"/>
      <c r="BC843" s="52">
        <f t="shared" si="137"/>
        <v>229872976</v>
      </c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>
        <v>14784010</v>
      </c>
      <c r="BO843" s="51"/>
      <c r="BP843" s="52">
        <v>244656986</v>
      </c>
      <c r="BQ843" s="52"/>
      <c r="BR843" s="52"/>
      <c r="BS843" s="52"/>
      <c r="BT843" s="52"/>
      <c r="BU843" s="52"/>
      <c r="BV843" s="52"/>
      <c r="BW843" s="52"/>
      <c r="BX843" s="52"/>
      <c r="BY843" s="52"/>
      <c r="BZ843" s="52"/>
      <c r="CA843" s="52"/>
      <c r="CB843" s="52"/>
      <c r="CC843" s="52">
        <v>14784010</v>
      </c>
      <c r="CD843" s="52"/>
      <c r="CE843" s="52"/>
      <c r="CF843" s="52"/>
      <c r="CG843" s="52">
        <f t="shared" si="138"/>
        <v>259440996</v>
      </c>
      <c r="CH843" s="52"/>
      <c r="CI843" s="52"/>
      <c r="CJ843" s="52"/>
      <c r="CK843" s="52"/>
      <c r="CL843" s="52"/>
      <c r="CM843" s="52"/>
      <c r="CN843" s="52"/>
      <c r="CO843" s="52"/>
      <c r="CP843" s="52"/>
      <c r="CQ843" s="52">
        <v>14784010</v>
      </c>
      <c r="CR843" s="52"/>
      <c r="CS843" s="52">
        <f t="shared" si="135"/>
        <v>274225006</v>
      </c>
      <c r="CT843" s="53">
        <v>118272080</v>
      </c>
      <c r="CU843" s="53">
        <f t="shared" si="136"/>
        <v>155952926</v>
      </c>
      <c r="CV843" s="54">
        <f t="shared" si="139"/>
        <v>274225006</v>
      </c>
      <c r="CW843" s="55">
        <f t="shared" si="140"/>
        <v>0</v>
      </c>
      <c r="CX843" s="16"/>
      <c r="CY843" s="16"/>
      <c r="CZ843" s="16"/>
    </row>
    <row r="844" spans="1:108" ht="15" customHeight="1" x14ac:dyDescent="0.2">
      <c r="A844" s="1">
        <v>8001930318</v>
      </c>
      <c r="B844" s="1">
        <v>800193031</v>
      </c>
      <c r="C844" s="9">
        <v>218552685</v>
      </c>
      <c r="D844" s="10" t="s">
        <v>740</v>
      </c>
      <c r="E844" s="46" t="s">
        <v>1735</v>
      </c>
      <c r="F844" s="21"/>
      <c r="G844" s="50"/>
      <c r="H844" s="21"/>
      <c r="I844" s="50"/>
      <c r="J844" s="21"/>
      <c r="K844" s="21"/>
      <c r="L844" s="50"/>
      <c r="M844" s="51"/>
      <c r="N844" s="21"/>
      <c r="O844" s="50"/>
      <c r="P844" s="21"/>
      <c r="Q844" s="50"/>
      <c r="R844" s="21"/>
      <c r="S844" s="21"/>
      <c r="T844" s="50"/>
      <c r="U844" s="51">
        <f t="shared" si="134"/>
        <v>0</v>
      </c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>
        <v>84361079</v>
      </c>
      <c r="AN844" s="51">
        <f t="shared" si="141"/>
        <v>84361079</v>
      </c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>
        <v>54015170</v>
      </c>
      <c r="AZ844" s="51"/>
      <c r="BA844" s="51"/>
      <c r="BB844" s="51"/>
      <c r="BC844" s="52">
        <f t="shared" si="137"/>
        <v>138376249</v>
      </c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>
        <v>10803034</v>
      </c>
      <c r="BO844" s="51"/>
      <c r="BP844" s="52">
        <v>149179283</v>
      </c>
      <c r="BQ844" s="52"/>
      <c r="BR844" s="52"/>
      <c r="BS844" s="52"/>
      <c r="BT844" s="52"/>
      <c r="BU844" s="52"/>
      <c r="BV844" s="52"/>
      <c r="BW844" s="52"/>
      <c r="BX844" s="52"/>
      <c r="BY844" s="52"/>
      <c r="BZ844" s="52"/>
      <c r="CA844" s="52"/>
      <c r="CB844" s="52"/>
      <c r="CC844" s="52">
        <v>10803034</v>
      </c>
      <c r="CD844" s="52"/>
      <c r="CE844" s="52"/>
      <c r="CF844" s="52"/>
      <c r="CG844" s="52">
        <f t="shared" si="138"/>
        <v>159982317</v>
      </c>
      <c r="CH844" s="52"/>
      <c r="CI844" s="52"/>
      <c r="CJ844" s="52"/>
      <c r="CK844" s="52"/>
      <c r="CL844" s="52"/>
      <c r="CM844" s="52"/>
      <c r="CN844" s="52"/>
      <c r="CO844" s="52"/>
      <c r="CP844" s="52"/>
      <c r="CQ844" s="52">
        <v>10803034</v>
      </c>
      <c r="CR844" s="52"/>
      <c r="CS844" s="52">
        <f t="shared" si="135"/>
        <v>170785351</v>
      </c>
      <c r="CT844" s="53">
        <v>86424272</v>
      </c>
      <c r="CU844" s="53">
        <f t="shared" si="136"/>
        <v>84361079</v>
      </c>
      <c r="CV844" s="54">
        <f t="shared" si="139"/>
        <v>170785351</v>
      </c>
      <c r="CW844" s="55">
        <f t="shared" si="140"/>
        <v>0</v>
      </c>
      <c r="CX844" s="16"/>
      <c r="CY844" s="8"/>
      <c r="CZ844" s="8"/>
      <c r="DA844" s="8"/>
      <c r="DB844" s="8"/>
      <c r="DC844" s="8"/>
      <c r="DD844" s="8"/>
    </row>
    <row r="845" spans="1:108" ht="15" customHeight="1" x14ac:dyDescent="0.2">
      <c r="A845" s="1">
        <v>8000992606</v>
      </c>
      <c r="B845" s="1">
        <v>800099260</v>
      </c>
      <c r="C845" s="9">
        <v>217054670</v>
      </c>
      <c r="D845" s="10" t="s">
        <v>780</v>
      </c>
      <c r="E845" s="46" t="s">
        <v>1796</v>
      </c>
      <c r="F845" s="21"/>
      <c r="G845" s="50"/>
      <c r="H845" s="21"/>
      <c r="I845" s="50"/>
      <c r="J845" s="21"/>
      <c r="K845" s="21"/>
      <c r="L845" s="50"/>
      <c r="M845" s="51"/>
      <c r="N845" s="21"/>
      <c r="O845" s="50"/>
      <c r="P845" s="21"/>
      <c r="Q845" s="50"/>
      <c r="R845" s="21"/>
      <c r="S845" s="21"/>
      <c r="T845" s="50"/>
      <c r="U845" s="51">
        <f t="shared" si="134"/>
        <v>0</v>
      </c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>
        <v>44264459</v>
      </c>
      <c r="AN845" s="51">
        <f t="shared" si="141"/>
        <v>44264459</v>
      </c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>
        <v>132853365</v>
      </c>
      <c r="AZ845" s="51"/>
      <c r="BA845" s="51">
        <f>VLOOKUP(B845,[1]Hoja3!J$3:K$674,2,0)</f>
        <v>46482468</v>
      </c>
      <c r="BB845" s="51"/>
      <c r="BC845" s="52">
        <f t="shared" si="137"/>
        <v>223600292</v>
      </c>
      <c r="BD845" s="51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>
        <v>26570673</v>
      </c>
      <c r="BO845" s="51"/>
      <c r="BP845" s="52">
        <v>250170965</v>
      </c>
      <c r="BQ845" s="52"/>
      <c r="BR845" s="52"/>
      <c r="BS845" s="52"/>
      <c r="BT845" s="52"/>
      <c r="BU845" s="52"/>
      <c r="BV845" s="52"/>
      <c r="BW845" s="52"/>
      <c r="BX845" s="52"/>
      <c r="BY845" s="52"/>
      <c r="BZ845" s="52"/>
      <c r="CA845" s="52"/>
      <c r="CB845" s="52"/>
      <c r="CC845" s="52">
        <v>26570673</v>
      </c>
      <c r="CD845" s="52"/>
      <c r="CE845" s="52"/>
      <c r="CF845" s="52"/>
      <c r="CG845" s="52">
        <f t="shared" si="138"/>
        <v>276741638</v>
      </c>
      <c r="CH845" s="52"/>
      <c r="CI845" s="52"/>
      <c r="CJ845" s="52"/>
      <c r="CK845" s="52"/>
      <c r="CL845" s="52"/>
      <c r="CM845" s="52"/>
      <c r="CN845" s="52"/>
      <c r="CO845" s="52"/>
      <c r="CP845" s="52"/>
      <c r="CQ845" s="52">
        <v>26570673</v>
      </c>
      <c r="CR845" s="52"/>
      <c r="CS845" s="52">
        <f t="shared" si="135"/>
        <v>303312311</v>
      </c>
      <c r="CT845" s="53">
        <v>212565384</v>
      </c>
      <c r="CU845" s="53">
        <f t="shared" si="136"/>
        <v>90746927</v>
      </c>
      <c r="CV845" s="54">
        <f t="shared" si="139"/>
        <v>303312311</v>
      </c>
      <c r="CW845" s="55">
        <f t="shared" si="140"/>
        <v>0</v>
      </c>
      <c r="CX845" s="16"/>
      <c r="CY845" s="16"/>
      <c r="CZ845" s="16"/>
    </row>
    <row r="846" spans="1:108" ht="15" customHeight="1" x14ac:dyDescent="0.2">
      <c r="A846" s="1">
        <v>8000982031</v>
      </c>
      <c r="B846" s="1">
        <v>800098203</v>
      </c>
      <c r="C846" s="9">
        <v>218050680</v>
      </c>
      <c r="D846" s="10" t="s">
        <v>2129</v>
      </c>
      <c r="E846" s="46" t="s">
        <v>1709</v>
      </c>
      <c r="F846" s="21"/>
      <c r="G846" s="50"/>
      <c r="H846" s="21"/>
      <c r="I846" s="50"/>
      <c r="J846" s="21"/>
      <c r="K846" s="21"/>
      <c r="L846" s="50"/>
      <c r="M846" s="51"/>
      <c r="N846" s="21"/>
      <c r="O846" s="50"/>
      <c r="P846" s="21"/>
      <c r="Q846" s="50"/>
      <c r="R846" s="21"/>
      <c r="S846" s="21"/>
      <c r="T846" s="50"/>
      <c r="U846" s="51">
        <f t="shared" si="134"/>
        <v>0</v>
      </c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>
        <v>105702620</v>
      </c>
      <c r="AN846" s="51">
        <f t="shared" si="141"/>
        <v>105702620</v>
      </c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>
        <v>80666215</v>
      </c>
      <c r="AZ846" s="51"/>
      <c r="BA846" s="51">
        <f>VLOOKUP(B846,[1]Hoja3!J$3:K$674,2,0)</f>
        <v>103255072</v>
      </c>
      <c r="BB846" s="51"/>
      <c r="BC846" s="52">
        <f t="shared" si="137"/>
        <v>289623907</v>
      </c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>
        <v>16133243</v>
      </c>
      <c r="BO846" s="51"/>
      <c r="BP846" s="52">
        <v>305757150</v>
      </c>
      <c r="BQ846" s="52"/>
      <c r="BR846" s="52"/>
      <c r="BS846" s="52"/>
      <c r="BT846" s="52"/>
      <c r="BU846" s="52"/>
      <c r="BV846" s="52"/>
      <c r="BW846" s="52"/>
      <c r="BX846" s="52"/>
      <c r="BY846" s="52"/>
      <c r="BZ846" s="52"/>
      <c r="CA846" s="52"/>
      <c r="CB846" s="52"/>
      <c r="CC846" s="52">
        <v>16133243</v>
      </c>
      <c r="CD846" s="52"/>
      <c r="CE846" s="52"/>
      <c r="CF846" s="52"/>
      <c r="CG846" s="52">
        <f t="shared" si="138"/>
        <v>321890393</v>
      </c>
      <c r="CH846" s="52"/>
      <c r="CI846" s="52"/>
      <c r="CJ846" s="52"/>
      <c r="CK846" s="52"/>
      <c r="CL846" s="52"/>
      <c r="CM846" s="52"/>
      <c r="CN846" s="52"/>
      <c r="CO846" s="52"/>
      <c r="CP846" s="52"/>
      <c r="CQ846" s="52">
        <v>16133243</v>
      </c>
      <c r="CR846" s="52"/>
      <c r="CS846" s="52">
        <f t="shared" si="135"/>
        <v>338023636</v>
      </c>
      <c r="CT846" s="53">
        <v>129065944</v>
      </c>
      <c r="CU846" s="53">
        <f t="shared" si="136"/>
        <v>208957692</v>
      </c>
      <c r="CV846" s="54">
        <f t="shared" si="139"/>
        <v>338023636</v>
      </c>
      <c r="CW846" s="55">
        <f t="shared" si="140"/>
        <v>0</v>
      </c>
      <c r="CX846" s="16"/>
      <c r="CY846" s="16"/>
      <c r="CZ846" s="16"/>
    </row>
    <row r="847" spans="1:108" ht="15" customHeight="1" x14ac:dyDescent="0.2">
      <c r="A847" s="1">
        <v>8909837409</v>
      </c>
      <c r="B847" s="1">
        <v>890983740</v>
      </c>
      <c r="C847" s="9">
        <v>214905649</v>
      </c>
      <c r="D847" s="10" t="s">
        <v>128</v>
      </c>
      <c r="E847" s="46" t="s">
        <v>1156</v>
      </c>
      <c r="F847" s="21"/>
      <c r="G847" s="50"/>
      <c r="H847" s="21"/>
      <c r="I847" s="50"/>
      <c r="J847" s="21"/>
      <c r="K847" s="21"/>
      <c r="L847" s="50"/>
      <c r="M847" s="51"/>
      <c r="N847" s="21"/>
      <c r="O847" s="50"/>
      <c r="P847" s="21"/>
      <c r="Q847" s="50"/>
      <c r="R847" s="21"/>
      <c r="S847" s="21"/>
      <c r="T847" s="50"/>
      <c r="U847" s="51">
        <f t="shared" si="134"/>
        <v>0</v>
      </c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>
        <v>92121865</v>
      </c>
      <c r="AZ847" s="51"/>
      <c r="BA847" s="51">
        <f>VLOOKUP(B847,[1]Hoja3!J$3:K$674,2,0)</f>
        <v>211518500</v>
      </c>
      <c r="BB847" s="51"/>
      <c r="BC847" s="52">
        <f t="shared" si="137"/>
        <v>303640365</v>
      </c>
      <c r="BD847" s="51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>
        <v>18424373</v>
      </c>
      <c r="BO847" s="51"/>
      <c r="BP847" s="52">
        <v>322064738</v>
      </c>
      <c r="BQ847" s="52"/>
      <c r="BR847" s="52"/>
      <c r="BS847" s="52"/>
      <c r="BT847" s="52"/>
      <c r="BU847" s="52"/>
      <c r="BV847" s="52"/>
      <c r="BW847" s="52"/>
      <c r="BX847" s="52"/>
      <c r="BY847" s="52"/>
      <c r="BZ847" s="52"/>
      <c r="CA847" s="52"/>
      <c r="CB847" s="52"/>
      <c r="CC847" s="52">
        <v>18424373</v>
      </c>
      <c r="CD847" s="52"/>
      <c r="CE847" s="52"/>
      <c r="CF847" s="52"/>
      <c r="CG847" s="52">
        <f t="shared" si="138"/>
        <v>340489111</v>
      </c>
      <c r="CH847" s="52"/>
      <c r="CI847" s="52"/>
      <c r="CJ847" s="52"/>
      <c r="CK847" s="52"/>
      <c r="CL847" s="52"/>
      <c r="CM847" s="52"/>
      <c r="CN847" s="52"/>
      <c r="CO847" s="52"/>
      <c r="CP847" s="52"/>
      <c r="CQ847" s="52">
        <v>18424373</v>
      </c>
      <c r="CR847" s="52"/>
      <c r="CS847" s="52">
        <f t="shared" si="135"/>
        <v>358913484</v>
      </c>
      <c r="CT847" s="53">
        <v>147394984</v>
      </c>
      <c r="CU847" s="53">
        <f t="shared" si="136"/>
        <v>211518500</v>
      </c>
      <c r="CV847" s="54">
        <f t="shared" si="139"/>
        <v>358913484</v>
      </c>
      <c r="CW847" s="55">
        <f t="shared" si="140"/>
        <v>0</v>
      </c>
      <c r="CX847" s="16"/>
      <c r="CY847" s="16"/>
      <c r="CZ847" s="16"/>
    </row>
    <row r="848" spans="1:108" ht="15" customHeight="1" x14ac:dyDescent="0.2">
      <c r="A848" s="1">
        <v>8000755377</v>
      </c>
      <c r="B848" s="1">
        <v>800075537</v>
      </c>
      <c r="C848" s="9">
        <v>217823678</v>
      </c>
      <c r="D848" s="10" t="s">
        <v>456</v>
      </c>
      <c r="E848" s="46" t="s">
        <v>1484</v>
      </c>
      <c r="F848" s="21"/>
      <c r="G848" s="50"/>
      <c r="H848" s="21"/>
      <c r="I848" s="50"/>
      <c r="J848" s="21"/>
      <c r="K848" s="21"/>
      <c r="L848" s="50"/>
      <c r="M848" s="51"/>
      <c r="N848" s="21"/>
      <c r="O848" s="50"/>
      <c r="P848" s="21"/>
      <c r="Q848" s="50"/>
      <c r="R848" s="21"/>
      <c r="S848" s="21"/>
      <c r="T848" s="50"/>
      <c r="U848" s="51">
        <f t="shared" si="134"/>
        <v>0</v>
      </c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>
        <v>280373146</v>
      </c>
      <c r="AN848" s="51">
        <f>SUBTOTAL(9,AC848:AM848)</f>
        <v>280373146</v>
      </c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>
        <v>259683020</v>
      </c>
      <c r="AZ848" s="51"/>
      <c r="BA848" s="51">
        <f>VLOOKUP(B848,[1]Hoja3!J$3:K$674,2,0)</f>
        <v>12838265</v>
      </c>
      <c r="BB848" s="51"/>
      <c r="BC848" s="52">
        <f t="shared" si="137"/>
        <v>552894431</v>
      </c>
      <c r="BD848" s="51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>
        <v>51936604</v>
      </c>
      <c r="BO848" s="51"/>
      <c r="BP848" s="52">
        <v>604831035</v>
      </c>
      <c r="BQ848" s="52"/>
      <c r="BR848" s="52"/>
      <c r="BS848" s="52"/>
      <c r="BT848" s="52"/>
      <c r="BU848" s="52"/>
      <c r="BV848" s="52"/>
      <c r="BW848" s="52"/>
      <c r="BX848" s="52"/>
      <c r="BY848" s="52"/>
      <c r="BZ848" s="52"/>
      <c r="CA848" s="52"/>
      <c r="CB848" s="52"/>
      <c r="CC848" s="52">
        <v>51936604</v>
      </c>
      <c r="CD848" s="52"/>
      <c r="CE848" s="52"/>
      <c r="CF848" s="52"/>
      <c r="CG848" s="52">
        <f t="shared" si="138"/>
        <v>656767639</v>
      </c>
      <c r="CH848" s="52"/>
      <c r="CI848" s="52"/>
      <c r="CJ848" s="52"/>
      <c r="CK848" s="52"/>
      <c r="CL848" s="52"/>
      <c r="CM848" s="52"/>
      <c r="CN848" s="52"/>
      <c r="CO848" s="52"/>
      <c r="CP848" s="52"/>
      <c r="CQ848" s="52">
        <v>51936604</v>
      </c>
      <c r="CR848" s="52"/>
      <c r="CS848" s="52">
        <f t="shared" si="135"/>
        <v>708704243</v>
      </c>
      <c r="CT848" s="53">
        <v>415492832</v>
      </c>
      <c r="CU848" s="53">
        <f t="shared" si="136"/>
        <v>293211411</v>
      </c>
      <c r="CV848" s="54">
        <f t="shared" si="139"/>
        <v>708704243</v>
      </c>
      <c r="CW848" s="55">
        <f t="shared" si="140"/>
        <v>0</v>
      </c>
      <c r="CX848" s="16"/>
      <c r="CY848" s="8"/>
      <c r="CZ848" s="8"/>
      <c r="DA848" s="8"/>
      <c r="DB848" s="8"/>
      <c r="DC848" s="8"/>
      <c r="DD848" s="8"/>
    </row>
    <row r="849" spans="1:108" ht="15" customHeight="1" x14ac:dyDescent="0.2">
      <c r="A849" s="1">
        <v>8000947518</v>
      </c>
      <c r="B849" s="1">
        <v>800094751</v>
      </c>
      <c r="C849" s="9">
        <v>215325653</v>
      </c>
      <c r="D849" s="10" t="s">
        <v>532</v>
      </c>
      <c r="E849" s="46" t="s">
        <v>1558</v>
      </c>
      <c r="F849" s="21"/>
      <c r="G849" s="50"/>
      <c r="H849" s="21"/>
      <c r="I849" s="50"/>
      <c r="J849" s="21"/>
      <c r="K849" s="21"/>
      <c r="L849" s="50"/>
      <c r="M849" s="51"/>
      <c r="N849" s="21"/>
      <c r="O849" s="50"/>
      <c r="P849" s="21"/>
      <c r="Q849" s="50"/>
      <c r="R849" s="21"/>
      <c r="S849" s="21"/>
      <c r="T849" s="50"/>
      <c r="U849" s="51">
        <f t="shared" si="134"/>
        <v>0</v>
      </c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>
        <v>73610186</v>
      </c>
      <c r="AN849" s="51">
        <f>SUBTOTAL(9,AC849:AM849)</f>
        <v>73610186</v>
      </c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>
        <v>34981250</v>
      </c>
      <c r="AZ849" s="51"/>
      <c r="BA849" s="51"/>
      <c r="BB849" s="51"/>
      <c r="BC849" s="52">
        <f t="shared" si="137"/>
        <v>108591436</v>
      </c>
      <c r="BD849" s="51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>
        <v>6996250</v>
      </c>
      <c r="BO849" s="51"/>
      <c r="BP849" s="52">
        <v>115587686</v>
      </c>
      <c r="BQ849" s="52"/>
      <c r="BR849" s="52"/>
      <c r="BS849" s="52"/>
      <c r="BT849" s="52"/>
      <c r="BU849" s="52"/>
      <c r="BV849" s="52"/>
      <c r="BW849" s="52"/>
      <c r="BX849" s="52"/>
      <c r="BY849" s="52"/>
      <c r="BZ849" s="52"/>
      <c r="CA849" s="52"/>
      <c r="CB849" s="52"/>
      <c r="CC849" s="52">
        <v>6996250</v>
      </c>
      <c r="CD849" s="52"/>
      <c r="CE849" s="52"/>
      <c r="CF849" s="52"/>
      <c r="CG849" s="52">
        <f t="shared" si="138"/>
        <v>122583936</v>
      </c>
      <c r="CH849" s="52"/>
      <c r="CI849" s="52"/>
      <c r="CJ849" s="52"/>
      <c r="CK849" s="52"/>
      <c r="CL849" s="52"/>
      <c r="CM849" s="52"/>
      <c r="CN849" s="52"/>
      <c r="CO849" s="52"/>
      <c r="CP849" s="52"/>
      <c r="CQ849" s="52">
        <v>6996250</v>
      </c>
      <c r="CR849" s="52"/>
      <c r="CS849" s="52">
        <f t="shared" si="135"/>
        <v>129580186</v>
      </c>
      <c r="CT849" s="53">
        <v>55970000</v>
      </c>
      <c r="CU849" s="53">
        <f t="shared" si="136"/>
        <v>73610186</v>
      </c>
      <c r="CV849" s="54">
        <f t="shared" si="139"/>
        <v>129580186</v>
      </c>
      <c r="CW849" s="55">
        <f t="shared" si="140"/>
        <v>0</v>
      </c>
      <c r="CX849" s="16"/>
      <c r="CY849" s="16"/>
      <c r="CZ849" s="16"/>
    </row>
    <row r="850" spans="1:108" ht="15" customHeight="1" x14ac:dyDescent="0.2">
      <c r="A850" s="1">
        <v>8905018764</v>
      </c>
      <c r="B850" s="1">
        <v>890501876</v>
      </c>
      <c r="C850" s="9">
        <v>217354673</v>
      </c>
      <c r="D850" s="10" t="s">
        <v>781</v>
      </c>
      <c r="E850" s="46" t="s">
        <v>1797</v>
      </c>
      <c r="F850" s="21"/>
      <c r="G850" s="50"/>
      <c r="H850" s="21"/>
      <c r="I850" s="50"/>
      <c r="J850" s="21"/>
      <c r="K850" s="21"/>
      <c r="L850" s="50"/>
      <c r="M850" s="51"/>
      <c r="N850" s="21"/>
      <c r="O850" s="50"/>
      <c r="P850" s="21"/>
      <c r="Q850" s="50"/>
      <c r="R850" s="21"/>
      <c r="S850" s="21"/>
      <c r="T850" s="50"/>
      <c r="U850" s="51">
        <f t="shared" si="134"/>
        <v>0</v>
      </c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>
        <v>110362801</v>
      </c>
      <c r="AN850" s="51">
        <f>SUBTOTAL(9,AC850:AM850)</f>
        <v>110362801</v>
      </c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>
        <v>41907700</v>
      </c>
      <c r="AZ850" s="51"/>
      <c r="BA850" s="51"/>
      <c r="BB850" s="51"/>
      <c r="BC850" s="52">
        <f t="shared" si="137"/>
        <v>152270501</v>
      </c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>
        <v>8381540</v>
      </c>
      <c r="BO850" s="51"/>
      <c r="BP850" s="52">
        <v>160652041</v>
      </c>
      <c r="BQ850" s="52"/>
      <c r="BR850" s="52"/>
      <c r="BS850" s="52"/>
      <c r="BT850" s="52"/>
      <c r="BU850" s="52"/>
      <c r="BV850" s="52"/>
      <c r="BW850" s="52"/>
      <c r="BX850" s="52"/>
      <c r="BY850" s="52"/>
      <c r="BZ850" s="52"/>
      <c r="CA850" s="52"/>
      <c r="CB850" s="52"/>
      <c r="CC850" s="52">
        <v>8381540</v>
      </c>
      <c r="CD850" s="52"/>
      <c r="CE850" s="52"/>
      <c r="CF850" s="52"/>
      <c r="CG850" s="52">
        <f t="shared" si="138"/>
        <v>169033581</v>
      </c>
      <c r="CH850" s="52"/>
      <c r="CI850" s="52"/>
      <c r="CJ850" s="52"/>
      <c r="CK850" s="52"/>
      <c r="CL850" s="52"/>
      <c r="CM850" s="52"/>
      <c r="CN850" s="52"/>
      <c r="CO850" s="52"/>
      <c r="CP850" s="52"/>
      <c r="CQ850" s="52">
        <v>8381540</v>
      </c>
      <c r="CR850" s="52"/>
      <c r="CS850" s="52">
        <f t="shared" si="135"/>
        <v>177415121</v>
      </c>
      <c r="CT850" s="53">
        <v>67052320</v>
      </c>
      <c r="CU850" s="53">
        <f t="shared" si="136"/>
        <v>110362801</v>
      </c>
      <c r="CV850" s="54">
        <f t="shared" si="139"/>
        <v>177415121</v>
      </c>
      <c r="CW850" s="55">
        <f t="shared" si="140"/>
        <v>0</v>
      </c>
      <c r="CX850" s="16"/>
      <c r="CY850" s="8"/>
      <c r="CZ850" s="8"/>
      <c r="DA850" s="8"/>
      <c r="DB850" s="8"/>
      <c r="DC850" s="8"/>
      <c r="DD850" s="8"/>
    </row>
    <row r="851" spans="1:108" ht="15" customHeight="1" x14ac:dyDescent="0.2">
      <c r="A851" s="1">
        <v>8060012789</v>
      </c>
      <c r="B851" s="1">
        <v>806001278</v>
      </c>
      <c r="C851" s="9">
        <v>212013620</v>
      </c>
      <c r="D851" s="10" t="s">
        <v>203</v>
      </c>
      <c r="E851" s="46" t="s">
        <v>1234</v>
      </c>
      <c r="F851" s="21"/>
      <c r="G851" s="50"/>
      <c r="H851" s="21"/>
      <c r="I851" s="50"/>
      <c r="J851" s="21"/>
      <c r="K851" s="21"/>
      <c r="L851" s="50"/>
      <c r="M851" s="51"/>
      <c r="N851" s="21"/>
      <c r="O851" s="50"/>
      <c r="P851" s="21"/>
      <c r="Q851" s="50"/>
      <c r="R851" s="21"/>
      <c r="S851" s="21"/>
      <c r="T851" s="50"/>
      <c r="U851" s="51">
        <f t="shared" si="134"/>
        <v>0</v>
      </c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>
        <v>123095601</v>
      </c>
      <c r="AN851" s="51">
        <f>SUBTOTAL(9,AC851:AM851)</f>
        <v>123095601</v>
      </c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>
        <v>64436555</v>
      </c>
      <c r="AZ851" s="51"/>
      <c r="BA851" s="51"/>
      <c r="BB851" s="51"/>
      <c r="BC851" s="52">
        <f t="shared" si="137"/>
        <v>187532156</v>
      </c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>
        <v>12887311</v>
      </c>
      <c r="BO851" s="51"/>
      <c r="BP851" s="52">
        <v>200419467</v>
      </c>
      <c r="BQ851" s="52"/>
      <c r="BR851" s="52"/>
      <c r="BS851" s="52"/>
      <c r="BT851" s="52"/>
      <c r="BU851" s="52"/>
      <c r="BV851" s="52"/>
      <c r="BW851" s="52"/>
      <c r="BX851" s="52"/>
      <c r="BY851" s="52"/>
      <c r="BZ851" s="52"/>
      <c r="CA851" s="52"/>
      <c r="CB851" s="52"/>
      <c r="CC851" s="52">
        <v>12887311</v>
      </c>
      <c r="CD851" s="52"/>
      <c r="CE851" s="52"/>
      <c r="CF851" s="52"/>
      <c r="CG851" s="52">
        <f t="shared" si="138"/>
        <v>213306778</v>
      </c>
      <c r="CH851" s="52"/>
      <c r="CI851" s="52"/>
      <c r="CJ851" s="52"/>
      <c r="CK851" s="52"/>
      <c r="CL851" s="52"/>
      <c r="CM851" s="52"/>
      <c r="CN851" s="52"/>
      <c r="CO851" s="52"/>
      <c r="CP851" s="52"/>
      <c r="CQ851" s="52">
        <v>12887311</v>
      </c>
      <c r="CR851" s="52"/>
      <c r="CS851" s="52">
        <f t="shared" si="135"/>
        <v>226194089</v>
      </c>
      <c r="CT851" s="53">
        <v>103098488</v>
      </c>
      <c r="CU851" s="53">
        <f t="shared" si="136"/>
        <v>123095601</v>
      </c>
      <c r="CV851" s="54">
        <f t="shared" si="139"/>
        <v>226194089</v>
      </c>
      <c r="CW851" s="55">
        <f t="shared" si="140"/>
        <v>0</v>
      </c>
      <c r="CX851" s="16"/>
      <c r="CY851" s="8"/>
      <c r="CZ851" s="8"/>
      <c r="DA851" s="8"/>
      <c r="DB851" s="8"/>
      <c r="DC851" s="8"/>
      <c r="DD851" s="8"/>
    </row>
    <row r="852" spans="1:108" ht="15" customHeight="1" x14ac:dyDescent="0.2">
      <c r="A852" s="1">
        <v>8000966232</v>
      </c>
      <c r="B852" s="1">
        <v>800096623</v>
      </c>
      <c r="C852" s="9">
        <v>215020750</v>
      </c>
      <c r="D852" s="10" t="s">
        <v>434</v>
      </c>
      <c r="E852" s="46" t="s">
        <v>1461</v>
      </c>
      <c r="F852" s="21"/>
      <c r="G852" s="50"/>
      <c r="H852" s="21"/>
      <c r="I852" s="50"/>
      <c r="J852" s="21"/>
      <c r="K852" s="21"/>
      <c r="L852" s="50"/>
      <c r="M852" s="51"/>
      <c r="N852" s="21"/>
      <c r="O852" s="50"/>
      <c r="P852" s="21"/>
      <c r="Q852" s="50"/>
      <c r="R852" s="21"/>
      <c r="S852" s="21"/>
      <c r="T852" s="50"/>
      <c r="U852" s="51">
        <f t="shared" si="134"/>
        <v>0</v>
      </c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>
        <v>147372000</v>
      </c>
      <c r="AZ852" s="51"/>
      <c r="BA852" s="51">
        <f>VLOOKUP(B852,[1]Hoja3!J$3:K$674,2,0)</f>
        <v>309188529</v>
      </c>
      <c r="BB852" s="51"/>
      <c r="BC852" s="52">
        <f t="shared" si="137"/>
        <v>456560529</v>
      </c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>
        <v>29474400</v>
      </c>
      <c r="BO852" s="51"/>
      <c r="BP852" s="52">
        <v>486034929</v>
      </c>
      <c r="BQ852" s="52"/>
      <c r="BR852" s="52"/>
      <c r="BS852" s="52"/>
      <c r="BT852" s="52"/>
      <c r="BU852" s="52"/>
      <c r="BV852" s="52"/>
      <c r="BW852" s="52"/>
      <c r="BX852" s="52"/>
      <c r="BY852" s="52"/>
      <c r="BZ852" s="52"/>
      <c r="CA852" s="52"/>
      <c r="CB852" s="52"/>
      <c r="CC852" s="52">
        <v>29474400</v>
      </c>
      <c r="CD852" s="52"/>
      <c r="CE852" s="52"/>
      <c r="CF852" s="52"/>
      <c r="CG852" s="52">
        <f t="shared" si="138"/>
        <v>515509329</v>
      </c>
      <c r="CH852" s="52"/>
      <c r="CI852" s="52"/>
      <c r="CJ852" s="52"/>
      <c r="CK852" s="52"/>
      <c r="CL852" s="52"/>
      <c r="CM852" s="52"/>
      <c r="CN852" s="52"/>
      <c r="CO852" s="52"/>
      <c r="CP852" s="52"/>
      <c r="CQ852" s="52">
        <v>29474400</v>
      </c>
      <c r="CR852" s="52"/>
      <c r="CS852" s="52">
        <f t="shared" si="135"/>
        <v>544983729</v>
      </c>
      <c r="CT852" s="53">
        <v>235795200</v>
      </c>
      <c r="CU852" s="53">
        <f t="shared" si="136"/>
        <v>309188529</v>
      </c>
      <c r="CV852" s="54">
        <f t="shared" si="139"/>
        <v>544983729</v>
      </c>
      <c r="CW852" s="55">
        <f t="shared" si="140"/>
        <v>0</v>
      </c>
      <c r="CX852" s="16"/>
      <c r="CY852" s="16"/>
      <c r="CZ852" s="16"/>
    </row>
    <row r="853" spans="1:108" ht="15" customHeight="1" x14ac:dyDescent="0.2">
      <c r="A853" s="1">
        <v>8918012820</v>
      </c>
      <c r="B853" s="1">
        <v>891801282</v>
      </c>
      <c r="C853" s="9">
        <v>216015660</v>
      </c>
      <c r="D853" s="10" t="s">
        <v>296</v>
      </c>
      <c r="E853" s="46" t="s">
        <v>1327</v>
      </c>
      <c r="F853" s="21"/>
      <c r="G853" s="50"/>
      <c r="H853" s="21"/>
      <c r="I853" s="50"/>
      <c r="J853" s="21"/>
      <c r="K853" s="21"/>
      <c r="L853" s="50"/>
      <c r="M853" s="51"/>
      <c r="N853" s="21"/>
      <c r="O853" s="50"/>
      <c r="P853" s="21"/>
      <c r="Q853" s="50"/>
      <c r="R853" s="21"/>
      <c r="S853" s="21"/>
      <c r="T853" s="50"/>
      <c r="U853" s="51">
        <f t="shared" si="134"/>
        <v>0</v>
      </c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>
        <v>14393575</v>
      </c>
      <c r="AZ853" s="51"/>
      <c r="BA853" s="51">
        <f>VLOOKUP(B853,[1]Hoja3!J$3:K$674,2,0)</f>
        <v>24289265</v>
      </c>
      <c r="BB853" s="51"/>
      <c r="BC853" s="52">
        <f t="shared" si="137"/>
        <v>38682840</v>
      </c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>
        <v>2878715</v>
      </c>
      <c r="BO853" s="51"/>
      <c r="BP853" s="52">
        <v>41561555</v>
      </c>
      <c r="BQ853" s="52"/>
      <c r="BR853" s="52"/>
      <c r="BS853" s="52"/>
      <c r="BT853" s="52"/>
      <c r="BU853" s="52"/>
      <c r="BV853" s="52"/>
      <c r="BW853" s="52"/>
      <c r="BX853" s="52"/>
      <c r="BY853" s="52"/>
      <c r="BZ853" s="52"/>
      <c r="CA853" s="52"/>
      <c r="CB853" s="52"/>
      <c r="CC853" s="52">
        <v>2878715</v>
      </c>
      <c r="CD853" s="52"/>
      <c r="CE853" s="52"/>
      <c r="CF853" s="52"/>
      <c r="CG853" s="52">
        <f t="shared" si="138"/>
        <v>44440270</v>
      </c>
      <c r="CH853" s="52"/>
      <c r="CI853" s="52"/>
      <c r="CJ853" s="52"/>
      <c r="CK853" s="52"/>
      <c r="CL853" s="52"/>
      <c r="CM853" s="52"/>
      <c r="CN853" s="52"/>
      <c r="CO853" s="52"/>
      <c r="CP853" s="52"/>
      <c r="CQ853" s="52">
        <v>2878715</v>
      </c>
      <c r="CR853" s="52"/>
      <c r="CS853" s="52">
        <f t="shared" si="135"/>
        <v>47318985</v>
      </c>
      <c r="CT853" s="53">
        <v>23029720</v>
      </c>
      <c r="CU853" s="53">
        <f t="shared" si="136"/>
        <v>24289265</v>
      </c>
      <c r="CV853" s="54">
        <f t="shared" si="139"/>
        <v>47318985</v>
      </c>
      <c r="CW853" s="55">
        <f t="shared" si="140"/>
        <v>0</v>
      </c>
      <c r="CX853" s="16"/>
      <c r="CY853" s="8"/>
      <c r="CZ853" s="8"/>
      <c r="DA853" s="8"/>
      <c r="DB853" s="8"/>
      <c r="DC853" s="8"/>
      <c r="DD853" s="8"/>
    </row>
    <row r="854" spans="1:108" ht="15" customHeight="1" x14ac:dyDescent="0.2">
      <c r="A854" s="1">
        <v>8904813100</v>
      </c>
      <c r="B854" s="1">
        <v>890481310</v>
      </c>
      <c r="C854" s="9">
        <v>214713647</v>
      </c>
      <c r="D854" s="10" t="s">
        <v>204</v>
      </c>
      <c r="E854" s="46" t="s">
        <v>1235</v>
      </c>
      <c r="F854" s="21"/>
      <c r="G854" s="50"/>
      <c r="H854" s="21"/>
      <c r="I854" s="50"/>
      <c r="J854" s="21"/>
      <c r="K854" s="21"/>
      <c r="L854" s="50"/>
      <c r="M854" s="51"/>
      <c r="N854" s="21"/>
      <c r="O854" s="50"/>
      <c r="P854" s="21"/>
      <c r="Q854" s="50"/>
      <c r="R854" s="21"/>
      <c r="S854" s="21"/>
      <c r="T854" s="50"/>
      <c r="U854" s="51">
        <f t="shared" si="134"/>
        <v>0</v>
      </c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>
        <v>140690410</v>
      </c>
      <c r="AN854" s="51">
        <f>SUBTOTAL(9,AC854:AM854)</f>
        <v>140690410</v>
      </c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>
        <v>165127655</v>
      </c>
      <c r="AZ854" s="51"/>
      <c r="BA854" s="51">
        <f>VLOOKUP(B854,[1]Hoja3!J$3:K$674,2,0)</f>
        <v>152186664</v>
      </c>
      <c r="BB854" s="51"/>
      <c r="BC854" s="52">
        <f t="shared" si="137"/>
        <v>458004729</v>
      </c>
      <c r="BD854" s="51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>
        <v>33025531</v>
      </c>
      <c r="BO854" s="51"/>
      <c r="BP854" s="52">
        <v>491030260</v>
      </c>
      <c r="BQ854" s="52"/>
      <c r="BR854" s="52"/>
      <c r="BS854" s="52"/>
      <c r="BT854" s="52"/>
      <c r="BU854" s="52"/>
      <c r="BV854" s="52"/>
      <c r="BW854" s="52"/>
      <c r="BX854" s="52"/>
      <c r="BY854" s="52"/>
      <c r="BZ854" s="52"/>
      <c r="CA854" s="52"/>
      <c r="CB854" s="52"/>
      <c r="CC854" s="52">
        <v>33025531</v>
      </c>
      <c r="CD854" s="52"/>
      <c r="CE854" s="52"/>
      <c r="CF854" s="52"/>
      <c r="CG854" s="52">
        <f t="shared" si="138"/>
        <v>524055791</v>
      </c>
      <c r="CH854" s="52"/>
      <c r="CI854" s="52"/>
      <c r="CJ854" s="52"/>
      <c r="CK854" s="52"/>
      <c r="CL854" s="52"/>
      <c r="CM854" s="52"/>
      <c r="CN854" s="52"/>
      <c r="CO854" s="52"/>
      <c r="CP854" s="52"/>
      <c r="CQ854" s="52">
        <v>33025531</v>
      </c>
      <c r="CR854" s="52"/>
      <c r="CS854" s="52">
        <f t="shared" si="135"/>
        <v>557081322</v>
      </c>
      <c r="CT854" s="53">
        <v>264204248</v>
      </c>
      <c r="CU854" s="53">
        <f t="shared" si="136"/>
        <v>292877074</v>
      </c>
      <c r="CV854" s="54">
        <f t="shared" si="139"/>
        <v>557081322</v>
      </c>
      <c r="CW854" s="55">
        <f t="shared" si="140"/>
        <v>0</v>
      </c>
      <c r="CX854" s="16"/>
      <c r="CY854" s="8"/>
      <c r="CZ854" s="8"/>
      <c r="DA854" s="8"/>
      <c r="DB854" s="8"/>
      <c r="DC854" s="8"/>
      <c r="DD854" s="8"/>
    </row>
    <row r="855" spans="1:108" ht="15" customHeight="1" x14ac:dyDescent="0.2">
      <c r="A855" s="1">
        <v>8000371666</v>
      </c>
      <c r="B855" s="1">
        <v>800037166</v>
      </c>
      <c r="C855" s="9">
        <v>215013650</v>
      </c>
      <c r="D855" s="10" t="s">
        <v>205</v>
      </c>
      <c r="E855" s="46" t="s">
        <v>1236</v>
      </c>
      <c r="F855" s="21"/>
      <c r="G855" s="50"/>
      <c r="H855" s="21"/>
      <c r="I855" s="50"/>
      <c r="J855" s="21"/>
      <c r="K855" s="21"/>
      <c r="L855" s="50"/>
      <c r="M855" s="51"/>
      <c r="N855" s="21"/>
      <c r="O855" s="50"/>
      <c r="P855" s="21"/>
      <c r="Q855" s="50"/>
      <c r="R855" s="21"/>
      <c r="S855" s="21"/>
      <c r="T855" s="50"/>
      <c r="U855" s="51">
        <f t="shared" si="134"/>
        <v>0</v>
      </c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>
        <v>214091118</v>
      </c>
      <c r="AN855" s="51">
        <f>SUBTOTAL(9,AC855:AM855)</f>
        <v>214091118</v>
      </c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2">
        <f t="shared" si="137"/>
        <v>214091118</v>
      </c>
      <c r="BD855" s="51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>
        <v>0</v>
      </c>
      <c r="BO855" s="51"/>
      <c r="BP855" s="52">
        <v>214091118</v>
      </c>
      <c r="BQ855" s="52"/>
      <c r="BR855" s="52"/>
      <c r="BS855" s="52"/>
      <c r="BT855" s="52"/>
      <c r="BU855" s="52"/>
      <c r="BV855" s="52"/>
      <c r="BW855" s="52"/>
      <c r="BX855" s="52"/>
      <c r="BY855" s="52"/>
      <c r="BZ855" s="52"/>
      <c r="CA855" s="52"/>
      <c r="CB855" s="52"/>
      <c r="CC855" s="52">
        <v>0</v>
      </c>
      <c r="CD855" s="52"/>
      <c r="CE855" s="52"/>
      <c r="CF855" s="52"/>
      <c r="CG855" s="52">
        <f t="shared" si="138"/>
        <v>214091118</v>
      </c>
      <c r="CH855" s="52"/>
      <c r="CI855" s="52"/>
      <c r="CJ855" s="52"/>
      <c r="CK855" s="52"/>
      <c r="CL855" s="52"/>
      <c r="CM855" s="52"/>
      <c r="CN855" s="52"/>
      <c r="CO855" s="52"/>
      <c r="CP855" s="52"/>
      <c r="CQ855" s="52"/>
      <c r="CR855" s="52"/>
      <c r="CS855" s="52">
        <f t="shared" si="135"/>
        <v>214091118</v>
      </c>
      <c r="CT855" s="53"/>
      <c r="CU855" s="53">
        <f t="shared" si="136"/>
        <v>214091118</v>
      </c>
      <c r="CV855" s="54">
        <f t="shared" si="139"/>
        <v>214091118</v>
      </c>
      <c r="CW855" s="55">
        <f t="shared" si="140"/>
        <v>0</v>
      </c>
      <c r="CX855" s="16"/>
      <c r="CY855" s="8"/>
      <c r="CZ855" s="8"/>
      <c r="DA855" s="8"/>
      <c r="DB855" s="8"/>
      <c r="DC855" s="8"/>
      <c r="DD855" s="8"/>
    </row>
    <row r="856" spans="1:108" ht="15" customHeight="1" x14ac:dyDescent="0.2">
      <c r="A856" s="1">
        <v>8000227914</v>
      </c>
      <c r="B856" s="1">
        <v>800022791</v>
      </c>
      <c r="C856" s="9">
        <v>215205652</v>
      </c>
      <c r="D856" s="10" t="s">
        <v>129</v>
      </c>
      <c r="E856" s="46" t="s">
        <v>1157</v>
      </c>
      <c r="F856" s="21"/>
      <c r="G856" s="50"/>
      <c r="H856" s="21"/>
      <c r="I856" s="50"/>
      <c r="J856" s="21"/>
      <c r="K856" s="21"/>
      <c r="L856" s="50"/>
      <c r="M856" s="51"/>
      <c r="N856" s="21"/>
      <c r="O856" s="50"/>
      <c r="P856" s="21"/>
      <c r="Q856" s="50"/>
      <c r="R856" s="21"/>
      <c r="S856" s="21"/>
      <c r="T856" s="50"/>
      <c r="U856" s="51">
        <f t="shared" si="134"/>
        <v>0</v>
      </c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>
        <v>39742425</v>
      </c>
      <c r="AZ856" s="51"/>
      <c r="BA856" s="51">
        <f>VLOOKUP(B856,[1]Hoja3!J$3:K$674,2,0)</f>
        <v>76522980</v>
      </c>
      <c r="BB856" s="51"/>
      <c r="BC856" s="52">
        <f t="shared" si="137"/>
        <v>116265405</v>
      </c>
      <c r="BD856" s="51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>
        <v>7948485</v>
      </c>
      <c r="BO856" s="51"/>
      <c r="BP856" s="52">
        <v>124213890</v>
      </c>
      <c r="BQ856" s="52"/>
      <c r="BR856" s="52"/>
      <c r="BS856" s="52"/>
      <c r="BT856" s="52"/>
      <c r="BU856" s="52"/>
      <c r="BV856" s="52"/>
      <c r="BW856" s="52"/>
      <c r="BX856" s="52"/>
      <c r="BY856" s="52"/>
      <c r="BZ856" s="52"/>
      <c r="CA856" s="52"/>
      <c r="CB856" s="52"/>
      <c r="CC856" s="52">
        <v>7948485</v>
      </c>
      <c r="CD856" s="52"/>
      <c r="CE856" s="52"/>
      <c r="CF856" s="52"/>
      <c r="CG856" s="52">
        <f t="shared" si="138"/>
        <v>132162375</v>
      </c>
      <c r="CH856" s="52"/>
      <c r="CI856" s="52"/>
      <c r="CJ856" s="52"/>
      <c r="CK856" s="52"/>
      <c r="CL856" s="52"/>
      <c r="CM856" s="52"/>
      <c r="CN856" s="52"/>
      <c r="CO856" s="52"/>
      <c r="CP856" s="52"/>
      <c r="CQ856" s="52">
        <v>7948485</v>
      </c>
      <c r="CR856" s="52"/>
      <c r="CS856" s="52">
        <f t="shared" si="135"/>
        <v>140110860</v>
      </c>
      <c r="CT856" s="53">
        <v>63587880</v>
      </c>
      <c r="CU856" s="53">
        <f t="shared" si="136"/>
        <v>76522980</v>
      </c>
      <c r="CV856" s="54">
        <f t="shared" si="139"/>
        <v>140110860</v>
      </c>
      <c r="CW856" s="55">
        <f t="shared" si="140"/>
        <v>0</v>
      </c>
      <c r="CX856" s="16"/>
      <c r="CY856" s="16"/>
      <c r="CZ856" s="16"/>
    </row>
    <row r="857" spans="1:108" ht="15" customHeight="1" x14ac:dyDescent="0.2">
      <c r="A857" s="1">
        <v>8999991735</v>
      </c>
      <c r="B857" s="1">
        <v>899999173</v>
      </c>
      <c r="C857" s="9">
        <v>215825658</v>
      </c>
      <c r="D857" s="10" t="s">
        <v>533</v>
      </c>
      <c r="E857" s="46" t="s">
        <v>2077</v>
      </c>
      <c r="F857" s="21"/>
      <c r="G857" s="50"/>
      <c r="H857" s="21"/>
      <c r="I857" s="50"/>
      <c r="J857" s="21"/>
      <c r="K857" s="21"/>
      <c r="L857" s="50"/>
      <c r="M857" s="51"/>
      <c r="N857" s="21"/>
      <c r="O857" s="50"/>
      <c r="P857" s="21"/>
      <c r="Q857" s="50"/>
      <c r="R857" s="21"/>
      <c r="S857" s="21"/>
      <c r="T857" s="50"/>
      <c r="U857" s="51">
        <f t="shared" si="134"/>
        <v>0</v>
      </c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>
        <v>129740329</v>
      </c>
      <c r="AN857" s="51">
        <f>SUBTOTAL(9,AC857:AM857)</f>
        <v>129740329</v>
      </c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2">
        <f t="shared" si="137"/>
        <v>129740329</v>
      </c>
      <c r="BD857" s="51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>
        <v>0</v>
      </c>
      <c r="BO857" s="51"/>
      <c r="BP857" s="52">
        <v>129740329</v>
      </c>
      <c r="BQ857" s="52"/>
      <c r="BR857" s="52"/>
      <c r="BS857" s="52"/>
      <c r="BT857" s="52"/>
      <c r="BU857" s="52"/>
      <c r="BV857" s="52"/>
      <c r="BW857" s="52"/>
      <c r="BX857" s="52"/>
      <c r="BY857" s="52"/>
      <c r="BZ857" s="52"/>
      <c r="CA857" s="52"/>
      <c r="CB857" s="52"/>
      <c r="CC857" s="52">
        <v>71645175</v>
      </c>
      <c r="CD857" s="52"/>
      <c r="CE857" s="52"/>
      <c r="CF857" s="52"/>
      <c r="CG857" s="52">
        <f t="shared" si="138"/>
        <v>201385504</v>
      </c>
      <c r="CH857" s="52"/>
      <c r="CI857" s="52"/>
      <c r="CJ857" s="52"/>
      <c r="CK857" s="52"/>
      <c r="CL857" s="52"/>
      <c r="CM857" s="52"/>
      <c r="CN857" s="52"/>
      <c r="CO857" s="52"/>
      <c r="CP857" s="52"/>
      <c r="CQ857" s="52">
        <v>10235025</v>
      </c>
      <c r="CR857" s="52"/>
      <c r="CS857" s="52">
        <f t="shared" si="135"/>
        <v>211620529</v>
      </c>
      <c r="CT857" s="53">
        <v>81880200</v>
      </c>
      <c r="CU857" s="53">
        <f t="shared" si="136"/>
        <v>129740329</v>
      </c>
      <c r="CV857" s="54">
        <f t="shared" si="139"/>
        <v>211620529</v>
      </c>
      <c r="CW857" s="55">
        <f t="shared" si="140"/>
        <v>0</v>
      </c>
      <c r="CX857" s="16"/>
      <c r="CY857" s="8"/>
      <c r="CZ857" s="8"/>
      <c r="DA857" s="8"/>
      <c r="DB857" s="8"/>
      <c r="DC857" s="8"/>
      <c r="DD857" s="8"/>
    </row>
    <row r="858" spans="1:108" ht="15" customHeight="1" x14ac:dyDescent="0.2">
      <c r="A858" s="1">
        <v>8001029036</v>
      </c>
      <c r="B858" s="1">
        <v>800102903</v>
      </c>
      <c r="C858" s="9">
        <v>215586755</v>
      </c>
      <c r="D858" s="10" t="s">
        <v>982</v>
      </c>
      <c r="E858" s="46" t="s">
        <v>2039</v>
      </c>
      <c r="F858" s="21"/>
      <c r="G858" s="50"/>
      <c r="H858" s="21"/>
      <c r="I858" s="50"/>
      <c r="J858" s="21"/>
      <c r="K858" s="21"/>
      <c r="L858" s="50"/>
      <c r="M858" s="51"/>
      <c r="N858" s="21"/>
      <c r="O858" s="50"/>
      <c r="P858" s="21"/>
      <c r="Q858" s="50"/>
      <c r="R858" s="21"/>
      <c r="S858" s="21"/>
      <c r="T858" s="50"/>
      <c r="U858" s="51">
        <f t="shared" si="134"/>
        <v>0</v>
      </c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>
        <v>7614600</v>
      </c>
      <c r="AN858" s="51">
        <f>SUBTOTAL(9,AC858:AM858)</f>
        <v>7614600</v>
      </c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>
        <v>40426000</v>
      </c>
      <c r="AZ858" s="51"/>
      <c r="BA858" s="51">
        <f>VLOOKUP(B858,[1]Hoja3!J$3:K$674,2,0)</f>
        <v>61996194</v>
      </c>
      <c r="BB858" s="51"/>
      <c r="BC858" s="52">
        <f t="shared" si="137"/>
        <v>110036794</v>
      </c>
      <c r="BD858" s="51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>
        <v>8085200</v>
      </c>
      <c r="BO858" s="51"/>
      <c r="BP858" s="52">
        <v>118121994</v>
      </c>
      <c r="BQ858" s="52"/>
      <c r="BR858" s="52"/>
      <c r="BS858" s="52"/>
      <c r="BT858" s="52"/>
      <c r="BU858" s="52"/>
      <c r="BV858" s="52"/>
      <c r="BW858" s="52"/>
      <c r="BX858" s="52"/>
      <c r="BY858" s="52"/>
      <c r="BZ858" s="52"/>
      <c r="CA858" s="52"/>
      <c r="CB858" s="52"/>
      <c r="CC858" s="52">
        <v>8085200</v>
      </c>
      <c r="CD858" s="52"/>
      <c r="CE858" s="52"/>
      <c r="CF858" s="52"/>
      <c r="CG858" s="52">
        <f t="shared" si="138"/>
        <v>126207194</v>
      </c>
      <c r="CH858" s="52"/>
      <c r="CI858" s="52"/>
      <c r="CJ858" s="52"/>
      <c r="CK858" s="52"/>
      <c r="CL858" s="52"/>
      <c r="CM858" s="52"/>
      <c r="CN858" s="52"/>
      <c r="CO858" s="52"/>
      <c r="CP858" s="52"/>
      <c r="CQ858" s="52">
        <v>8085200</v>
      </c>
      <c r="CR858" s="52"/>
      <c r="CS858" s="52">
        <f t="shared" si="135"/>
        <v>134292394</v>
      </c>
      <c r="CT858" s="53">
        <v>64681600</v>
      </c>
      <c r="CU858" s="53">
        <f t="shared" si="136"/>
        <v>69610794</v>
      </c>
      <c r="CV858" s="54">
        <f t="shared" si="139"/>
        <v>134292394</v>
      </c>
      <c r="CW858" s="55">
        <f t="shared" si="140"/>
        <v>0</v>
      </c>
      <c r="CX858" s="16"/>
      <c r="CY858" s="8"/>
      <c r="CZ858" s="8"/>
      <c r="DA858" s="8"/>
      <c r="DB858" s="8"/>
      <c r="DC858" s="8"/>
      <c r="DD858" s="8"/>
    </row>
    <row r="859" spans="1:108" ht="15" customHeight="1" x14ac:dyDescent="0.2">
      <c r="A859" s="1">
        <v>8000998241</v>
      </c>
      <c r="B859" s="1">
        <v>800099824</v>
      </c>
      <c r="C859" s="9">
        <v>217968679</v>
      </c>
      <c r="D859" s="10" t="s">
        <v>875</v>
      </c>
      <c r="E859" s="46" t="s">
        <v>1887</v>
      </c>
      <c r="F859" s="21"/>
      <c r="G859" s="50"/>
      <c r="H859" s="21"/>
      <c r="I859" s="50"/>
      <c r="J859" s="21"/>
      <c r="K859" s="21"/>
      <c r="L859" s="50"/>
      <c r="M859" s="51"/>
      <c r="N859" s="21"/>
      <c r="O859" s="50"/>
      <c r="P859" s="21"/>
      <c r="Q859" s="50"/>
      <c r="R859" s="21"/>
      <c r="S859" s="21"/>
      <c r="T859" s="50"/>
      <c r="U859" s="51">
        <f t="shared" si="134"/>
        <v>0</v>
      </c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>
        <v>662148310</v>
      </c>
      <c r="AN859" s="51">
        <f>SUBTOTAL(9,AC859:AM859)</f>
        <v>662148310</v>
      </c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>
        <v>266084560</v>
      </c>
      <c r="AZ859" s="51"/>
      <c r="BA859" s="51"/>
      <c r="BB859" s="51"/>
      <c r="BC859" s="52">
        <f t="shared" si="137"/>
        <v>928232870</v>
      </c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>
        <v>53216912</v>
      </c>
      <c r="BO859" s="51"/>
      <c r="BP859" s="52">
        <v>981449782</v>
      </c>
      <c r="BQ859" s="52"/>
      <c r="BR859" s="52"/>
      <c r="BS859" s="52"/>
      <c r="BT859" s="52"/>
      <c r="BU859" s="52"/>
      <c r="BV859" s="52"/>
      <c r="BW859" s="52"/>
      <c r="BX859" s="52"/>
      <c r="BY859" s="52"/>
      <c r="BZ859" s="52"/>
      <c r="CA859" s="52"/>
      <c r="CB859" s="52"/>
      <c r="CC859" s="52">
        <v>53216912</v>
      </c>
      <c r="CD859" s="52"/>
      <c r="CE859" s="52"/>
      <c r="CF859" s="52"/>
      <c r="CG859" s="52">
        <f t="shared" si="138"/>
        <v>1034666694</v>
      </c>
      <c r="CH859" s="52"/>
      <c r="CI859" s="52"/>
      <c r="CJ859" s="52"/>
      <c r="CK859" s="52"/>
      <c r="CL859" s="52"/>
      <c r="CM859" s="52"/>
      <c r="CN859" s="52"/>
      <c r="CO859" s="52"/>
      <c r="CP859" s="52"/>
      <c r="CQ859" s="52">
        <v>53216912</v>
      </c>
      <c r="CR859" s="52"/>
      <c r="CS859" s="52">
        <f t="shared" si="135"/>
        <v>1087883606</v>
      </c>
      <c r="CT859" s="53">
        <v>425735296</v>
      </c>
      <c r="CU859" s="53">
        <f t="shared" si="136"/>
        <v>662148310</v>
      </c>
      <c r="CV859" s="54">
        <f t="shared" si="139"/>
        <v>1087883606</v>
      </c>
      <c r="CW859" s="55">
        <f t="shared" si="140"/>
        <v>0</v>
      </c>
      <c r="CX859" s="16"/>
      <c r="CY859" s="16"/>
      <c r="CZ859" s="16"/>
    </row>
    <row r="860" spans="1:108" ht="15" customHeight="1" x14ac:dyDescent="0.2">
      <c r="A860" s="1">
        <v>8000266851</v>
      </c>
      <c r="B860" s="1">
        <v>800026685</v>
      </c>
      <c r="C860" s="9">
        <v>215413654</v>
      </c>
      <c r="D860" s="67" t="s">
        <v>2161</v>
      </c>
      <c r="E860" s="46" t="s">
        <v>1009</v>
      </c>
      <c r="F860" s="21"/>
      <c r="G860" s="50"/>
      <c r="H860" s="21"/>
      <c r="I860" s="50"/>
      <c r="J860" s="21"/>
      <c r="K860" s="21"/>
      <c r="L860" s="50"/>
      <c r="M860" s="51"/>
      <c r="N860" s="21"/>
      <c r="O860" s="50"/>
      <c r="P860" s="21"/>
      <c r="Q860" s="50"/>
      <c r="R860" s="21"/>
      <c r="S860" s="21"/>
      <c r="T860" s="50"/>
      <c r="U860" s="51">
        <f t="shared" si="134"/>
        <v>0</v>
      </c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>
        <v>349720780</v>
      </c>
      <c r="AZ860" s="51"/>
      <c r="BA860" s="51">
        <f>VLOOKUP(B860,[1]Hoja3!J$3:K$674,2,0)</f>
        <v>484487408</v>
      </c>
      <c r="BB860" s="51"/>
      <c r="BC860" s="52">
        <f t="shared" si="137"/>
        <v>834208188</v>
      </c>
      <c r="BD860" s="51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>
        <v>69944156</v>
      </c>
      <c r="BO860" s="51"/>
      <c r="BP860" s="52">
        <v>904152344</v>
      </c>
      <c r="BQ860" s="52"/>
      <c r="BR860" s="52"/>
      <c r="BS860" s="52"/>
      <c r="BT860" s="52"/>
      <c r="BU860" s="52"/>
      <c r="BV860" s="52"/>
      <c r="BW860" s="52"/>
      <c r="BX860" s="52"/>
      <c r="BY860" s="52"/>
      <c r="BZ860" s="52"/>
      <c r="CA860" s="52"/>
      <c r="CB860" s="52"/>
      <c r="CC860" s="52">
        <v>69944156</v>
      </c>
      <c r="CD860" s="52"/>
      <c r="CE860" s="52"/>
      <c r="CF860" s="52"/>
      <c r="CG860" s="52">
        <f t="shared" si="138"/>
        <v>974096500</v>
      </c>
      <c r="CH860" s="52"/>
      <c r="CI860" s="52"/>
      <c r="CJ860" s="52"/>
      <c r="CK860" s="52"/>
      <c r="CL860" s="52"/>
      <c r="CM860" s="52"/>
      <c r="CN860" s="52"/>
      <c r="CO860" s="52"/>
      <c r="CP860" s="52"/>
      <c r="CQ860" s="52">
        <v>69944156</v>
      </c>
      <c r="CR860" s="52"/>
      <c r="CS860" s="52">
        <f t="shared" si="135"/>
        <v>1044040656</v>
      </c>
      <c r="CT860" s="53">
        <v>559553248</v>
      </c>
      <c r="CU860" s="53">
        <f t="shared" si="136"/>
        <v>484487408</v>
      </c>
      <c r="CV860" s="54">
        <f t="shared" si="139"/>
        <v>1044040656</v>
      </c>
      <c r="CW860" s="55">
        <f t="shared" si="140"/>
        <v>0</v>
      </c>
      <c r="CX860" s="16"/>
      <c r="CY860" s="8"/>
      <c r="CZ860" s="8"/>
      <c r="DA860" s="8"/>
      <c r="DB860" s="8"/>
      <c r="DC860" s="8"/>
      <c r="DD860" s="8"/>
    </row>
    <row r="861" spans="1:108" ht="15" customHeight="1" x14ac:dyDescent="0.2">
      <c r="A861" s="1">
        <v>8060038841</v>
      </c>
      <c r="B861" s="1">
        <v>806003884</v>
      </c>
      <c r="C861" s="9">
        <v>215513655</v>
      </c>
      <c r="D861" s="67" t="s">
        <v>1004</v>
      </c>
      <c r="E861" s="46" t="s">
        <v>1237</v>
      </c>
      <c r="F861" s="21"/>
      <c r="G861" s="50"/>
      <c r="H861" s="21"/>
      <c r="I861" s="50"/>
      <c r="J861" s="21"/>
      <c r="K861" s="21"/>
      <c r="L861" s="50"/>
      <c r="M861" s="51"/>
      <c r="N861" s="21"/>
      <c r="O861" s="50"/>
      <c r="P861" s="21"/>
      <c r="Q861" s="50"/>
      <c r="R861" s="21"/>
      <c r="S861" s="21"/>
      <c r="T861" s="50"/>
      <c r="U861" s="51">
        <f t="shared" si="134"/>
        <v>0</v>
      </c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2">
        <f t="shared" si="137"/>
        <v>0</v>
      </c>
      <c r="BD861" s="51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>
        <v>0</v>
      </c>
      <c r="BO861" s="51"/>
      <c r="BP861" s="51">
        <v>0</v>
      </c>
      <c r="BQ861" s="52"/>
      <c r="BR861" s="52"/>
      <c r="BS861" s="52"/>
      <c r="BT861" s="52"/>
      <c r="BU861" s="52"/>
      <c r="BV861" s="52"/>
      <c r="BW861" s="52"/>
      <c r="BX861" s="52"/>
      <c r="BY861" s="52"/>
      <c r="BZ861" s="52"/>
      <c r="CA861" s="52"/>
      <c r="CB861" s="52"/>
      <c r="CC861" s="52">
        <v>0</v>
      </c>
      <c r="CD861" s="52"/>
      <c r="CE861" s="52">
        <v>99171140</v>
      </c>
      <c r="CF861" s="52"/>
      <c r="CG861" s="52">
        <f t="shared" si="138"/>
        <v>99171140</v>
      </c>
      <c r="CH861" s="52"/>
      <c r="CI861" s="52"/>
      <c r="CJ861" s="52"/>
      <c r="CK861" s="52"/>
      <c r="CL861" s="52"/>
      <c r="CM861" s="52"/>
      <c r="CN861" s="52"/>
      <c r="CO861" s="52"/>
      <c r="CP861" s="52"/>
      <c r="CQ861" s="52"/>
      <c r="CR861" s="52"/>
      <c r="CS861" s="52">
        <f t="shared" si="135"/>
        <v>99171140</v>
      </c>
      <c r="CT861" s="53"/>
      <c r="CU861" s="53">
        <f t="shared" si="136"/>
        <v>99171140</v>
      </c>
      <c r="CV861" s="54">
        <f t="shared" si="139"/>
        <v>99171140</v>
      </c>
      <c r="CW861" s="55">
        <f t="shared" si="140"/>
        <v>0</v>
      </c>
      <c r="CX861" s="16"/>
      <c r="CY861" s="8"/>
      <c r="CZ861" s="8"/>
      <c r="DA861" s="8"/>
      <c r="DB861" s="8"/>
      <c r="DC861" s="8"/>
      <c r="DD861" s="8"/>
    </row>
    <row r="862" spans="1:108" ht="15" customHeight="1" x14ac:dyDescent="0.2">
      <c r="A862" s="1">
        <v>8909208145</v>
      </c>
      <c r="B862" s="1">
        <v>890920814</v>
      </c>
      <c r="C862" s="9">
        <v>215605656</v>
      </c>
      <c r="D862" s="10" t="s">
        <v>130</v>
      </c>
      <c r="E862" s="46" t="s">
        <v>1158</v>
      </c>
      <c r="F862" s="21"/>
      <c r="G862" s="50"/>
      <c r="H862" s="21"/>
      <c r="I862" s="50"/>
      <c r="J862" s="21"/>
      <c r="K862" s="21"/>
      <c r="L862" s="50"/>
      <c r="M862" s="51"/>
      <c r="N862" s="21"/>
      <c r="O862" s="50"/>
      <c r="P862" s="21"/>
      <c r="Q862" s="50"/>
      <c r="R862" s="21"/>
      <c r="S862" s="21"/>
      <c r="T862" s="50"/>
      <c r="U862" s="51">
        <f t="shared" si="134"/>
        <v>0</v>
      </c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>
        <f>VLOOKUP(B862,[1]Hoja3!J$3:K$674,2,0)</f>
        <v>195197066</v>
      </c>
      <c r="BB862" s="51"/>
      <c r="BC862" s="52">
        <f t="shared" si="137"/>
        <v>195197066</v>
      </c>
      <c r="BD862" s="51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>
        <v>15839345</v>
      </c>
      <c r="BO862" s="51"/>
      <c r="BP862" s="52">
        <v>211036411</v>
      </c>
      <c r="BQ862" s="52"/>
      <c r="BR862" s="52"/>
      <c r="BS862" s="52"/>
      <c r="BT862" s="52"/>
      <c r="BU862" s="52"/>
      <c r="BV862" s="52"/>
      <c r="BW862" s="52"/>
      <c r="BX862" s="52"/>
      <c r="BY862" s="52"/>
      <c r="BZ862" s="52"/>
      <c r="CA862" s="52"/>
      <c r="CB862" s="52"/>
      <c r="CC862" s="52">
        <v>15839345</v>
      </c>
      <c r="CD862" s="52">
        <v>79196725</v>
      </c>
      <c r="CE862" s="52"/>
      <c r="CF862" s="52"/>
      <c r="CG862" s="52">
        <f t="shared" si="138"/>
        <v>306072481</v>
      </c>
      <c r="CH862" s="52"/>
      <c r="CI862" s="52"/>
      <c r="CJ862" s="52"/>
      <c r="CK862" s="52"/>
      <c r="CL862" s="52"/>
      <c r="CM862" s="52"/>
      <c r="CN862" s="52"/>
      <c r="CO862" s="52"/>
      <c r="CP862" s="52"/>
      <c r="CQ862" s="52">
        <v>15839345</v>
      </c>
      <c r="CR862" s="52"/>
      <c r="CS862" s="52">
        <f t="shared" si="135"/>
        <v>321911826</v>
      </c>
      <c r="CT862" s="53">
        <v>126714760</v>
      </c>
      <c r="CU862" s="53">
        <f t="shared" si="136"/>
        <v>195197066</v>
      </c>
      <c r="CV862" s="54">
        <f t="shared" si="139"/>
        <v>321911826</v>
      </c>
      <c r="CW862" s="55">
        <f t="shared" si="140"/>
        <v>0</v>
      </c>
      <c r="CX862" s="16"/>
      <c r="CY862" s="16"/>
      <c r="CZ862" s="16"/>
    </row>
    <row r="863" spans="1:108" ht="15" customHeight="1" x14ac:dyDescent="0.2">
      <c r="A863" s="1">
        <v>8902086762</v>
      </c>
      <c r="B863" s="1">
        <v>890208676</v>
      </c>
      <c r="C863" s="9">
        <v>218268682</v>
      </c>
      <c r="D863" s="10" t="s">
        <v>876</v>
      </c>
      <c r="E863" s="46" t="s">
        <v>1852</v>
      </c>
      <c r="F863" s="21"/>
      <c r="G863" s="50"/>
      <c r="H863" s="21"/>
      <c r="I863" s="50"/>
      <c r="J863" s="21"/>
      <c r="K863" s="21"/>
      <c r="L863" s="50"/>
      <c r="M863" s="51"/>
      <c r="N863" s="21"/>
      <c r="O863" s="50"/>
      <c r="P863" s="21"/>
      <c r="Q863" s="50"/>
      <c r="R863" s="21"/>
      <c r="S863" s="21"/>
      <c r="T863" s="50"/>
      <c r="U863" s="51">
        <f t="shared" si="134"/>
        <v>0</v>
      </c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>
        <v>17168600</v>
      </c>
      <c r="AZ863" s="51"/>
      <c r="BA863" s="51">
        <f>VLOOKUP(B863,[1]Hoja3!J$3:K$674,2,0)</f>
        <v>32792671</v>
      </c>
      <c r="BB863" s="51"/>
      <c r="BC863" s="52">
        <f t="shared" si="137"/>
        <v>49961271</v>
      </c>
      <c r="BD863" s="51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>
        <v>3433720</v>
      </c>
      <c r="BO863" s="51"/>
      <c r="BP863" s="52">
        <v>53394991</v>
      </c>
      <c r="BQ863" s="52"/>
      <c r="BR863" s="52"/>
      <c r="BS863" s="52"/>
      <c r="BT863" s="52"/>
      <c r="BU863" s="52"/>
      <c r="BV863" s="52"/>
      <c r="BW863" s="52"/>
      <c r="BX863" s="52"/>
      <c r="BY863" s="52"/>
      <c r="BZ863" s="52"/>
      <c r="CA863" s="52"/>
      <c r="CB863" s="52"/>
      <c r="CC863" s="52">
        <v>3433720</v>
      </c>
      <c r="CD863" s="52"/>
      <c r="CE863" s="52"/>
      <c r="CF863" s="52"/>
      <c r="CG863" s="52">
        <f t="shared" si="138"/>
        <v>56828711</v>
      </c>
      <c r="CH863" s="52"/>
      <c r="CI863" s="52"/>
      <c r="CJ863" s="52"/>
      <c r="CK863" s="52"/>
      <c r="CL863" s="52"/>
      <c r="CM863" s="52"/>
      <c r="CN863" s="52"/>
      <c r="CO863" s="52"/>
      <c r="CP863" s="52"/>
      <c r="CQ863" s="52">
        <v>3433720</v>
      </c>
      <c r="CR863" s="52"/>
      <c r="CS863" s="52">
        <f t="shared" si="135"/>
        <v>60262431</v>
      </c>
      <c r="CT863" s="53">
        <v>27469760</v>
      </c>
      <c r="CU863" s="53">
        <f t="shared" si="136"/>
        <v>32792671</v>
      </c>
      <c r="CV863" s="54">
        <f t="shared" si="139"/>
        <v>60262431</v>
      </c>
      <c r="CW863" s="55">
        <f t="shared" si="140"/>
        <v>0</v>
      </c>
      <c r="CX863" s="16"/>
      <c r="CY863" s="16"/>
      <c r="CZ863" s="16"/>
    </row>
    <row r="864" spans="1:108" ht="15" customHeight="1" x14ac:dyDescent="0.2">
      <c r="A864" s="1">
        <v>8916800809</v>
      </c>
      <c r="B864" s="1">
        <v>891680080</v>
      </c>
      <c r="C864" s="9">
        <v>216027660</v>
      </c>
      <c r="D864" s="10" t="s">
        <v>2115</v>
      </c>
      <c r="E864" s="46" t="s">
        <v>1611</v>
      </c>
      <c r="F864" s="21"/>
      <c r="G864" s="50"/>
      <c r="H864" s="21"/>
      <c r="I864" s="50"/>
      <c r="J864" s="21"/>
      <c r="K864" s="21"/>
      <c r="L864" s="50"/>
      <c r="M864" s="51"/>
      <c r="N864" s="21"/>
      <c r="O864" s="50"/>
      <c r="P864" s="21"/>
      <c r="Q864" s="50"/>
      <c r="R864" s="21"/>
      <c r="S864" s="21"/>
      <c r="T864" s="50"/>
      <c r="U864" s="51">
        <f t="shared" si="134"/>
        <v>0</v>
      </c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>
        <v>79617884</v>
      </c>
      <c r="AN864" s="51">
        <f t="shared" ref="AN864:AN874" si="142">SUBTOTAL(9,AC864:AM864)</f>
        <v>79617884</v>
      </c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2">
        <f t="shared" si="137"/>
        <v>79617884</v>
      </c>
      <c r="BD864" s="51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>
        <v>7744334</v>
      </c>
      <c r="BO864" s="51"/>
      <c r="BP864" s="52">
        <v>87362218</v>
      </c>
      <c r="BQ864" s="52"/>
      <c r="BR864" s="52"/>
      <c r="BS864" s="52"/>
      <c r="BT864" s="52"/>
      <c r="BU864" s="52"/>
      <c r="BV864" s="52"/>
      <c r="BW864" s="52"/>
      <c r="BX864" s="52"/>
      <c r="BY864" s="52"/>
      <c r="BZ864" s="52"/>
      <c r="CA864" s="52"/>
      <c r="CB864" s="52"/>
      <c r="CC864" s="52">
        <v>7744334</v>
      </c>
      <c r="CD864" s="52">
        <v>38721670</v>
      </c>
      <c r="CE864" s="52"/>
      <c r="CF864" s="52"/>
      <c r="CG864" s="52">
        <f t="shared" si="138"/>
        <v>133828222</v>
      </c>
      <c r="CH864" s="52"/>
      <c r="CI864" s="52"/>
      <c r="CJ864" s="52"/>
      <c r="CK864" s="52"/>
      <c r="CL864" s="52"/>
      <c r="CM864" s="52"/>
      <c r="CN864" s="52"/>
      <c r="CO864" s="52"/>
      <c r="CP864" s="52"/>
      <c r="CQ864" s="52">
        <v>7744334</v>
      </c>
      <c r="CR864" s="52"/>
      <c r="CS864" s="52">
        <f t="shared" si="135"/>
        <v>141572556</v>
      </c>
      <c r="CT864" s="53">
        <v>61954672</v>
      </c>
      <c r="CU864" s="53">
        <f t="shared" si="136"/>
        <v>79617884</v>
      </c>
      <c r="CV864" s="54">
        <f t="shared" si="139"/>
        <v>141572556</v>
      </c>
      <c r="CW864" s="55">
        <f t="shared" si="140"/>
        <v>0</v>
      </c>
      <c r="CX864" s="16"/>
      <c r="CY864" s="16"/>
      <c r="CZ864" s="16"/>
    </row>
    <row r="865" spans="1:108" ht="15" customHeight="1" x14ac:dyDescent="0.2">
      <c r="A865" s="1">
        <v>8000832337</v>
      </c>
      <c r="B865" s="1">
        <v>800083233</v>
      </c>
      <c r="C865" s="9">
        <v>216415664</v>
      </c>
      <c r="D865" s="10" t="s">
        <v>297</v>
      </c>
      <c r="E865" s="46" t="s">
        <v>1328</v>
      </c>
      <c r="F865" s="21"/>
      <c r="G865" s="50"/>
      <c r="H865" s="21"/>
      <c r="I865" s="50"/>
      <c r="J865" s="21"/>
      <c r="K865" s="21"/>
      <c r="L865" s="50"/>
      <c r="M865" s="51"/>
      <c r="N865" s="21"/>
      <c r="O865" s="50"/>
      <c r="P865" s="21"/>
      <c r="Q865" s="50"/>
      <c r="R865" s="21"/>
      <c r="S865" s="21"/>
      <c r="T865" s="50"/>
      <c r="U865" s="51">
        <f t="shared" si="134"/>
        <v>0</v>
      </c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>
        <v>14556599</v>
      </c>
      <c r="AN865" s="51">
        <f t="shared" si="142"/>
        <v>14556599</v>
      </c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>
        <v>37585305</v>
      </c>
      <c r="AZ865" s="51"/>
      <c r="BA865" s="51">
        <f>VLOOKUP(B865,[1]Hoja3!J$3:K$674,2,0)</f>
        <v>45002686</v>
      </c>
      <c r="BB865" s="51"/>
      <c r="BC865" s="52">
        <f t="shared" si="137"/>
        <v>97144590</v>
      </c>
      <c r="BD865" s="51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>
        <v>7517061</v>
      </c>
      <c r="BO865" s="51"/>
      <c r="BP865" s="52">
        <v>104661651</v>
      </c>
      <c r="BQ865" s="52"/>
      <c r="BR865" s="52"/>
      <c r="BS865" s="52"/>
      <c r="BT865" s="52"/>
      <c r="BU865" s="52"/>
      <c r="BV865" s="52"/>
      <c r="BW865" s="52"/>
      <c r="BX865" s="52"/>
      <c r="BY865" s="52"/>
      <c r="BZ865" s="52"/>
      <c r="CA865" s="52"/>
      <c r="CB865" s="52"/>
      <c r="CC865" s="52">
        <v>7517061</v>
      </c>
      <c r="CD865" s="52"/>
      <c r="CE865" s="52"/>
      <c r="CF865" s="52"/>
      <c r="CG865" s="52">
        <f t="shared" si="138"/>
        <v>112178712</v>
      </c>
      <c r="CH865" s="52"/>
      <c r="CI865" s="52"/>
      <c r="CJ865" s="52"/>
      <c r="CK865" s="52"/>
      <c r="CL865" s="52"/>
      <c r="CM865" s="52"/>
      <c r="CN865" s="52"/>
      <c r="CO865" s="52"/>
      <c r="CP865" s="52"/>
      <c r="CQ865" s="52">
        <v>7517061</v>
      </c>
      <c r="CR865" s="52"/>
      <c r="CS865" s="52">
        <f t="shared" si="135"/>
        <v>119695773</v>
      </c>
      <c r="CT865" s="53">
        <v>60136488</v>
      </c>
      <c r="CU865" s="53">
        <f t="shared" si="136"/>
        <v>59559285</v>
      </c>
      <c r="CV865" s="54">
        <f t="shared" si="139"/>
        <v>119695773</v>
      </c>
      <c r="CW865" s="55">
        <f t="shared" si="140"/>
        <v>0</v>
      </c>
      <c r="CX865" s="16"/>
      <c r="CY865" s="8"/>
      <c r="CZ865" s="8"/>
      <c r="DA865" s="8"/>
      <c r="DB865" s="8"/>
      <c r="DC865" s="8"/>
      <c r="DD865" s="8"/>
    </row>
    <row r="866" spans="1:108" ht="15" customHeight="1" x14ac:dyDescent="0.2">
      <c r="A866" s="1">
        <v>9002200618</v>
      </c>
      <c r="B866" s="1">
        <v>900220061</v>
      </c>
      <c r="C866" s="9">
        <v>923271475</v>
      </c>
      <c r="D866" s="10" t="s">
        <v>2201</v>
      </c>
      <c r="E866" s="46" t="s">
        <v>2069</v>
      </c>
      <c r="F866" s="21"/>
      <c r="G866" s="50"/>
      <c r="H866" s="21"/>
      <c r="I866" s="50"/>
      <c r="J866" s="21"/>
      <c r="K866" s="21"/>
      <c r="L866" s="50"/>
      <c r="M866" s="51"/>
      <c r="N866" s="21"/>
      <c r="O866" s="50"/>
      <c r="P866" s="21"/>
      <c r="Q866" s="50"/>
      <c r="R866" s="21"/>
      <c r="S866" s="21"/>
      <c r="T866" s="50"/>
      <c r="U866" s="51">
        <f t="shared" si="134"/>
        <v>0</v>
      </c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>
        <v>127998579</v>
      </c>
      <c r="AN866" s="51">
        <f t="shared" si="142"/>
        <v>127998579</v>
      </c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>
        <v>165316175</v>
      </c>
      <c r="AZ866" s="51"/>
      <c r="BA866" s="51"/>
      <c r="BB866" s="51"/>
      <c r="BC866" s="52">
        <f t="shared" si="137"/>
        <v>293314754</v>
      </c>
      <c r="BD866" s="51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>
        <v>33063235</v>
      </c>
      <c r="BO866" s="51"/>
      <c r="BP866" s="52">
        <v>326377989</v>
      </c>
      <c r="BQ866" s="52"/>
      <c r="BR866" s="52"/>
      <c r="BS866" s="52"/>
      <c r="BT866" s="52"/>
      <c r="BU866" s="52"/>
      <c r="BV866" s="52"/>
      <c r="BW866" s="52"/>
      <c r="BX866" s="52"/>
      <c r="BY866" s="52"/>
      <c r="BZ866" s="52"/>
      <c r="CA866" s="52"/>
      <c r="CB866" s="52"/>
      <c r="CC866" s="52">
        <v>33063235</v>
      </c>
      <c r="CD866" s="52"/>
      <c r="CE866" s="52"/>
      <c r="CF866" s="52"/>
      <c r="CG866" s="52">
        <f t="shared" si="138"/>
        <v>359441224</v>
      </c>
      <c r="CH866" s="52"/>
      <c r="CI866" s="52"/>
      <c r="CJ866" s="52"/>
      <c r="CK866" s="52"/>
      <c r="CL866" s="52"/>
      <c r="CM866" s="52"/>
      <c r="CN866" s="52"/>
      <c r="CO866" s="52"/>
      <c r="CP866" s="52"/>
      <c r="CQ866" s="52">
        <v>33063235</v>
      </c>
      <c r="CR866" s="52"/>
      <c r="CS866" s="52">
        <f t="shared" si="135"/>
        <v>392504459</v>
      </c>
      <c r="CT866" s="53">
        <v>264505880</v>
      </c>
      <c r="CU866" s="53">
        <f t="shared" si="136"/>
        <v>127998579</v>
      </c>
      <c r="CV866" s="54">
        <f t="shared" si="139"/>
        <v>392504459</v>
      </c>
      <c r="CW866" s="55">
        <f t="shared" si="140"/>
        <v>0</v>
      </c>
      <c r="CX866" s="16"/>
      <c r="CY866" s="16"/>
      <c r="CZ866" s="16"/>
    </row>
    <row r="867" spans="1:108" ht="15" customHeight="1" x14ac:dyDescent="0.2">
      <c r="A867" s="1">
        <v>8001031802</v>
      </c>
      <c r="B867" s="1">
        <v>800103180</v>
      </c>
      <c r="C867" s="9">
        <v>210195001</v>
      </c>
      <c r="D867" s="10" t="s">
        <v>2122</v>
      </c>
      <c r="E867" s="46" t="s">
        <v>2047</v>
      </c>
      <c r="F867" s="21"/>
      <c r="G867" s="50"/>
      <c r="H867" s="21"/>
      <c r="I867" s="50"/>
      <c r="J867" s="21"/>
      <c r="K867" s="21"/>
      <c r="L867" s="50"/>
      <c r="M867" s="51"/>
      <c r="N867" s="21"/>
      <c r="O867" s="50"/>
      <c r="P867" s="21"/>
      <c r="Q867" s="50"/>
      <c r="R867" s="21"/>
      <c r="S867" s="21"/>
      <c r="T867" s="50"/>
      <c r="U867" s="51">
        <f t="shared" si="134"/>
        <v>0</v>
      </c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>
        <v>839717817</v>
      </c>
      <c r="AN867" s="51">
        <f t="shared" si="142"/>
        <v>839717817</v>
      </c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>
        <v>462255835</v>
      </c>
      <c r="AZ867" s="51"/>
      <c r="BA867" s="51"/>
      <c r="BB867" s="51"/>
      <c r="BC867" s="52">
        <f t="shared" si="137"/>
        <v>1301973652</v>
      </c>
      <c r="BD867" s="51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>
        <v>92451167</v>
      </c>
      <c r="BO867" s="51"/>
      <c r="BP867" s="52">
        <v>1394424819</v>
      </c>
      <c r="BQ867" s="52"/>
      <c r="BR867" s="52"/>
      <c r="BS867" s="52"/>
      <c r="BT867" s="52"/>
      <c r="BU867" s="52"/>
      <c r="BV867" s="52"/>
      <c r="BW867" s="52"/>
      <c r="BX867" s="52"/>
      <c r="BY867" s="52"/>
      <c r="BZ867" s="52"/>
      <c r="CA867" s="52"/>
      <c r="CB867" s="52"/>
      <c r="CC867" s="52">
        <v>92451167</v>
      </c>
      <c r="CD867" s="52"/>
      <c r="CE867" s="52"/>
      <c r="CF867" s="52"/>
      <c r="CG867" s="52">
        <f t="shared" si="138"/>
        <v>1486875986</v>
      </c>
      <c r="CH867" s="52"/>
      <c r="CI867" s="52"/>
      <c r="CJ867" s="52"/>
      <c r="CK867" s="52"/>
      <c r="CL867" s="52"/>
      <c r="CM867" s="52"/>
      <c r="CN867" s="52"/>
      <c r="CO867" s="52"/>
      <c r="CP867" s="52"/>
      <c r="CQ867" s="52">
        <v>92451167</v>
      </c>
      <c r="CR867" s="52"/>
      <c r="CS867" s="52">
        <f t="shared" si="135"/>
        <v>1579327153</v>
      </c>
      <c r="CT867" s="53">
        <v>739609336</v>
      </c>
      <c r="CU867" s="53">
        <f t="shared" si="136"/>
        <v>839717817</v>
      </c>
      <c r="CV867" s="54">
        <f t="shared" si="139"/>
        <v>1579327153</v>
      </c>
      <c r="CW867" s="55">
        <f t="shared" si="140"/>
        <v>0</v>
      </c>
      <c r="CX867" s="16"/>
      <c r="CY867" s="16"/>
      <c r="CZ867" s="16"/>
    </row>
    <row r="868" spans="1:108" ht="15" customHeight="1" x14ac:dyDescent="0.2">
      <c r="A868" s="1">
        <v>8000957820</v>
      </c>
      <c r="B868" s="1">
        <v>800095782</v>
      </c>
      <c r="C868" s="9">
        <v>211018610</v>
      </c>
      <c r="D868" s="10" t="s">
        <v>2195</v>
      </c>
      <c r="E868" s="46" t="s">
        <v>1400</v>
      </c>
      <c r="F868" s="21"/>
      <c r="G868" s="50"/>
      <c r="H868" s="21"/>
      <c r="I868" s="50"/>
      <c r="J868" s="21"/>
      <c r="K868" s="21"/>
      <c r="L868" s="50"/>
      <c r="M868" s="51"/>
      <c r="N868" s="21"/>
      <c r="O868" s="50"/>
      <c r="P868" s="21"/>
      <c r="Q868" s="50"/>
      <c r="R868" s="21"/>
      <c r="S868" s="21"/>
      <c r="T868" s="50"/>
      <c r="U868" s="51">
        <f t="shared" si="134"/>
        <v>0</v>
      </c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>
        <v>251064524</v>
      </c>
      <c r="AN868" s="51">
        <f t="shared" si="142"/>
        <v>251064524</v>
      </c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>
        <v>132244025</v>
      </c>
      <c r="AZ868" s="51"/>
      <c r="BA868" s="51"/>
      <c r="BB868" s="51"/>
      <c r="BC868" s="52">
        <f t="shared" si="137"/>
        <v>383308549</v>
      </c>
      <c r="BD868" s="51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>
        <v>26448805</v>
      </c>
      <c r="BO868" s="51"/>
      <c r="BP868" s="52">
        <v>409757354</v>
      </c>
      <c r="BQ868" s="52"/>
      <c r="BR868" s="52"/>
      <c r="BS868" s="52"/>
      <c r="BT868" s="52"/>
      <c r="BU868" s="52"/>
      <c r="BV868" s="52"/>
      <c r="BW868" s="52"/>
      <c r="BX868" s="52"/>
      <c r="BY868" s="52"/>
      <c r="BZ868" s="52"/>
      <c r="CA868" s="52"/>
      <c r="CB868" s="52"/>
      <c r="CC868" s="52">
        <v>26448805</v>
      </c>
      <c r="CD868" s="52"/>
      <c r="CE868" s="52"/>
      <c r="CF868" s="52"/>
      <c r="CG868" s="52">
        <f t="shared" si="138"/>
        <v>436206159</v>
      </c>
      <c r="CH868" s="52"/>
      <c r="CI868" s="52"/>
      <c r="CJ868" s="52"/>
      <c r="CK868" s="52"/>
      <c r="CL868" s="52"/>
      <c r="CM868" s="52"/>
      <c r="CN868" s="52"/>
      <c r="CO868" s="52"/>
      <c r="CP868" s="52"/>
      <c r="CQ868" s="52">
        <v>26448805</v>
      </c>
      <c r="CR868" s="52"/>
      <c r="CS868" s="52">
        <f t="shared" si="135"/>
        <v>462654964</v>
      </c>
      <c r="CT868" s="53">
        <v>211590440</v>
      </c>
      <c r="CU868" s="53">
        <f t="shared" si="136"/>
        <v>251064524</v>
      </c>
      <c r="CV868" s="54">
        <f t="shared" si="139"/>
        <v>462654964</v>
      </c>
      <c r="CW868" s="55">
        <f t="shared" si="140"/>
        <v>0</v>
      </c>
      <c r="CX868" s="16"/>
      <c r="CY868" s="16"/>
      <c r="CZ868" s="16"/>
    </row>
    <row r="869" spans="1:108" ht="15" customHeight="1" x14ac:dyDescent="0.2">
      <c r="A869" s="1">
        <v>8902048904</v>
      </c>
      <c r="B869" s="1">
        <v>890204890</v>
      </c>
      <c r="C869" s="9">
        <v>218468684</v>
      </c>
      <c r="D869" s="10" t="s">
        <v>2136</v>
      </c>
      <c r="E869" s="46" t="s">
        <v>1888</v>
      </c>
      <c r="F869" s="21"/>
      <c r="G869" s="50"/>
      <c r="H869" s="21"/>
      <c r="I869" s="50"/>
      <c r="J869" s="21"/>
      <c r="K869" s="21"/>
      <c r="L869" s="50"/>
      <c r="M869" s="51"/>
      <c r="N869" s="21"/>
      <c r="O869" s="50"/>
      <c r="P869" s="21"/>
      <c r="Q869" s="50"/>
      <c r="R869" s="21"/>
      <c r="S869" s="21"/>
      <c r="T869" s="50"/>
      <c r="U869" s="51">
        <f t="shared" si="134"/>
        <v>0</v>
      </c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>
        <v>52552207</v>
      </c>
      <c r="AN869" s="51">
        <f t="shared" si="142"/>
        <v>52552207</v>
      </c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>
        <v>29033440</v>
      </c>
      <c r="AZ869" s="51"/>
      <c r="BA869" s="51"/>
      <c r="BB869" s="51"/>
      <c r="BC869" s="52">
        <f t="shared" si="137"/>
        <v>81585647</v>
      </c>
      <c r="BD869" s="51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>
        <v>5806688</v>
      </c>
      <c r="BO869" s="51"/>
      <c r="BP869" s="52">
        <v>87392335</v>
      </c>
      <c r="BQ869" s="52"/>
      <c r="BR869" s="52"/>
      <c r="BS869" s="52"/>
      <c r="BT869" s="52"/>
      <c r="BU869" s="52"/>
      <c r="BV869" s="52"/>
      <c r="BW869" s="52"/>
      <c r="BX869" s="52"/>
      <c r="BY869" s="52"/>
      <c r="BZ869" s="52"/>
      <c r="CA869" s="52"/>
      <c r="CB869" s="52"/>
      <c r="CC869" s="52">
        <v>5806688</v>
      </c>
      <c r="CD869" s="52"/>
      <c r="CE869" s="52"/>
      <c r="CF869" s="52"/>
      <c r="CG869" s="52">
        <f t="shared" si="138"/>
        <v>93199023</v>
      </c>
      <c r="CH869" s="52"/>
      <c r="CI869" s="52"/>
      <c r="CJ869" s="52"/>
      <c r="CK869" s="52"/>
      <c r="CL869" s="52"/>
      <c r="CM869" s="52"/>
      <c r="CN869" s="52"/>
      <c r="CO869" s="52"/>
      <c r="CP869" s="52"/>
      <c r="CQ869" s="52">
        <v>5806688</v>
      </c>
      <c r="CR869" s="52"/>
      <c r="CS869" s="52">
        <f t="shared" si="135"/>
        <v>99005711</v>
      </c>
      <c r="CT869" s="53">
        <v>46453504</v>
      </c>
      <c r="CU869" s="53">
        <f t="shared" si="136"/>
        <v>52552207</v>
      </c>
      <c r="CV869" s="54">
        <f t="shared" si="139"/>
        <v>99005711</v>
      </c>
      <c r="CW869" s="55">
        <f t="shared" si="140"/>
        <v>0</v>
      </c>
      <c r="CX869" s="16"/>
      <c r="CY869" s="16"/>
      <c r="CZ869" s="16"/>
    </row>
    <row r="870" spans="1:108" ht="15" customHeight="1" x14ac:dyDescent="0.2">
      <c r="A870" s="1">
        <v>8100019988</v>
      </c>
      <c r="B870" s="1">
        <v>810001998</v>
      </c>
      <c r="C870" s="9">
        <v>216517665</v>
      </c>
      <c r="D870" s="10" t="s">
        <v>357</v>
      </c>
      <c r="E870" s="46" t="s">
        <v>1386</v>
      </c>
      <c r="F870" s="21"/>
      <c r="G870" s="50"/>
      <c r="H870" s="21"/>
      <c r="I870" s="50"/>
      <c r="J870" s="21"/>
      <c r="K870" s="21"/>
      <c r="L870" s="50"/>
      <c r="M870" s="51"/>
      <c r="N870" s="21"/>
      <c r="O870" s="50"/>
      <c r="P870" s="21"/>
      <c r="Q870" s="50"/>
      <c r="R870" s="21"/>
      <c r="S870" s="21"/>
      <c r="T870" s="50"/>
      <c r="U870" s="51">
        <f t="shared" si="134"/>
        <v>0</v>
      </c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>
        <v>75311670</v>
      </c>
      <c r="AN870" s="51">
        <f t="shared" si="142"/>
        <v>75311670</v>
      </c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>
        <v>38320085</v>
      </c>
      <c r="AZ870" s="51"/>
      <c r="BA870" s="51"/>
      <c r="BB870" s="51"/>
      <c r="BC870" s="52">
        <f t="shared" si="137"/>
        <v>113631755</v>
      </c>
      <c r="BD870" s="51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>
        <v>7664017</v>
      </c>
      <c r="BO870" s="51"/>
      <c r="BP870" s="52">
        <v>121295772</v>
      </c>
      <c r="BQ870" s="52"/>
      <c r="BR870" s="52"/>
      <c r="BS870" s="52"/>
      <c r="BT870" s="52"/>
      <c r="BU870" s="52"/>
      <c r="BV870" s="52"/>
      <c r="BW870" s="52"/>
      <c r="BX870" s="52"/>
      <c r="BY870" s="52"/>
      <c r="BZ870" s="52"/>
      <c r="CA870" s="52"/>
      <c r="CB870" s="52"/>
      <c r="CC870" s="52">
        <v>7664017</v>
      </c>
      <c r="CD870" s="52"/>
      <c r="CE870" s="52"/>
      <c r="CF870" s="52"/>
      <c r="CG870" s="52">
        <f t="shared" si="138"/>
        <v>128959789</v>
      </c>
      <c r="CH870" s="52"/>
      <c r="CI870" s="52"/>
      <c r="CJ870" s="52"/>
      <c r="CK870" s="52"/>
      <c r="CL870" s="52"/>
      <c r="CM870" s="52"/>
      <c r="CN870" s="52"/>
      <c r="CO870" s="52"/>
      <c r="CP870" s="52"/>
      <c r="CQ870" s="52">
        <v>7664017</v>
      </c>
      <c r="CR870" s="52"/>
      <c r="CS870" s="52">
        <f t="shared" si="135"/>
        <v>136623806</v>
      </c>
      <c r="CT870" s="53">
        <v>61312136</v>
      </c>
      <c r="CU870" s="53">
        <f t="shared" si="136"/>
        <v>75311670</v>
      </c>
      <c r="CV870" s="54">
        <f t="shared" si="139"/>
        <v>136623806</v>
      </c>
      <c r="CW870" s="55">
        <f t="shared" si="140"/>
        <v>0</v>
      </c>
      <c r="CX870" s="16"/>
      <c r="CY870" s="16"/>
      <c r="CZ870" s="16"/>
    </row>
    <row r="871" spans="1:108" ht="15" customHeight="1" x14ac:dyDescent="0.2">
      <c r="A871" s="1">
        <v>8922012821</v>
      </c>
      <c r="B871" s="1">
        <v>892201282</v>
      </c>
      <c r="C871" s="9">
        <v>210270702</v>
      </c>
      <c r="D871" s="10" t="s">
        <v>2139</v>
      </c>
      <c r="E871" s="46" t="s">
        <v>1920</v>
      </c>
      <c r="F871" s="21"/>
      <c r="G871" s="50"/>
      <c r="H871" s="21"/>
      <c r="I871" s="50"/>
      <c r="J871" s="21"/>
      <c r="K871" s="21"/>
      <c r="L871" s="50"/>
      <c r="M871" s="51"/>
      <c r="N871" s="21"/>
      <c r="O871" s="50"/>
      <c r="P871" s="21"/>
      <c r="Q871" s="50"/>
      <c r="R871" s="21"/>
      <c r="S871" s="21"/>
      <c r="T871" s="50"/>
      <c r="U871" s="51">
        <f t="shared" si="134"/>
        <v>0</v>
      </c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>
        <v>42370217</v>
      </c>
      <c r="AN871" s="51">
        <f t="shared" si="142"/>
        <v>42370217</v>
      </c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>
        <v>117463185</v>
      </c>
      <c r="AZ871" s="51"/>
      <c r="BA871" s="51">
        <f>VLOOKUP(B871,[1]Hoja3!J$3:K$674,2,0)</f>
        <v>159590057</v>
      </c>
      <c r="BB871" s="51"/>
      <c r="BC871" s="52">
        <f t="shared" si="137"/>
        <v>319423459</v>
      </c>
      <c r="BD871" s="51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>
        <v>23492637</v>
      </c>
      <c r="BO871" s="51"/>
      <c r="BP871" s="52">
        <v>342916096</v>
      </c>
      <c r="BQ871" s="52"/>
      <c r="BR871" s="52"/>
      <c r="BS871" s="52"/>
      <c r="BT871" s="52"/>
      <c r="BU871" s="52"/>
      <c r="BV871" s="52"/>
      <c r="BW871" s="52"/>
      <c r="BX871" s="52"/>
      <c r="BY871" s="52"/>
      <c r="BZ871" s="52"/>
      <c r="CA871" s="52"/>
      <c r="CB871" s="52"/>
      <c r="CC871" s="52">
        <v>23492637</v>
      </c>
      <c r="CD871" s="52"/>
      <c r="CE871" s="52">
        <v>7536705</v>
      </c>
      <c r="CF871" s="52"/>
      <c r="CG871" s="52">
        <f t="shared" si="138"/>
        <v>373945438</v>
      </c>
      <c r="CH871" s="52"/>
      <c r="CI871" s="52"/>
      <c r="CJ871" s="52"/>
      <c r="CK871" s="52"/>
      <c r="CL871" s="52"/>
      <c r="CM871" s="52"/>
      <c r="CN871" s="52"/>
      <c r="CO871" s="52"/>
      <c r="CP871" s="52"/>
      <c r="CQ871" s="52">
        <v>23492637</v>
      </c>
      <c r="CR871" s="52"/>
      <c r="CS871" s="52">
        <f t="shared" si="135"/>
        <v>397438075</v>
      </c>
      <c r="CT871" s="53">
        <v>187941096</v>
      </c>
      <c r="CU871" s="53">
        <f t="shared" si="136"/>
        <v>209496979</v>
      </c>
      <c r="CV871" s="54">
        <f t="shared" si="139"/>
        <v>397438075</v>
      </c>
      <c r="CW871" s="55">
        <f t="shared" si="140"/>
        <v>0</v>
      </c>
      <c r="CX871" s="16"/>
      <c r="CY871" s="16"/>
      <c r="CZ871" s="16"/>
    </row>
    <row r="872" spans="1:108" ht="15" customHeight="1" x14ac:dyDescent="0.2">
      <c r="A872" s="1">
        <v>8000982056</v>
      </c>
      <c r="B872" s="1">
        <v>800098205</v>
      </c>
      <c r="C872" s="9">
        <v>218350683</v>
      </c>
      <c r="D872" s="10" t="s">
        <v>688</v>
      </c>
      <c r="E872" s="46" t="s">
        <v>1710</v>
      </c>
      <c r="F872" s="21"/>
      <c r="G872" s="50"/>
      <c r="H872" s="21"/>
      <c r="I872" s="50"/>
      <c r="J872" s="21"/>
      <c r="K872" s="21"/>
      <c r="L872" s="50"/>
      <c r="M872" s="51"/>
      <c r="N872" s="21"/>
      <c r="O872" s="50"/>
      <c r="P872" s="21"/>
      <c r="Q872" s="50"/>
      <c r="R872" s="21"/>
      <c r="S872" s="21"/>
      <c r="T872" s="50"/>
      <c r="U872" s="51">
        <f t="shared" si="134"/>
        <v>0</v>
      </c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>
        <v>129758954</v>
      </c>
      <c r="AN872" s="51">
        <f t="shared" si="142"/>
        <v>129758954</v>
      </c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>
        <v>55913080</v>
      </c>
      <c r="AZ872" s="51"/>
      <c r="BA872" s="51"/>
      <c r="BB872" s="51"/>
      <c r="BC872" s="52">
        <f t="shared" si="137"/>
        <v>185672034</v>
      </c>
      <c r="BD872" s="51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>
        <v>11182616</v>
      </c>
      <c r="BO872" s="51"/>
      <c r="BP872" s="52">
        <v>196854650</v>
      </c>
      <c r="BQ872" s="52"/>
      <c r="BR872" s="52"/>
      <c r="BS872" s="52"/>
      <c r="BT872" s="52"/>
      <c r="BU872" s="52"/>
      <c r="BV872" s="52"/>
      <c r="BW872" s="52"/>
      <c r="BX872" s="52"/>
      <c r="BY872" s="52"/>
      <c r="BZ872" s="52"/>
      <c r="CA872" s="52"/>
      <c r="CB872" s="52"/>
      <c r="CC872" s="52">
        <v>11182616</v>
      </c>
      <c r="CD872" s="52"/>
      <c r="CE872" s="52"/>
      <c r="CF872" s="52"/>
      <c r="CG872" s="52">
        <f t="shared" si="138"/>
        <v>208037266</v>
      </c>
      <c r="CH872" s="52"/>
      <c r="CI872" s="52"/>
      <c r="CJ872" s="52"/>
      <c r="CK872" s="52"/>
      <c r="CL872" s="52"/>
      <c r="CM872" s="52"/>
      <c r="CN872" s="52"/>
      <c r="CO872" s="52"/>
      <c r="CP872" s="52"/>
      <c r="CQ872" s="52">
        <v>11182616</v>
      </c>
      <c r="CR872" s="52"/>
      <c r="CS872" s="52">
        <f t="shared" si="135"/>
        <v>219219882</v>
      </c>
      <c r="CT872" s="53">
        <v>89460928</v>
      </c>
      <c r="CU872" s="53">
        <f t="shared" si="136"/>
        <v>129758954</v>
      </c>
      <c r="CV872" s="54">
        <f t="shared" si="139"/>
        <v>219219882</v>
      </c>
      <c r="CW872" s="55">
        <f t="shared" si="140"/>
        <v>0</v>
      </c>
      <c r="CX872" s="16"/>
      <c r="CY872" s="16"/>
      <c r="CZ872" s="16"/>
    </row>
    <row r="873" spans="1:108" ht="15" customHeight="1" x14ac:dyDescent="0.2">
      <c r="A873" s="1">
        <v>8999994224</v>
      </c>
      <c r="B873" s="1">
        <v>899999422</v>
      </c>
      <c r="C873" s="9">
        <v>216225662</v>
      </c>
      <c r="D873" s="10" t="s">
        <v>2118</v>
      </c>
      <c r="E873" s="46" t="s">
        <v>1559</v>
      </c>
      <c r="F873" s="21"/>
      <c r="G873" s="50"/>
      <c r="H873" s="21"/>
      <c r="I873" s="50"/>
      <c r="J873" s="21"/>
      <c r="K873" s="21"/>
      <c r="L873" s="50"/>
      <c r="M873" s="51"/>
      <c r="N873" s="21"/>
      <c r="O873" s="50"/>
      <c r="P873" s="21"/>
      <c r="Q873" s="50"/>
      <c r="R873" s="21"/>
      <c r="S873" s="21"/>
      <c r="T873" s="50"/>
      <c r="U873" s="51">
        <f t="shared" si="134"/>
        <v>0</v>
      </c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>
        <v>134849144</v>
      </c>
      <c r="AN873" s="51">
        <f t="shared" si="142"/>
        <v>134849144</v>
      </c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2">
        <f t="shared" si="137"/>
        <v>134849144</v>
      </c>
      <c r="BD873" s="51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>
        <v>0</v>
      </c>
      <c r="BO873" s="51"/>
      <c r="BP873" s="52">
        <v>134849144</v>
      </c>
      <c r="BQ873" s="52"/>
      <c r="BR873" s="52"/>
      <c r="BS873" s="52"/>
      <c r="BT873" s="52"/>
      <c r="BU873" s="52"/>
      <c r="BV873" s="52"/>
      <c r="BW873" s="52"/>
      <c r="BX873" s="52"/>
      <c r="BY873" s="52"/>
      <c r="BZ873" s="52"/>
      <c r="CA873" s="52"/>
      <c r="CB873" s="52"/>
      <c r="CC873" s="52">
        <v>0</v>
      </c>
      <c r="CD873" s="52"/>
      <c r="CE873" s="52"/>
      <c r="CF873" s="52"/>
      <c r="CG873" s="52">
        <f t="shared" si="138"/>
        <v>134849144</v>
      </c>
      <c r="CH873" s="52"/>
      <c r="CI873" s="52"/>
      <c r="CJ873" s="52"/>
      <c r="CK873" s="52"/>
      <c r="CL873" s="52"/>
      <c r="CM873" s="52"/>
      <c r="CN873" s="52"/>
      <c r="CO873" s="52"/>
      <c r="CP873" s="52"/>
      <c r="CQ873" s="52">
        <v>104111408</v>
      </c>
      <c r="CR873" s="52"/>
      <c r="CS873" s="52">
        <f t="shared" si="135"/>
        <v>238960552</v>
      </c>
      <c r="CT873" s="53">
        <v>104111408</v>
      </c>
      <c r="CU873" s="53">
        <f t="shared" si="136"/>
        <v>134849144</v>
      </c>
      <c r="CV873" s="54">
        <f t="shared" si="139"/>
        <v>238960552</v>
      </c>
      <c r="CW873" s="55">
        <f t="shared" si="140"/>
        <v>0</v>
      </c>
      <c r="CX873" s="16"/>
      <c r="CY873" s="16"/>
      <c r="CZ873" s="16"/>
    </row>
    <row r="874" spans="1:108" ht="15" customHeight="1" x14ac:dyDescent="0.2">
      <c r="A874" s="1">
        <v>8921151790</v>
      </c>
      <c r="B874" s="1">
        <v>892115179</v>
      </c>
      <c r="C874" s="9">
        <v>215044650</v>
      </c>
      <c r="D874" s="10" t="s">
        <v>2123</v>
      </c>
      <c r="E874" s="46" t="s">
        <v>1656</v>
      </c>
      <c r="F874" s="21"/>
      <c r="G874" s="50"/>
      <c r="H874" s="21"/>
      <c r="I874" s="50"/>
      <c r="J874" s="21"/>
      <c r="K874" s="21"/>
      <c r="L874" s="50"/>
      <c r="M874" s="51"/>
      <c r="N874" s="21"/>
      <c r="O874" s="50"/>
      <c r="P874" s="21"/>
      <c r="Q874" s="50"/>
      <c r="R874" s="21"/>
      <c r="S874" s="21"/>
      <c r="T874" s="50"/>
      <c r="U874" s="51">
        <f t="shared" si="134"/>
        <v>0</v>
      </c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>
        <v>189783892</v>
      </c>
      <c r="AN874" s="51">
        <f t="shared" si="142"/>
        <v>189783892</v>
      </c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>
        <v>374478495</v>
      </c>
      <c r="AZ874" s="51"/>
      <c r="BA874" s="51">
        <f>VLOOKUP(B874,[1]Hoja3!J$3:K$674,2,0)</f>
        <v>443002223</v>
      </c>
      <c r="BB874" s="51"/>
      <c r="BC874" s="52">
        <f t="shared" si="137"/>
        <v>1007264610</v>
      </c>
      <c r="BD874" s="51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>
        <v>74895699</v>
      </c>
      <c r="BO874" s="51"/>
      <c r="BP874" s="52">
        <v>1082160309</v>
      </c>
      <c r="BQ874" s="52"/>
      <c r="BR874" s="52"/>
      <c r="BS874" s="52"/>
      <c r="BT874" s="52"/>
      <c r="BU874" s="52"/>
      <c r="BV874" s="52"/>
      <c r="BW874" s="52"/>
      <c r="BX874" s="52"/>
      <c r="BY874" s="52"/>
      <c r="BZ874" s="52"/>
      <c r="CA874" s="52"/>
      <c r="CB874" s="52"/>
      <c r="CC874" s="52">
        <v>74895699</v>
      </c>
      <c r="CD874" s="52"/>
      <c r="CE874" s="52">
        <v>89241957</v>
      </c>
      <c r="CF874" s="52"/>
      <c r="CG874" s="52">
        <f t="shared" si="138"/>
        <v>1246297965</v>
      </c>
      <c r="CH874" s="52"/>
      <c r="CI874" s="52"/>
      <c r="CJ874" s="52"/>
      <c r="CK874" s="52"/>
      <c r="CL874" s="52"/>
      <c r="CM874" s="52"/>
      <c r="CN874" s="52"/>
      <c r="CO874" s="52"/>
      <c r="CP874" s="52"/>
      <c r="CQ874" s="52">
        <v>74895699</v>
      </c>
      <c r="CR874" s="52"/>
      <c r="CS874" s="52">
        <f t="shared" si="135"/>
        <v>1321193664</v>
      </c>
      <c r="CT874" s="53">
        <v>599165592</v>
      </c>
      <c r="CU874" s="53">
        <f t="shared" si="136"/>
        <v>722028072</v>
      </c>
      <c r="CV874" s="54">
        <f t="shared" si="139"/>
        <v>1321193664</v>
      </c>
      <c r="CW874" s="55">
        <f t="shared" si="140"/>
        <v>0</v>
      </c>
      <c r="CX874" s="16"/>
      <c r="CY874" s="16"/>
      <c r="CZ874" s="16"/>
    </row>
    <row r="875" spans="1:108" ht="15" customHeight="1" x14ac:dyDescent="0.2">
      <c r="A875" s="1">
        <v>8000136767</v>
      </c>
      <c r="B875" s="1">
        <v>800013676</v>
      </c>
      <c r="C875" s="9">
        <v>215905659</v>
      </c>
      <c r="D875" s="10" t="s">
        <v>2127</v>
      </c>
      <c r="E875" s="46" t="s">
        <v>1160</v>
      </c>
      <c r="F875" s="21"/>
      <c r="G875" s="50"/>
      <c r="H875" s="21"/>
      <c r="I875" s="50"/>
      <c r="J875" s="21"/>
      <c r="K875" s="21"/>
      <c r="L875" s="50"/>
      <c r="M875" s="51"/>
      <c r="N875" s="21"/>
      <c r="O875" s="50"/>
      <c r="P875" s="21"/>
      <c r="Q875" s="50"/>
      <c r="R875" s="21"/>
      <c r="S875" s="21"/>
      <c r="T875" s="50"/>
      <c r="U875" s="51">
        <f t="shared" si="134"/>
        <v>0</v>
      </c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>
        <f>VLOOKUP(B875,[1]Hoja3!J$3:K$674,2,0)</f>
        <v>518308558</v>
      </c>
      <c r="BB875" s="51"/>
      <c r="BC875" s="52">
        <f t="shared" si="137"/>
        <v>518308558</v>
      </c>
      <c r="BD875" s="51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>
        <v>0</v>
      </c>
      <c r="BO875" s="51"/>
      <c r="BP875" s="52">
        <v>518308558</v>
      </c>
      <c r="BQ875" s="52"/>
      <c r="BR875" s="52"/>
      <c r="BS875" s="52"/>
      <c r="BT875" s="52"/>
      <c r="BU875" s="52"/>
      <c r="BV875" s="52"/>
      <c r="BW875" s="52"/>
      <c r="BX875" s="52"/>
      <c r="BY875" s="52"/>
      <c r="BZ875" s="52"/>
      <c r="CA875" s="52"/>
      <c r="CB875" s="52"/>
      <c r="CC875" s="52">
        <v>0</v>
      </c>
      <c r="CD875" s="52"/>
      <c r="CE875" s="52"/>
      <c r="CF875" s="52"/>
      <c r="CG875" s="52">
        <f t="shared" si="138"/>
        <v>518308558</v>
      </c>
      <c r="CH875" s="52"/>
      <c r="CI875" s="52"/>
      <c r="CJ875" s="52"/>
      <c r="CK875" s="52"/>
      <c r="CL875" s="52"/>
      <c r="CM875" s="52"/>
      <c r="CN875" s="52"/>
      <c r="CO875" s="52"/>
      <c r="CP875" s="52"/>
      <c r="CQ875" s="52">
        <v>591653208</v>
      </c>
      <c r="CR875" s="52"/>
      <c r="CS875" s="52">
        <f t="shared" si="135"/>
        <v>1109961766</v>
      </c>
      <c r="CT875" s="53">
        <v>591653208</v>
      </c>
      <c r="CU875" s="53">
        <f t="shared" si="136"/>
        <v>518308558</v>
      </c>
      <c r="CV875" s="54">
        <f t="shared" si="139"/>
        <v>1109961766</v>
      </c>
      <c r="CW875" s="55">
        <f t="shared" si="140"/>
        <v>0</v>
      </c>
      <c r="CX875" s="16"/>
      <c r="CY875" s="16"/>
      <c r="CZ875" s="16"/>
    </row>
    <row r="876" spans="1:108" ht="15" customHeight="1" x14ac:dyDescent="0.2">
      <c r="A876" s="1">
        <v>8920992467</v>
      </c>
      <c r="B876" s="1">
        <v>892099246</v>
      </c>
      <c r="C876" s="9">
        <v>218650686</v>
      </c>
      <c r="D876" s="10" t="s">
        <v>689</v>
      </c>
      <c r="E876" s="46" t="s">
        <v>1711</v>
      </c>
      <c r="F876" s="21"/>
      <c r="G876" s="50"/>
      <c r="H876" s="21"/>
      <c r="I876" s="50"/>
      <c r="J876" s="21"/>
      <c r="K876" s="21"/>
      <c r="L876" s="50"/>
      <c r="M876" s="51"/>
      <c r="N876" s="21"/>
      <c r="O876" s="50"/>
      <c r="P876" s="21"/>
      <c r="Q876" s="50"/>
      <c r="R876" s="21"/>
      <c r="S876" s="21"/>
      <c r="T876" s="50"/>
      <c r="U876" s="51">
        <f t="shared" si="134"/>
        <v>0</v>
      </c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>
        <v>29313108</v>
      </c>
      <c r="AN876" s="51">
        <f>SUBTOTAL(9,AC876:AM876)</f>
        <v>29313108</v>
      </c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>
        <v>10699785</v>
      </c>
      <c r="AZ876" s="51"/>
      <c r="BA876" s="51"/>
      <c r="BB876" s="51"/>
      <c r="BC876" s="52">
        <f t="shared" si="137"/>
        <v>40012893</v>
      </c>
      <c r="BD876" s="51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>
        <v>2139957</v>
      </c>
      <c r="BO876" s="51"/>
      <c r="BP876" s="52">
        <v>42152850</v>
      </c>
      <c r="BQ876" s="52"/>
      <c r="BR876" s="52"/>
      <c r="BS876" s="52"/>
      <c r="BT876" s="52"/>
      <c r="BU876" s="52"/>
      <c r="BV876" s="52"/>
      <c r="BW876" s="52"/>
      <c r="BX876" s="52"/>
      <c r="BY876" s="52"/>
      <c r="BZ876" s="52"/>
      <c r="CA876" s="52"/>
      <c r="CB876" s="52"/>
      <c r="CC876" s="52">
        <v>2139957</v>
      </c>
      <c r="CD876" s="52"/>
      <c r="CE876" s="52"/>
      <c r="CF876" s="52"/>
      <c r="CG876" s="52">
        <f t="shared" si="138"/>
        <v>44292807</v>
      </c>
      <c r="CH876" s="52"/>
      <c r="CI876" s="52"/>
      <c r="CJ876" s="52"/>
      <c r="CK876" s="52"/>
      <c r="CL876" s="52"/>
      <c r="CM876" s="52"/>
      <c r="CN876" s="52"/>
      <c r="CO876" s="52"/>
      <c r="CP876" s="52"/>
      <c r="CQ876" s="52">
        <v>2139957</v>
      </c>
      <c r="CR876" s="52"/>
      <c r="CS876" s="52">
        <f t="shared" si="135"/>
        <v>46432764</v>
      </c>
      <c r="CT876" s="53">
        <v>17119656</v>
      </c>
      <c r="CU876" s="53">
        <f t="shared" si="136"/>
        <v>29313108</v>
      </c>
      <c r="CV876" s="54">
        <f t="shared" si="139"/>
        <v>46432764</v>
      </c>
      <c r="CW876" s="55">
        <f t="shared" si="140"/>
        <v>0</v>
      </c>
      <c r="CX876" s="16"/>
      <c r="CY876" s="16"/>
      <c r="CZ876" s="16"/>
    </row>
    <row r="877" spans="1:108" ht="15" customHeight="1" x14ac:dyDescent="0.2">
      <c r="A877" s="1">
        <v>8000991425</v>
      </c>
      <c r="B877" s="1">
        <v>800099142</v>
      </c>
      <c r="C877" s="9">
        <v>218752687</v>
      </c>
      <c r="D877" s="10" t="s">
        <v>741</v>
      </c>
      <c r="E877" s="46" t="s">
        <v>1762</v>
      </c>
      <c r="F877" s="21"/>
      <c r="G877" s="50"/>
      <c r="H877" s="21"/>
      <c r="I877" s="50"/>
      <c r="J877" s="21"/>
      <c r="K877" s="21"/>
      <c r="L877" s="50"/>
      <c r="M877" s="51"/>
      <c r="N877" s="21"/>
      <c r="O877" s="50"/>
      <c r="P877" s="21"/>
      <c r="Q877" s="50"/>
      <c r="R877" s="21"/>
      <c r="S877" s="21"/>
      <c r="T877" s="50"/>
      <c r="U877" s="51">
        <f t="shared" si="134"/>
        <v>0</v>
      </c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>
        <v>31698235</v>
      </c>
      <c r="AN877" s="51">
        <f>SUBTOTAL(9,AC877:AM877)</f>
        <v>31698235</v>
      </c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>
        <f>VLOOKUP(B877,[1]Hoja3!J$3:K$674,2,0)</f>
        <v>200465302</v>
      </c>
      <c r="BB877" s="51"/>
      <c r="BC877" s="52">
        <f t="shared" si="137"/>
        <v>232163537</v>
      </c>
      <c r="BD877" s="51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>
        <v>0</v>
      </c>
      <c r="BO877" s="51"/>
      <c r="BP877" s="52">
        <v>232163537</v>
      </c>
      <c r="BQ877" s="52"/>
      <c r="BR877" s="52"/>
      <c r="BS877" s="52"/>
      <c r="BT877" s="52"/>
      <c r="BU877" s="52"/>
      <c r="BV877" s="52"/>
      <c r="BW877" s="52"/>
      <c r="BX877" s="52"/>
      <c r="BY877" s="52"/>
      <c r="BZ877" s="52"/>
      <c r="CA877" s="52"/>
      <c r="CB877" s="52"/>
      <c r="CC877" s="52">
        <v>204067815</v>
      </c>
      <c r="CD877" s="52"/>
      <c r="CE877" s="52"/>
      <c r="CF877" s="52"/>
      <c r="CG877" s="52">
        <f t="shared" si="138"/>
        <v>436231352</v>
      </c>
      <c r="CH877" s="52"/>
      <c r="CI877" s="52"/>
      <c r="CJ877" s="52"/>
      <c r="CK877" s="52"/>
      <c r="CL877" s="52"/>
      <c r="CM877" s="52"/>
      <c r="CN877" s="52"/>
      <c r="CO877" s="52"/>
      <c r="CP877" s="52"/>
      <c r="CQ877" s="52">
        <v>29152545</v>
      </c>
      <c r="CR877" s="52"/>
      <c r="CS877" s="52">
        <f t="shared" si="135"/>
        <v>465383897</v>
      </c>
      <c r="CT877" s="53">
        <v>233220360</v>
      </c>
      <c r="CU877" s="53">
        <f t="shared" si="136"/>
        <v>232163537</v>
      </c>
      <c r="CV877" s="54">
        <f t="shared" si="139"/>
        <v>465383897</v>
      </c>
      <c r="CW877" s="55">
        <f t="shared" si="140"/>
        <v>0</v>
      </c>
      <c r="CX877" s="16"/>
      <c r="CY877" s="16"/>
      <c r="CZ877" s="16"/>
    </row>
    <row r="878" spans="1:108" ht="15" customHeight="1" x14ac:dyDescent="0.2">
      <c r="A878" s="1">
        <v>8918021519</v>
      </c>
      <c r="B878" s="1">
        <v>891802151</v>
      </c>
      <c r="C878" s="9">
        <v>216715667</v>
      </c>
      <c r="D878" s="10" t="s">
        <v>298</v>
      </c>
      <c r="E878" s="46" t="s">
        <v>1329</v>
      </c>
      <c r="F878" s="21"/>
      <c r="G878" s="50"/>
      <c r="H878" s="21"/>
      <c r="I878" s="50"/>
      <c r="J878" s="21"/>
      <c r="K878" s="21"/>
      <c r="L878" s="50"/>
      <c r="M878" s="51"/>
      <c r="N878" s="21"/>
      <c r="O878" s="50"/>
      <c r="P878" s="21"/>
      <c r="Q878" s="50"/>
      <c r="R878" s="21"/>
      <c r="S878" s="21"/>
      <c r="T878" s="50"/>
      <c r="U878" s="51">
        <f t="shared" si="134"/>
        <v>0</v>
      </c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>
        <v>39127040</v>
      </c>
      <c r="AZ878" s="51"/>
      <c r="BA878" s="51">
        <f>VLOOKUP(B878,[1]Hoja3!J$3:K$674,2,0)</f>
        <v>82751417</v>
      </c>
      <c r="BB878" s="51"/>
      <c r="BC878" s="52">
        <f t="shared" si="137"/>
        <v>121878457</v>
      </c>
      <c r="BD878" s="51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>
        <v>7825408</v>
      </c>
      <c r="BO878" s="51"/>
      <c r="BP878" s="52">
        <v>129703865</v>
      </c>
      <c r="BQ878" s="52"/>
      <c r="BR878" s="52"/>
      <c r="BS878" s="52"/>
      <c r="BT878" s="52"/>
      <c r="BU878" s="52"/>
      <c r="BV878" s="52"/>
      <c r="BW878" s="52"/>
      <c r="BX878" s="52"/>
      <c r="BY878" s="52"/>
      <c r="BZ878" s="52"/>
      <c r="CA878" s="52"/>
      <c r="CB878" s="52"/>
      <c r="CC878" s="52">
        <v>7825408</v>
      </c>
      <c r="CD878" s="52"/>
      <c r="CE878" s="52"/>
      <c r="CF878" s="52"/>
      <c r="CG878" s="52">
        <f t="shared" si="138"/>
        <v>137529273</v>
      </c>
      <c r="CH878" s="52"/>
      <c r="CI878" s="52"/>
      <c r="CJ878" s="52"/>
      <c r="CK878" s="52"/>
      <c r="CL878" s="52"/>
      <c r="CM878" s="52"/>
      <c r="CN878" s="52"/>
      <c r="CO878" s="52"/>
      <c r="CP878" s="52"/>
      <c r="CQ878" s="52">
        <v>7825408</v>
      </c>
      <c r="CR878" s="52"/>
      <c r="CS878" s="52">
        <f t="shared" si="135"/>
        <v>145354681</v>
      </c>
      <c r="CT878" s="53">
        <v>62603264</v>
      </c>
      <c r="CU878" s="53">
        <f t="shared" si="136"/>
        <v>82751417</v>
      </c>
      <c r="CV878" s="54">
        <f t="shared" si="139"/>
        <v>145354681</v>
      </c>
      <c r="CW878" s="55">
        <f t="shared" si="140"/>
        <v>0</v>
      </c>
      <c r="CX878" s="16"/>
      <c r="CY878" s="8"/>
      <c r="CZ878" s="8"/>
      <c r="DA878" s="8"/>
      <c r="DB878" s="8"/>
      <c r="DC878" s="8"/>
      <c r="DD878" s="8"/>
    </row>
    <row r="879" spans="1:108" ht="15" customHeight="1" x14ac:dyDescent="0.2">
      <c r="A879" s="1">
        <v>8001037201</v>
      </c>
      <c r="B879" s="1">
        <v>800103720</v>
      </c>
      <c r="C879" s="9">
        <v>212585325</v>
      </c>
      <c r="D879" s="10" t="s">
        <v>969</v>
      </c>
      <c r="E879" s="46" t="s">
        <v>2028</v>
      </c>
      <c r="F879" s="21"/>
      <c r="G879" s="50"/>
      <c r="H879" s="21"/>
      <c r="I879" s="50"/>
      <c r="J879" s="21"/>
      <c r="K879" s="21"/>
      <c r="L879" s="50"/>
      <c r="M879" s="51"/>
      <c r="N879" s="21"/>
      <c r="O879" s="50"/>
      <c r="P879" s="21"/>
      <c r="Q879" s="50"/>
      <c r="R879" s="21"/>
      <c r="S879" s="21"/>
      <c r="T879" s="50"/>
      <c r="U879" s="51">
        <f t="shared" si="134"/>
        <v>0</v>
      </c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>
        <v>115180134</v>
      </c>
      <c r="AN879" s="51">
        <f t="shared" ref="AN879:AN884" si="143">SUBTOTAL(9,AC879:AM879)</f>
        <v>115180134</v>
      </c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2">
        <f t="shared" si="137"/>
        <v>115180134</v>
      </c>
      <c r="BD879" s="51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>
        <v>0</v>
      </c>
      <c r="BO879" s="51"/>
      <c r="BP879" s="52">
        <v>115180134</v>
      </c>
      <c r="BQ879" s="52"/>
      <c r="BR879" s="52"/>
      <c r="BS879" s="52"/>
      <c r="BT879" s="52"/>
      <c r="BU879" s="52"/>
      <c r="BV879" s="52"/>
      <c r="BW879" s="52"/>
      <c r="BX879" s="52"/>
      <c r="BY879" s="52"/>
      <c r="BZ879" s="52"/>
      <c r="CA879" s="52"/>
      <c r="CB879" s="52"/>
      <c r="CC879" s="52">
        <v>91146797</v>
      </c>
      <c r="CD879" s="52"/>
      <c r="CE879" s="52"/>
      <c r="CF879" s="52"/>
      <c r="CG879" s="52">
        <f t="shared" si="138"/>
        <v>206326931</v>
      </c>
      <c r="CH879" s="52"/>
      <c r="CI879" s="52"/>
      <c r="CJ879" s="52"/>
      <c r="CK879" s="52"/>
      <c r="CL879" s="52"/>
      <c r="CM879" s="52"/>
      <c r="CN879" s="52"/>
      <c r="CO879" s="52"/>
      <c r="CP879" s="52"/>
      <c r="CQ879" s="52">
        <v>13020971</v>
      </c>
      <c r="CR879" s="52"/>
      <c r="CS879" s="52">
        <f t="shared" si="135"/>
        <v>219347902</v>
      </c>
      <c r="CT879" s="53">
        <v>104167768</v>
      </c>
      <c r="CU879" s="53">
        <f t="shared" si="136"/>
        <v>115180134</v>
      </c>
      <c r="CV879" s="54">
        <f t="shared" si="139"/>
        <v>219347902</v>
      </c>
      <c r="CW879" s="55">
        <f t="shared" si="140"/>
        <v>0</v>
      </c>
      <c r="CX879" s="16"/>
      <c r="CY879" s="16"/>
      <c r="CZ879" s="16"/>
    </row>
    <row r="880" spans="1:108" ht="15" customHeight="1" x14ac:dyDescent="0.2">
      <c r="A880" s="1">
        <v>8909843765</v>
      </c>
      <c r="B880" s="1">
        <v>890984376</v>
      </c>
      <c r="C880" s="9">
        <v>216005660</v>
      </c>
      <c r="D880" s="10" t="s">
        <v>131</v>
      </c>
      <c r="E880" s="46" t="s">
        <v>1161</v>
      </c>
      <c r="F880" s="21"/>
      <c r="G880" s="50"/>
      <c r="H880" s="21"/>
      <c r="I880" s="50"/>
      <c r="J880" s="21"/>
      <c r="K880" s="21"/>
      <c r="L880" s="50"/>
      <c r="M880" s="51"/>
      <c r="N880" s="21"/>
      <c r="O880" s="50"/>
      <c r="P880" s="21"/>
      <c r="Q880" s="50"/>
      <c r="R880" s="21"/>
      <c r="S880" s="21"/>
      <c r="T880" s="50"/>
      <c r="U880" s="51">
        <f t="shared" si="134"/>
        <v>0</v>
      </c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>
        <v>120275193</v>
      </c>
      <c r="AN880" s="51">
        <f t="shared" si="143"/>
        <v>120275193</v>
      </c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>
        <f>VLOOKUP(B880,[1]Hoja3!J$3:K$674,2,0)</f>
        <v>88232376</v>
      </c>
      <c r="BB880" s="51"/>
      <c r="BC880" s="52">
        <f t="shared" si="137"/>
        <v>208507569</v>
      </c>
      <c r="BD880" s="51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>
        <v>0</v>
      </c>
      <c r="BO880" s="51"/>
      <c r="BP880" s="52">
        <v>208507569</v>
      </c>
      <c r="BQ880" s="52"/>
      <c r="BR880" s="52"/>
      <c r="BS880" s="52"/>
      <c r="BT880" s="52"/>
      <c r="BU880" s="52"/>
      <c r="BV880" s="52"/>
      <c r="BW880" s="52"/>
      <c r="BX880" s="52"/>
      <c r="BY880" s="52"/>
      <c r="BZ880" s="52"/>
      <c r="CA880" s="52"/>
      <c r="CB880" s="52"/>
      <c r="CC880" s="52">
        <v>0</v>
      </c>
      <c r="CD880" s="52"/>
      <c r="CE880" s="52"/>
      <c r="CF880" s="52"/>
      <c r="CG880" s="52">
        <f t="shared" si="138"/>
        <v>208507569</v>
      </c>
      <c r="CH880" s="52"/>
      <c r="CI880" s="52"/>
      <c r="CJ880" s="52"/>
      <c r="CK880" s="52"/>
      <c r="CL880" s="52"/>
      <c r="CM880" s="52"/>
      <c r="CN880" s="52"/>
      <c r="CO880" s="52"/>
      <c r="CP880" s="52"/>
      <c r="CQ880" s="52">
        <v>134663336</v>
      </c>
      <c r="CR880" s="52"/>
      <c r="CS880" s="52">
        <f t="shared" si="135"/>
        <v>343170905</v>
      </c>
      <c r="CT880" s="53">
        <v>134663336</v>
      </c>
      <c r="CU880" s="53">
        <f t="shared" si="136"/>
        <v>208507569</v>
      </c>
      <c r="CV880" s="54">
        <f t="shared" si="139"/>
        <v>343170905</v>
      </c>
      <c r="CW880" s="55">
        <f t="shared" si="140"/>
        <v>0</v>
      </c>
      <c r="CX880" s="16"/>
      <c r="CY880" s="16"/>
      <c r="CZ880" s="16"/>
    </row>
    <row r="881" spans="1:108" ht="15" customHeight="1" x14ac:dyDescent="0.2">
      <c r="A881" s="1">
        <v>8907008428</v>
      </c>
      <c r="B881" s="1">
        <v>890700842</v>
      </c>
      <c r="C881" s="9">
        <v>217873678</v>
      </c>
      <c r="D881" s="10" t="s">
        <v>2238</v>
      </c>
      <c r="E881" s="46" t="s">
        <v>1966</v>
      </c>
      <c r="F881" s="21"/>
      <c r="G881" s="50"/>
      <c r="H881" s="21"/>
      <c r="I881" s="50"/>
      <c r="J881" s="21"/>
      <c r="K881" s="21"/>
      <c r="L881" s="50"/>
      <c r="M881" s="51"/>
      <c r="N881" s="21"/>
      <c r="O881" s="50"/>
      <c r="P881" s="21"/>
      <c r="Q881" s="50"/>
      <c r="R881" s="21"/>
      <c r="S881" s="21"/>
      <c r="T881" s="50"/>
      <c r="U881" s="51">
        <f t="shared" si="134"/>
        <v>0</v>
      </c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>
        <v>68151645</v>
      </c>
      <c r="AN881" s="51">
        <f t="shared" si="143"/>
        <v>68151645</v>
      </c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>
        <v>102599290</v>
      </c>
      <c r="AZ881" s="51"/>
      <c r="BA881" s="51">
        <f>VLOOKUP(B881,[1]Hoja3!J$3:K$674,2,0)</f>
        <v>157713075</v>
      </c>
      <c r="BB881" s="51"/>
      <c r="BC881" s="52">
        <f t="shared" si="137"/>
        <v>328464010</v>
      </c>
      <c r="BD881" s="51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>
        <v>20519858</v>
      </c>
      <c r="BO881" s="51"/>
      <c r="BP881" s="52">
        <v>348983868</v>
      </c>
      <c r="BQ881" s="52"/>
      <c r="BR881" s="52"/>
      <c r="BS881" s="52"/>
      <c r="BT881" s="52"/>
      <c r="BU881" s="52"/>
      <c r="BV881" s="52"/>
      <c r="BW881" s="52"/>
      <c r="BX881" s="52"/>
      <c r="BY881" s="52"/>
      <c r="BZ881" s="52"/>
      <c r="CA881" s="52"/>
      <c r="CB881" s="52"/>
      <c r="CC881" s="52">
        <v>20519858</v>
      </c>
      <c r="CD881" s="52"/>
      <c r="CE881" s="52"/>
      <c r="CF881" s="52"/>
      <c r="CG881" s="52">
        <f t="shared" si="138"/>
        <v>369503726</v>
      </c>
      <c r="CH881" s="52"/>
      <c r="CI881" s="52"/>
      <c r="CJ881" s="52"/>
      <c r="CK881" s="52"/>
      <c r="CL881" s="52"/>
      <c r="CM881" s="52"/>
      <c r="CN881" s="52"/>
      <c r="CO881" s="52"/>
      <c r="CP881" s="52"/>
      <c r="CQ881" s="52">
        <v>20519858</v>
      </c>
      <c r="CR881" s="52"/>
      <c r="CS881" s="52">
        <f t="shared" si="135"/>
        <v>390023584</v>
      </c>
      <c r="CT881" s="53">
        <v>164158864</v>
      </c>
      <c r="CU881" s="53">
        <f t="shared" si="136"/>
        <v>225864720</v>
      </c>
      <c r="CV881" s="54">
        <f t="shared" si="139"/>
        <v>390023584</v>
      </c>
      <c r="CW881" s="55">
        <f t="shared" si="140"/>
        <v>0</v>
      </c>
      <c r="CX881" s="16"/>
      <c r="CY881" s="8"/>
      <c r="CZ881" s="8"/>
      <c r="DA881" s="8"/>
      <c r="DB881" s="8"/>
      <c r="DC881" s="8"/>
      <c r="DD881" s="8"/>
    </row>
    <row r="882" spans="1:108" ht="15" customHeight="1" x14ac:dyDescent="0.2">
      <c r="A882" s="1">
        <v>8922005916</v>
      </c>
      <c r="B882" s="1">
        <v>892200591</v>
      </c>
      <c r="C882" s="9">
        <v>210870708</v>
      </c>
      <c r="D882" s="10" t="s">
        <v>907</v>
      </c>
      <c r="E882" s="46" t="s">
        <v>1921</v>
      </c>
      <c r="F882" s="21"/>
      <c r="G882" s="50"/>
      <c r="H882" s="21"/>
      <c r="I882" s="50"/>
      <c r="J882" s="21"/>
      <c r="K882" s="21"/>
      <c r="L882" s="50"/>
      <c r="M882" s="51"/>
      <c r="N882" s="21"/>
      <c r="O882" s="50"/>
      <c r="P882" s="21"/>
      <c r="Q882" s="50"/>
      <c r="R882" s="21"/>
      <c r="S882" s="21"/>
      <c r="T882" s="50"/>
      <c r="U882" s="51">
        <f t="shared" si="134"/>
        <v>0</v>
      </c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>
        <v>52831576</v>
      </c>
      <c r="AN882" s="51">
        <f t="shared" si="143"/>
        <v>52831576</v>
      </c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>
        <v>579229200</v>
      </c>
      <c r="AZ882" s="51"/>
      <c r="BA882" s="51">
        <f>VLOOKUP(B882,[1]Hoja3!J$3:K$674,2,0)</f>
        <v>964005739</v>
      </c>
      <c r="BB882" s="51"/>
      <c r="BC882" s="52">
        <f t="shared" si="137"/>
        <v>1596066515</v>
      </c>
      <c r="BD882" s="51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>
        <v>115845840</v>
      </c>
      <c r="BO882" s="51"/>
      <c r="BP882" s="52">
        <v>1711912355</v>
      </c>
      <c r="BQ882" s="52"/>
      <c r="BR882" s="52"/>
      <c r="BS882" s="52"/>
      <c r="BT882" s="52"/>
      <c r="BU882" s="52"/>
      <c r="BV882" s="52"/>
      <c r="BW882" s="52"/>
      <c r="BX882" s="52"/>
      <c r="BY882" s="52"/>
      <c r="BZ882" s="52"/>
      <c r="CA882" s="52"/>
      <c r="CB882" s="52"/>
      <c r="CC882" s="52">
        <v>115845840</v>
      </c>
      <c r="CD882" s="52"/>
      <c r="CE882" s="52"/>
      <c r="CF882" s="52"/>
      <c r="CG882" s="52">
        <f t="shared" si="138"/>
        <v>1827758195</v>
      </c>
      <c r="CH882" s="52"/>
      <c r="CI882" s="52"/>
      <c r="CJ882" s="52"/>
      <c r="CK882" s="52"/>
      <c r="CL882" s="52"/>
      <c r="CM882" s="52"/>
      <c r="CN882" s="52"/>
      <c r="CO882" s="52"/>
      <c r="CP882" s="52"/>
      <c r="CQ882" s="52">
        <v>115845840</v>
      </c>
      <c r="CR882" s="52"/>
      <c r="CS882" s="52">
        <f t="shared" si="135"/>
        <v>1943604035</v>
      </c>
      <c r="CT882" s="53">
        <v>926766720</v>
      </c>
      <c r="CU882" s="53">
        <f t="shared" si="136"/>
        <v>1016837315</v>
      </c>
      <c r="CV882" s="54">
        <f t="shared" si="139"/>
        <v>1943604035</v>
      </c>
      <c r="CW882" s="55">
        <f t="shared" si="140"/>
        <v>0</v>
      </c>
      <c r="CX882" s="16"/>
      <c r="CY882" s="16"/>
      <c r="CZ882" s="16"/>
    </row>
    <row r="883" spans="1:108" ht="15" customHeight="1" x14ac:dyDescent="0.2">
      <c r="A883" s="1">
        <v>8923010933</v>
      </c>
      <c r="B883" s="1">
        <v>892301093</v>
      </c>
      <c r="C883" s="9">
        <v>217020770</v>
      </c>
      <c r="D883" s="10" t="s">
        <v>435</v>
      </c>
      <c r="E883" s="46" t="s">
        <v>1462</v>
      </c>
      <c r="F883" s="21"/>
      <c r="G883" s="50"/>
      <c r="H883" s="21"/>
      <c r="I883" s="50"/>
      <c r="J883" s="21"/>
      <c r="K883" s="21"/>
      <c r="L883" s="50"/>
      <c r="M883" s="51"/>
      <c r="N883" s="21"/>
      <c r="O883" s="50"/>
      <c r="P883" s="21"/>
      <c r="Q883" s="50"/>
      <c r="R883" s="21"/>
      <c r="S883" s="21"/>
      <c r="T883" s="50"/>
      <c r="U883" s="51">
        <f t="shared" si="134"/>
        <v>0</v>
      </c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>
        <v>31628964</v>
      </c>
      <c r="AN883" s="51">
        <f t="shared" si="143"/>
        <v>31628964</v>
      </c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>
        <v>176103235</v>
      </c>
      <c r="AZ883" s="51"/>
      <c r="BA883" s="51">
        <f>VLOOKUP(B883,[1]Hoja3!J$3:K$674,2,0)</f>
        <v>353846449</v>
      </c>
      <c r="BB883" s="51"/>
      <c r="BC883" s="52">
        <f t="shared" si="137"/>
        <v>561578648</v>
      </c>
      <c r="BD883" s="51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>
        <v>35220647</v>
      </c>
      <c r="BO883" s="51"/>
      <c r="BP883" s="52">
        <v>596799295</v>
      </c>
      <c r="BQ883" s="52"/>
      <c r="BR883" s="52"/>
      <c r="BS883" s="52"/>
      <c r="BT883" s="52"/>
      <c r="BU883" s="52"/>
      <c r="BV883" s="52"/>
      <c r="BW883" s="52"/>
      <c r="BX883" s="52"/>
      <c r="BY883" s="52"/>
      <c r="BZ883" s="52"/>
      <c r="CA883" s="52"/>
      <c r="CB883" s="52"/>
      <c r="CC883" s="52">
        <v>35220647</v>
      </c>
      <c r="CD883" s="52"/>
      <c r="CE883" s="52"/>
      <c r="CF883" s="52"/>
      <c r="CG883" s="52">
        <f t="shared" si="138"/>
        <v>632019942</v>
      </c>
      <c r="CH883" s="52"/>
      <c r="CI883" s="52"/>
      <c r="CJ883" s="52"/>
      <c r="CK883" s="52"/>
      <c r="CL883" s="52"/>
      <c r="CM883" s="52"/>
      <c r="CN883" s="52"/>
      <c r="CO883" s="52"/>
      <c r="CP883" s="52"/>
      <c r="CQ883" s="52">
        <v>35220647</v>
      </c>
      <c r="CR883" s="52"/>
      <c r="CS883" s="52">
        <f t="shared" si="135"/>
        <v>667240589</v>
      </c>
      <c r="CT883" s="53">
        <v>281765176</v>
      </c>
      <c r="CU883" s="53">
        <f t="shared" si="136"/>
        <v>385475413</v>
      </c>
      <c r="CV883" s="54">
        <f t="shared" si="139"/>
        <v>667240589</v>
      </c>
      <c r="CW883" s="55">
        <f t="shared" si="140"/>
        <v>0</v>
      </c>
      <c r="CX883" s="16"/>
      <c r="CY883" s="16"/>
      <c r="CZ883" s="16"/>
    </row>
    <row r="884" spans="1:108" ht="15" customHeight="1" x14ac:dyDescent="0.2">
      <c r="A884" s="1">
        <v>8920995486</v>
      </c>
      <c r="B884" s="1">
        <v>892099548</v>
      </c>
      <c r="C884" s="9">
        <v>218950689</v>
      </c>
      <c r="D884" s="10" t="s">
        <v>690</v>
      </c>
      <c r="E884" s="46" t="s">
        <v>1712</v>
      </c>
      <c r="F884" s="21"/>
      <c r="G884" s="50"/>
      <c r="H884" s="21"/>
      <c r="I884" s="50"/>
      <c r="J884" s="21"/>
      <c r="K884" s="21"/>
      <c r="L884" s="50"/>
      <c r="M884" s="51"/>
      <c r="N884" s="21"/>
      <c r="O884" s="50"/>
      <c r="P884" s="21"/>
      <c r="Q884" s="50"/>
      <c r="R884" s="21"/>
      <c r="S884" s="21"/>
      <c r="T884" s="50"/>
      <c r="U884" s="51">
        <f t="shared" si="134"/>
        <v>0</v>
      </c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>
        <v>380805611</v>
      </c>
      <c r="AN884" s="51">
        <f t="shared" si="143"/>
        <v>380805611</v>
      </c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>
        <v>140983620</v>
      </c>
      <c r="AZ884" s="51"/>
      <c r="BA884" s="51"/>
      <c r="BB884" s="51"/>
      <c r="BC884" s="52">
        <f t="shared" si="137"/>
        <v>521789231</v>
      </c>
      <c r="BD884" s="51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>
        <v>28196724</v>
      </c>
      <c r="BO884" s="51"/>
      <c r="BP884" s="52">
        <v>549985955</v>
      </c>
      <c r="BQ884" s="52"/>
      <c r="BR884" s="52"/>
      <c r="BS884" s="52"/>
      <c r="BT884" s="52"/>
      <c r="BU884" s="52"/>
      <c r="BV884" s="52"/>
      <c r="BW884" s="52"/>
      <c r="BX884" s="52"/>
      <c r="BY884" s="52"/>
      <c r="BZ884" s="52"/>
      <c r="CA884" s="52"/>
      <c r="CB884" s="52"/>
      <c r="CC884" s="52">
        <v>28196724</v>
      </c>
      <c r="CD884" s="52"/>
      <c r="CE884" s="52"/>
      <c r="CF884" s="52"/>
      <c r="CG884" s="52">
        <f t="shared" si="138"/>
        <v>578182679</v>
      </c>
      <c r="CH884" s="52"/>
      <c r="CI884" s="52"/>
      <c r="CJ884" s="52"/>
      <c r="CK884" s="52"/>
      <c r="CL884" s="52"/>
      <c r="CM884" s="52"/>
      <c r="CN884" s="52"/>
      <c r="CO884" s="52"/>
      <c r="CP884" s="52"/>
      <c r="CQ884" s="52">
        <v>28196724</v>
      </c>
      <c r="CR884" s="52"/>
      <c r="CS884" s="52">
        <f t="shared" si="135"/>
        <v>606379403</v>
      </c>
      <c r="CT884" s="53">
        <v>225573792</v>
      </c>
      <c r="CU884" s="53">
        <f t="shared" si="136"/>
        <v>380805611</v>
      </c>
      <c r="CV884" s="54">
        <f t="shared" si="139"/>
        <v>606379403</v>
      </c>
      <c r="CW884" s="55">
        <f t="shared" si="140"/>
        <v>0</v>
      </c>
      <c r="CX884" s="16"/>
      <c r="CY884" s="16"/>
      <c r="CZ884" s="16"/>
    </row>
    <row r="885" spans="1:108" ht="15" customHeight="1" x14ac:dyDescent="0.2">
      <c r="A885" s="1">
        <v>8918578211</v>
      </c>
      <c r="B885" s="1">
        <v>891857821</v>
      </c>
      <c r="C885" s="9">
        <v>217315673</v>
      </c>
      <c r="D885" s="10" t="s">
        <v>299</v>
      </c>
      <c r="E885" s="46" t="s">
        <v>1330</v>
      </c>
      <c r="F885" s="21"/>
      <c r="G885" s="50"/>
      <c r="H885" s="21"/>
      <c r="I885" s="50"/>
      <c r="J885" s="21"/>
      <c r="K885" s="21"/>
      <c r="L885" s="50"/>
      <c r="M885" s="51"/>
      <c r="N885" s="21"/>
      <c r="O885" s="50"/>
      <c r="P885" s="21"/>
      <c r="Q885" s="50"/>
      <c r="R885" s="21"/>
      <c r="S885" s="21"/>
      <c r="T885" s="50"/>
      <c r="U885" s="51">
        <f t="shared" si="134"/>
        <v>0</v>
      </c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>
        <v>34927660</v>
      </c>
      <c r="AZ885" s="51"/>
      <c r="BA885" s="51">
        <f>VLOOKUP(B885,[1]Hoja3!J$3:K$674,2,0)</f>
        <v>50364666</v>
      </c>
      <c r="BB885" s="51"/>
      <c r="BC885" s="52">
        <f t="shared" si="137"/>
        <v>85292326</v>
      </c>
      <c r="BD885" s="51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>
        <v>6985532</v>
      </c>
      <c r="BO885" s="51"/>
      <c r="BP885" s="52">
        <v>92277858</v>
      </c>
      <c r="BQ885" s="52"/>
      <c r="BR885" s="52"/>
      <c r="BS885" s="52"/>
      <c r="BT885" s="52"/>
      <c r="BU885" s="52"/>
      <c r="BV885" s="52"/>
      <c r="BW885" s="52"/>
      <c r="BX885" s="52"/>
      <c r="BY885" s="52"/>
      <c r="BZ885" s="52"/>
      <c r="CA885" s="52"/>
      <c r="CB885" s="52"/>
      <c r="CC885" s="52">
        <v>6985532</v>
      </c>
      <c r="CD885" s="52"/>
      <c r="CE885" s="52"/>
      <c r="CF885" s="52"/>
      <c r="CG885" s="52">
        <f t="shared" si="138"/>
        <v>99263390</v>
      </c>
      <c r="CH885" s="52"/>
      <c r="CI885" s="52"/>
      <c r="CJ885" s="52"/>
      <c r="CK885" s="52"/>
      <c r="CL885" s="52"/>
      <c r="CM885" s="52"/>
      <c r="CN885" s="52"/>
      <c r="CO885" s="52"/>
      <c r="CP885" s="52"/>
      <c r="CQ885" s="52">
        <v>6985532</v>
      </c>
      <c r="CR885" s="52"/>
      <c r="CS885" s="52">
        <f t="shared" si="135"/>
        <v>106248922</v>
      </c>
      <c r="CT885" s="53">
        <v>55884256</v>
      </c>
      <c r="CU885" s="53">
        <f t="shared" si="136"/>
        <v>50364666</v>
      </c>
      <c r="CV885" s="54">
        <f t="shared" si="139"/>
        <v>106248922</v>
      </c>
      <c r="CW885" s="55">
        <f t="shared" si="140"/>
        <v>0</v>
      </c>
      <c r="CX885" s="16"/>
      <c r="CY885" s="8"/>
      <c r="CZ885" s="8"/>
      <c r="DA885" s="8"/>
      <c r="DB885" s="8"/>
      <c r="DC885" s="8"/>
      <c r="DD885" s="8"/>
    </row>
    <row r="886" spans="1:108" ht="15" customHeight="1" x14ac:dyDescent="0.2">
      <c r="A886" s="1">
        <v>8918012861</v>
      </c>
      <c r="B886" s="1">
        <v>891801286</v>
      </c>
      <c r="C886" s="9">
        <v>217615676</v>
      </c>
      <c r="D886" s="10" t="s">
        <v>300</v>
      </c>
      <c r="E886" s="46" t="s">
        <v>1331</v>
      </c>
      <c r="F886" s="21"/>
      <c r="G886" s="50"/>
      <c r="H886" s="21"/>
      <c r="I886" s="50"/>
      <c r="J886" s="21"/>
      <c r="K886" s="21"/>
      <c r="L886" s="50"/>
      <c r="M886" s="51"/>
      <c r="N886" s="21"/>
      <c r="O886" s="50"/>
      <c r="P886" s="21"/>
      <c r="Q886" s="50"/>
      <c r="R886" s="21"/>
      <c r="S886" s="21"/>
      <c r="T886" s="50"/>
      <c r="U886" s="51">
        <f t="shared" si="134"/>
        <v>0</v>
      </c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>
        <v>31334193</v>
      </c>
      <c r="AN886" s="51">
        <f>SUBTOTAL(9,AC886:AM886)</f>
        <v>31334193</v>
      </c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>
        <v>28203090</v>
      </c>
      <c r="AZ886" s="51"/>
      <c r="BA886" s="51">
        <f>VLOOKUP(B886,[1]Hoja3!J$3:K$674,2,0)</f>
        <v>26159703</v>
      </c>
      <c r="BB886" s="51"/>
      <c r="BC886" s="52">
        <f t="shared" si="137"/>
        <v>85696986</v>
      </c>
      <c r="BD886" s="51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>
        <v>5640618</v>
      </c>
      <c r="BO886" s="51"/>
      <c r="BP886" s="52">
        <v>91337604</v>
      </c>
      <c r="BQ886" s="52"/>
      <c r="BR886" s="52"/>
      <c r="BS886" s="52"/>
      <c r="BT886" s="52"/>
      <c r="BU886" s="52"/>
      <c r="BV886" s="52"/>
      <c r="BW886" s="52"/>
      <c r="BX886" s="52"/>
      <c r="BY886" s="52"/>
      <c r="BZ886" s="52"/>
      <c r="CA886" s="52"/>
      <c r="CB886" s="52"/>
      <c r="CC886" s="52">
        <v>5640618</v>
      </c>
      <c r="CD886" s="52"/>
      <c r="CE886" s="52"/>
      <c r="CF886" s="52"/>
      <c r="CG886" s="52">
        <f t="shared" si="138"/>
        <v>96978222</v>
      </c>
      <c r="CH886" s="52"/>
      <c r="CI886" s="52"/>
      <c r="CJ886" s="52"/>
      <c r="CK886" s="52"/>
      <c r="CL886" s="52"/>
      <c r="CM886" s="52"/>
      <c r="CN886" s="52"/>
      <c r="CO886" s="52"/>
      <c r="CP886" s="52"/>
      <c r="CQ886" s="52">
        <v>5640618</v>
      </c>
      <c r="CR886" s="52"/>
      <c r="CS886" s="52">
        <f t="shared" si="135"/>
        <v>102618840</v>
      </c>
      <c r="CT886" s="53">
        <v>45124944</v>
      </c>
      <c r="CU886" s="53">
        <f t="shared" si="136"/>
        <v>57493896</v>
      </c>
      <c r="CV886" s="54">
        <f t="shared" si="139"/>
        <v>102618840</v>
      </c>
      <c r="CW886" s="55">
        <f t="shared" si="140"/>
        <v>0</v>
      </c>
      <c r="CX886" s="16"/>
      <c r="CY886" s="8"/>
      <c r="CZ886" s="8"/>
      <c r="DA886" s="8"/>
      <c r="DB886" s="8"/>
      <c r="DC886" s="8"/>
      <c r="DD886" s="8"/>
    </row>
    <row r="887" spans="1:108" ht="15" customHeight="1" x14ac:dyDescent="0.2">
      <c r="A887" s="1">
        <v>8002529229</v>
      </c>
      <c r="B887" s="1">
        <v>800252922</v>
      </c>
      <c r="C887" s="9">
        <v>215786757</v>
      </c>
      <c r="D887" s="10" t="s">
        <v>983</v>
      </c>
      <c r="E887" s="46" t="s">
        <v>2040</v>
      </c>
      <c r="F887" s="21"/>
      <c r="G887" s="50"/>
      <c r="H887" s="21"/>
      <c r="I887" s="50"/>
      <c r="J887" s="21"/>
      <c r="K887" s="21"/>
      <c r="L887" s="50"/>
      <c r="M887" s="51"/>
      <c r="N887" s="21"/>
      <c r="O887" s="50"/>
      <c r="P887" s="21"/>
      <c r="Q887" s="50"/>
      <c r="R887" s="21"/>
      <c r="S887" s="21"/>
      <c r="T887" s="50"/>
      <c r="U887" s="51">
        <f t="shared" si="134"/>
        <v>0</v>
      </c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>
        <v>129890809</v>
      </c>
      <c r="AN887" s="51">
        <f>SUBTOTAL(9,AC887:AM887)</f>
        <v>129890809</v>
      </c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>
        <v>156264785</v>
      </c>
      <c r="AZ887" s="51"/>
      <c r="BA887" s="51">
        <f>VLOOKUP(B887,[1]Hoja3!J$3:K$674,2,0)</f>
        <v>165657126</v>
      </c>
      <c r="BB887" s="51"/>
      <c r="BC887" s="52">
        <f t="shared" si="137"/>
        <v>451812720</v>
      </c>
      <c r="BD887" s="51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>
        <v>31252957</v>
      </c>
      <c r="BO887" s="51"/>
      <c r="BP887" s="52">
        <v>483065677</v>
      </c>
      <c r="BQ887" s="52"/>
      <c r="BR887" s="52"/>
      <c r="BS887" s="52"/>
      <c r="BT887" s="52"/>
      <c r="BU887" s="52"/>
      <c r="BV887" s="52"/>
      <c r="BW887" s="52"/>
      <c r="BX887" s="52"/>
      <c r="BY887" s="52"/>
      <c r="BZ887" s="52"/>
      <c r="CA887" s="52"/>
      <c r="CB887" s="52"/>
      <c r="CC887" s="52">
        <v>31252957</v>
      </c>
      <c r="CD887" s="52"/>
      <c r="CE887" s="52"/>
      <c r="CF887" s="52"/>
      <c r="CG887" s="52">
        <f t="shared" si="138"/>
        <v>514318634</v>
      </c>
      <c r="CH887" s="52"/>
      <c r="CI887" s="52"/>
      <c r="CJ887" s="52"/>
      <c r="CK887" s="52"/>
      <c r="CL887" s="52"/>
      <c r="CM887" s="52"/>
      <c r="CN887" s="52"/>
      <c r="CO887" s="52"/>
      <c r="CP887" s="52"/>
      <c r="CQ887" s="52">
        <v>31252957</v>
      </c>
      <c r="CR887" s="52"/>
      <c r="CS887" s="52">
        <f t="shared" si="135"/>
        <v>545571591</v>
      </c>
      <c r="CT887" s="53">
        <v>250023656</v>
      </c>
      <c r="CU887" s="53">
        <f t="shared" si="136"/>
        <v>295547935</v>
      </c>
      <c r="CV887" s="54">
        <f t="shared" si="139"/>
        <v>545571591</v>
      </c>
      <c r="CW887" s="55">
        <f t="shared" si="140"/>
        <v>0</v>
      </c>
      <c r="CX887" s="16"/>
      <c r="CY887" s="8"/>
      <c r="CZ887" s="8"/>
      <c r="DA887" s="8"/>
      <c r="DB887" s="8"/>
      <c r="DC887" s="8"/>
      <c r="DD887" s="8"/>
    </row>
    <row r="888" spans="1:108" ht="15" customHeight="1" x14ac:dyDescent="0.2">
      <c r="A888" s="1">
        <v>8902109502</v>
      </c>
      <c r="B888" s="1">
        <v>890210950</v>
      </c>
      <c r="C888" s="9">
        <v>218668686</v>
      </c>
      <c r="D888" s="10" t="s">
        <v>877</v>
      </c>
      <c r="E888" s="46" t="s">
        <v>1889</v>
      </c>
      <c r="F888" s="21"/>
      <c r="G888" s="50"/>
      <c r="H888" s="21"/>
      <c r="I888" s="50"/>
      <c r="J888" s="21"/>
      <c r="K888" s="21"/>
      <c r="L888" s="50"/>
      <c r="M888" s="51"/>
      <c r="N888" s="21"/>
      <c r="O888" s="50"/>
      <c r="P888" s="21"/>
      <c r="Q888" s="50"/>
      <c r="R888" s="21"/>
      <c r="S888" s="21"/>
      <c r="T888" s="50"/>
      <c r="U888" s="51">
        <f t="shared" si="134"/>
        <v>0</v>
      </c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>
        <v>23253940</v>
      </c>
      <c r="AZ888" s="51"/>
      <c r="BA888" s="51">
        <f>VLOOKUP(B888,[1]Hoja3!J$3:K$674,2,0)</f>
        <v>35229974</v>
      </c>
      <c r="BB888" s="51"/>
      <c r="BC888" s="52">
        <f t="shared" si="137"/>
        <v>58483914</v>
      </c>
      <c r="BD888" s="51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>
        <v>4650788</v>
      </c>
      <c r="BO888" s="51"/>
      <c r="BP888" s="52">
        <v>63134702</v>
      </c>
      <c r="BQ888" s="52"/>
      <c r="BR888" s="52"/>
      <c r="BS888" s="52"/>
      <c r="BT888" s="52"/>
      <c r="BU888" s="52"/>
      <c r="BV888" s="52"/>
      <c r="BW888" s="52"/>
      <c r="BX888" s="52"/>
      <c r="BY888" s="52"/>
      <c r="BZ888" s="52"/>
      <c r="CA888" s="52"/>
      <c r="CB888" s="52"/>
      <c r="CC888" s="52">
        <v>4650788</v>
      </c>
      <c r="CD888" s="52"/>
      <c r="CE888" s="52"/>
      <c r="CF888" s="52"/>
      <c r="CG888" s="52">
        <f t="shared" si="138"/>
        <v>67785490</v>
      </c>
      <c r="CH888" s="52"/>
      <c r="CI888" s="52"/>
      <c r="CJ888" s="52"/>
      <c r="CK888" s="52"/>
      <c r="CL888" s="52"/>
      <c r="CM888" s="52"/>
      <c r="CN888" s="52"/>
      <c r="CO888" s="52"/>
      <c r="CP888" s="52"/>
      <c r="CQ888" s="52">
        <v>4650788</v>
      </c>
      <c r="CR888" s="52"/>
      <c r="CS888" s="52">
        <f t="shared" si="135"/>
        <v>72436278</v>
      </c>
      <c r="CT888" s="53">
        <v>37206304</v>
      </c>
      <c r="CU888" s="53">
        <f t="shared" si="136"/>
        <v>35229974</v>
      </c>
      <c r="CV888" s="54">
        <f t="shared" si="139"/>
        <v>72436278</v>
      </c>
      <c r="CW888" s="55">
        <f t="shared" si="140"/>
        <v>0</v>
      </c>
      <c r="CX888" s="16"/>
      <c r="CY888" s="16"/>
      <c r="CZ888" s="16"/>
    </row>
    <row r="889" spans="1:108" ht="15" customHeight="1" x14ac:dyDescent="0.2">
      <c r="A889" s="1">
        <v>8922005923</v>
      </c>
      <c r="B889" s="1">
        <v>892200592</v>
      </c>
      <c r="C889" s="9">
        <v>211370713</v>
      </c>
      <c r="D889" s="10" t="s">
        <v>908</v>
      </c>
      <c r="E889" s="46" t="s">
        <v>1922</v>
      </c>
      <c r="F889" s="21"/>
      <c r="G889" s="50"/>
      <c r="H889" s="21"/>
      <c r="I889" s="50"/>
      <c r="J889" s="21"/>
      <c r="K889" s="21"/>
      <c r="L889" s="50"/>
      <c r="M889" s="51"/>
      <c r="N889" s="21"/>
      <c r="O889" s="50"/>
      <c r="P889" s="21"/>
      <c r="Q889" s="50"/>
      <c r="R889" s="21"/>
      <c r="S889" s="21"/>
      <c r="T889" s="50"/>
      <c r="U889" s="51">
        <f t="shared" si="134"/>
        <v>0</v>
      </c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>
        <f>VLOOKUP(B889,[1]Hoja3!J$3:K$674,2,0)</f>
        <v>1094725168</v>
      </c>
      <c r="BB889" s="51"/>
      <c r="BC889" s="52">
        <f t="shared" si="137"/>
        <v>1094725168</v>
      </c>
      <c r="BD889" s="51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>
        <v>0</v>
      </c>
      <c r="BO889" s="51"/>
      <c r="BP889" s="52">
        <v>1094725168</v>
      </c>
      <c r="BQ889" s="52"/>
      <c r="BR889" s="52"/>
      <c r="BS889" s="52"/>
      <c r="BT889" s="52"/>
      <c r="BU889" s="52"/>
      <c r="BV889" s="52"/>
      <c r="BW889" s="52"/>
      <c r="BX889" s="52"/>
      <c r="BY889" s="52"/>
      <c r="BZ889" s="52"/>
      <c r="CA889" s="52"/>
      <c r="CB889" s="52"/>
      <c r="CC889" s="52">
        <v>952601461</v>
      </c>
      <c r="CD889" s="52"/>
      <c r="CE889" s="52"/>
      <c r="CF889" s="52"/>
      <c r="CG889" s="52">
        <f t="shared" si="138"/>
        <v>2047326629</v>
      </c>
      <c r="CH889" s="52"/>
      <c r="CI889" s="52"/>
      <c r="CJ889" s="52"/>
      <c r="CK889" s="52"/>
      <c r="CL889" s="52"/>
      <c r="CM889" s="52"/>
      <c r="CN889" s="52"/>
      <c r="CO889" s="52"/>
      <c r="CP889" s="52"/>
      <c r="CQ889" s="52">
        <v>136085923</v>
      </c>
      <c r="CR889" s="52"/>
      <c r="CS889" s="52">
        <f t="shared" si="135"/>
        <v>2183412552</v>
      </c>
      <c r="CT889" s="53">
        <v>1088687384</v>
      </c>
      <c r="CU889" s="53">
        <f t="shared" si="136"/>
        <v>1094725168</v>
      </c>
      <c r="CV889" s="54">
        <f t="shared" si="139"/>
        <v>2183412552</v>
      </c>
      <c r="CW889" s="55">
        <f t="shared" si="140"/>
        <v>0</v>
      </c>
      <c r="CX889" s="16"/>
      <c r="CY889" s="16"/>
      <c r="CZ889" s="16"/>
    </row>
    <row r="890" spans="1:108" ht="15" customHeight="1" x14ac:dyDescent="0.2">
      <c r="A890" s="1">
        <v>8918013692</v>
      </c>
      <c r="B890" s="1">
        <v>891801369</v>
      </c>
      <c r="C890" s="9">
        <v>218115681</v>
      </c>
      <c r="D890" s="10" t="s">
        <v>301</v>
      </c>
      <c r="E890" s="46" t="s">
        <v>1332</v>
      </c>
      <c r="F890" s="21"/>
      <c r="G890" s="50"/>
      <c r="H890" s="21"/>
      <c r="I890" s="50"/>
      <c r="J890" s="21"/>
      <c r="K890" s="21"/>
      <c r="L890" s="50"/>
      <c r="M890" s="51"/>
      <c r="N890" s="21"/>
      <c r="O890" s="50"/>
      <c r="P890" s="21"/>
      <c r="Q890" s="50"/>
      <c r="R890" s="21"/>
      <c r="S890" s="21"/>
      <c r="T890" s="50"/>
      <c r="U890" s="51">
        <f t="shared" si="134"/>
        <v>0</v>
      </c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>
        <v>70941805</v>
      </c>
      <c r="AZ890" s="51"/>
      <c r="BA890" s="51">
        <f>VLOOKUP(B890,[1]Hoja3!J$3:K$674,2,0)</f>
        <v>115660597</v>
      </c>
      <c r="BB890" s="51"/>
      <c r="BC890" s="52">
        <f t="shared" si="137"/>
        <v>186602402</v>
      </c>
      <c r="BD890" s="51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>
        <v>14188361</v>
      </c>
      <c r="BO890" s="51"/>
      <c r="BP890" s="52">
        <v>200790763</v>
      </c>
      <c r="BQ890" s="52"/>
      <c r="BR890" s="52"/>
      <c r="BS890" s="52"/>
      <c r="BT890" s="52"/>
      <c r="BU890" s="52"/>
      <c r="BV890" s="52"/>
      <c r="BW890" s="52"/>
      <c r="BX890" s="52"/>
      <c r="BY890" s="52"/>
      <c r="BZ890" s="52"/>
      <c r="CA890" s="52"/>
      <c r="CB890" s="52"/>
      <c r="CC890" s="52">
        <v>14188361</v>
      </c>
      <c r="CD890" s="52"/>
      <c r="CE890" s="52"/>
      <c r="CF890" s="52"/>
      <c r="CG890" s="52">
        <f t="shared" si="138"/>
        <v>214979124</v>
      </c>
      <c r="CH890" s="52"/>
      <c r="CI890" s="52"/>
      <c r="CJ890" s="52"/>
      <c r="CK890" s="52"/>
      <c r="CL890" s="52"/>
      <c r="CM890" s="52"/>
      <c r="CN890" s="52"/>
      <c r="CO890" s="52"/>
      <c r="CP890" s="52"/>
      <c r="CQ890" s="52">
        <v>14188361</v>
      </c>
      <c r="CR890" s="52"/>
      <c r="CS890" s="52">
        <f t="shared" si="135"/>
        <v>229167485</v>
      </c>
      <c r="CT890" s="53">
        <v>113506888</v>
      </c>
      <c r="CU890" s="53">
        <f t="shared" si="136"/>
        <v>115660597</v>
      </c>
      <c r="CV890" s="54">
        <f t="shared" si="139"/>
        <v>229167485</v>
      </c>
      <c r="CW890" s="55">
        <f t="shared" si="140"/>
        <v>0</v>
      </c>
      <c r="CX890" s="16"/>
      <c r="CY890" s="8"/>
      <c r="CZ890" s="8"/>
      <c r="DA890" s="8"/>
      <c r="DB890" s="8"/>
      <c r="DC890" s="8"/>
      <c r="DD890" s="8"/>
    </row>
    <row r="891" spans="1:108" ht="15" customHeight="1" x14ac:dyDescent="0.2">
      <c r="A891" s="1">
        <v>8904802036</v>
      </c>
      <c r="B891" s="1">
        <v>890480203</v>
      </c>
      <c r="C891" s="9">
        <v>217013670</v>
      </c>
      <c r="D891" s="10" t="s">
        <v>206</v>
      </c>
      <c r="E891" s="46" t="s">
        <v>1240</v>
      </c>
      <c r="F891" s="21"/>
      <c r="G891" s="50"/>
      <c r="H891" s="21"/>
      <c r="I891" s="50"/>
      <c r="J891" s="21"/>
      <c r="K891" s="21"/>
      <c r="L891" s="50"/>
      <c r="M891" s="51"/>
      <c r="N891" s="21"/>
      <c r="O891" s="50"/>
      <c r="P891" s="21"/>
      <c r="Q891" s="50"/>
      <c r="R891" s="21"/>
      <c r="S891" s="21"/>
      <c r="T891" s="50"/>
      <c r="U891" s="51">
        <f t="shared" si="134"/>
        <v>0</v>
      </c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>
        <v>158958841</v>
      </c>
      <c r="AN891" s="51">
        <f>SUBTOTAL(9,AC891:AM891)</f>
        <v>158958841</v>
      </c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>
        <v>303495415</v>
      </c>
      <c r="AZ891" s="51"/>
      <c r="BA891" s="51">
        <f>VLOOKUP(B891,[1]Hoja3!J$3:K$674,2,0)</f>
        <v>201416403</v>
      </c>
      <c r="BB891" s="51"/>
      <c r="BC891" s="52">
        <f t="shared" si="137"/>
        <v>663870659</v>
      </c>
      <c r="BD891" s="51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>
        <v>60699083</v>
      </c>
      <c r="BO891" s="51"/>
      <c r="BP891" s="52">
        <v>724569742</v>
      </c>
      <c r="BQ891" s="52"/>
      <c r="BR891" s="52"/>
      <c r="BS891" s="52"/>
      <c r="BT891" s="52"/>
      <c r="BU891" s="52"/>
      <c r="BV891" s="52"/>
      <c r="BW891" s="52"/>
      <c r="BX891" s="52"/>
      <c r="BY891" s="52"/>
      <c r="BZ891" s="52"/>
      <c r="CA891" s="52"/>
      <c r="CB891" s="52"/>
      <c r="CC891" s="52">
        <v>60699083</v>
      </c>
      <c r="CD891" s="52"/>
      <c r="CE891" s="52">
        <v>37058595</v>
      </c>
      <c r="CF891" s="52"/>
      <c r="CG891" s="52">
        <f t="shared" si="138"/>
        <v>822327420</v>
      </c>
      <c r="CH891" s="52"/>
      <c r="CI891" s="52"/>
      <c r="CJ891" s="52"/>
      <c r="CK891" s="52"/>
      <c r="CL891" s="52"/>
      <c r="CM891" s="52"/>
      <c r="CN891" s="52"/>
      <c r="CO891" s="52"/>
      <c r="CP891" s="52"/>
      <c r="CQ891" s="52">
        <v>60699083</v>
      </c>
      <c r="CR891" s="52"/>
      <c r="CS891" s="52">
        <f t="shared" si="135"/>
        <v>883026503</v>
      </c>
      <c r="CT891" s="53">
        <v>485592664</v>
      </c>
      <c r="CU891" s="53">
        <f t="shared" si="136"/>
        <v>397433839</v>
      </c>
      <c r="CV891" s="54">
        <f t="shared" si="139"/>
        <v>883026503</v>
      </c>
      <c r="CW891" s="55">
        <f t="shared" si="140"/>
        <v>0</v>
      </c>
      <c r="CX891" s="16"/>
      <c r="CY891" s="16"/>
      <c r="CZ891" s="16"/>
    </row>
    <row r="892" spans="1:108" ht="15" customHeight="1" x14ac:dyDescent="0.2">
      <c r="A892" s="1">
        <v>8000991432</v>
      </c>
      <c r="B892" s="1">
        <v>800099143</v>
      </c>
      <c r="C892" s="9">
        <v>219352693</v>
      </c>
      <c r="D892" s="10" t="s">
        <v>742</v>
      </c>
      <c r="E892" s="46" t="s">
        <v>1739</v>
      </c>
      <c r="F892" s="21"/>
      <c r="G892" s="50"/>
      <c r="H892" s="21"/>
      <c r="I892" s="50"/>
      <c r="J892" s="21"/>
      <c r="K892" s="21"/>
      <c r="L892" s="50"/>
      <c r="M892" s="51"/>
      <c r="N892" s="21"/>
      <c r="O892" s="50"/>
      <c r="P892" s="21"/>
      <c r="Q892" s="50"/>
      <c r="R892" s="21"/>
      <c r="S892" s="21"/>
      <c r="T892" s="50"/>
      <c r="U892" s="51">
        <f t="shared" si="134"/>
        <v>0</v>
      </c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>
        <v>106395830</v>
      </c>
      <c r="AZ892" s="51"/>
      <c r="BA892" s="51">
        <f>VLOOKUP(B892,[1]Hoja3!J$3:K$674,2,0)</f>
        <v>189509068</v>
      </c>
      <c r="BB892" s="51"/>
      <c r="BC892" s="52">
        <f t="shared" si="137"/>
        <v>295904898</v>
      </c>
      <c r="BD892" s="51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>
        <v>21279166</v>
      </c>
      <c r="BO892" s="51"/>
      <c r="BP892" s="52">
        <v>317184064</v>
      </c>
      <c r="BQ892" s="52"/>
      <c r="BR892" s="52"/>
      <c r="BS892" s="52"/>
      <c r="BT892" s="52"/>
      <c r="BU892" s="52"/>
      <c r="BV892" s="52"/>
      <c r="BW892" s="52"/>
      <c r="BX892" s="52"/>
      <c r="BY892" s="52"/>
      <c r="BZ892" s="52"/>
      <c r="CA892" s="52"/>
      <c r="CB892" s="52"/>
      <c r="CC892" s="52">
        <v>21279166</v>
      </c>
      <c r="CD892" s="52"/>
      <c r="CE892" s="52"/>
      <c r="CF892" s="52"/>
      <c r="CG892" s="52">
        <f t="shared" si="138"/>
        <v>338463230</v>
      </c>
      <c r="CH892" s="52"/>
      <c r="CI892" s="52"/>
      <c r="CJ892" s="52"/>
      <c r="CK892" s="52"/>
      <c r="CL892" s="52"/>
      <c r="CM892" s="52"/>
      <c r="CN892" s="52"/>
      <c r="CO892" s="52"/>
      <c r="CP892" s="52"/>
      <c r="CQ892" s="52">
        <v>21279166</v>
      </c>
      <c r="CR892" s="52"/>
      <c r="CS892" s="52">
        <f t="shared" si="135"/>
        <v>359742396</v>
      </c>
      <c r="CT892" s="53">
        <v>170233328</v>
      </c>
      <c r="CU892" s="53">
        <f t="shared" si="136"/>
        <v>189509068</v>
      </c>
      <c r="CV892" s="54">
        <f t="shared" si="139"/>
        <v>359742396</v>
      </c>
      <c r="CW892" s="55">
        <f t="shared" si="140"/>
        <v>0</v>
      </c>
      <c r="CX892" s="16"/>
      <c r="CY892" s="8"/>
      <c r="CZ892" s="8"/>
      <c r="DA892" s="8"/>
      <c r="DB892" s="8"/>
      <c r="DC892" s="8"/>
      <c r="DD892" s="8"/>
    </row>
    <row r="893" spans="1:108" ht="15" customHeight="1" x14ac:dyDescent="0.2">
      <c r="A893" s="1">
        <v>8001487203</v>
      </c>
      <c r="B893" s="1">
        <v>800148720</v>
      </c>
      <c r="C893" s="9">
        <v>219452694</v>
      </c>
      <c r="D893" s="10" t="s">
        <v>743</v>
      </c>
      <c r="E893" s="46" t="s">
        <v>1763</v>
      </c>
      <c r="F893" s="21"/>
      <c r="G893" s="50"/>
      <c r="H893" s="21"/>
      <c r="I893" s="50"/>
      <c r="J893" s="21"/>
      <c r="K893" s="21"/>
      <c r="L893" s="50"/>
      <c r="M893" s="51"/>
      <c r="N893" s="21"/>
      <c r="O893" s="50"/>
      <c r="P893" s="21"/>
      <c r="Q893" s="50"/>
      <c r="R893" s="21"/>
      <c r="S893" s="21"/>
      <c r="T893" s="50"/>
      <c r="U893" s="51">
        <f t="shared" si="134"/>
        <v>0</v>
      </c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>
        <f>VLOOKUP(B893,[1]Hoja3!J$3:K$674,2,0)</f>
        <v>83502478</v>
      </c>
      <c r="BB893" s="51"/>
      <c r="BC893" s="52">
        <f t="shared" si="137"/>
        <v>83502478</v>
      </c>
      <c r="BD893" s="51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>
        <v>8575853</v>
      </c>
      <c r="BO893" s="51"/>
      <c r="BP893" s="52">
        <v>92078331</v>
      </c>
      <c r="BQ893" s="52"/>
      <c r="BR893" s="52"/>
      <c r="BS893" s="52"/>
      <c r="BT893" s="52"/>
      <c r="BU893" s="52"/>
      <c r="BV893" s="52"/>
      <c r="BW893" s="52"/>
      <c r="BX893" s="52"/>
      <c r="BY893" s="52"/>
      <c r="BZ893" s="52"/>
      <c r="CA893" s="52"/>
      <c r="CB893" s="52"/>
      <c r="CC893" s="52">
        <v>8575853</v>
      </c>
      <c r="CD893" s="52">
        <v>42879265</v>
      </c>
      <c r="CE893" s="52"/>
      <c r="CF893" s="52"/>
      <c r="CG893" s="52">
        <f t="shared" si="138"/>
        <v>143533449</v>
      </c>
      <c r="CH893" s="52"/>
      <c r="CI893" s="52"/>
      <c r="CJ893" s="52"/>
      <c r="CK893" s="52"/>
      <c r="CL893" s="52"/>
      <c r="CM893" s="52"/>
      <c r="CN893" s="52"/>
      <c r="CO893" s="52"/>
      <c r="CP893" s="52"/>
      <c r="CQ893" s="52">
        <v>8575853</v>
      </c>
      <c r="CR893" s="52"/>
      <c r="CS893" s="52">
        <f t="shared" si="135"/>
        <v>152109302</v>
      </c>
      <c r="CT893" s="53">
        <v>68606824</v>
      </c>
      <c r="CU893" s="53">
        <f t="shared" si="136"/>
        <v>83502478</v>
      </c>
      <c r="CV893" s="54">
        <f t="shared" si="139"/>
        <v>152109302</v>
      </c>
      <c r="CW893" s="55">
        <f t="shared" si="140"/>
        <v>0</v>
      </c>
      <c r="CX893" s="16"/>
      <c r="CY893" s="16"/>
      <c r="CZ893" s="16"/>
    </row>
    <row r="894" spans="1:108" ht="15" customHeight="1" x14ac:dyDescent="0.2">
      <c r="A894" s="1">
        <v>8909838145</v>
      </c>
      <c r="B894" s="1">
        <v>890983814</v>
      </c>
      <c r="C894" s="9">
        <v>216505665</v>
      </c>
      <c r="D894" s="10" t="s">
        <v>133</v>
      </c>
      <c r="E894" s="46" t="s">
        <v>1163</v>
      </c>
      <c r="F894" s="21"/>
      <c r="G894" s="50"/>
      <c r="H894" s="21"/>
      <c r="I894" s="50"/>
      <c r="J894" s="21"/>
      <c r="K894" s="21"/>
      <c r="L894" s="50"/>
      <c r="M894" s="51"/>
      <c r="N894" s="21"/>
      <c r="O894" s="50"/>
      <c r="P894" s="21"/>
      <c r="Q894" s="50"/>
      <c r="R894" s="21"/>
      <c r="S894" s="21"/>
      <c r="T894" s="50"/>
      <c r="U894" s="51">
        <f t="shared" si="134"/>
        <v>0</v>
      </c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>
        <v>598854760</v>
      </c>
      <c r="AZ894" s="51"/>
      <c r="BA894" s="51">
        <f>VLOOKUP(B894,[1]Hoja3!J$3:K$674,2,0)</f>
        <v>570585770</v>
      </c>
      <c r="BB894" s="51"/>
      <c r="BC894" s="52">
        <f t="shared" si="137"/>
        <v>1169440530</v>
      </c>
      <c r="BD894" s="51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>
        <v>119770952</v>
      </c>
      <c r="BO894" s="51"/>
      <c r="BP894" s="52">
        <v>1289211482</v>
      </c>
      <c r="BQ894" s="52"/>
      <c r="BR894" s="52"/>
      <c r="BS894" s="52"/>
      <c r="BT894" s="52"/>
      <c r="BU894" s="52"/>
      <c r="BV894" s="52"/>
      <c r="BW894" s="52"/>
      <c r="BX894" s="52"/>
      <c r="BY894" s="52"/>
      <c r="BZ894" s="52"/>
      <c r="CA894" s="52"/>
      <c r="CB894" s="52"/>
      <c r="CC894" s="52">
        <v>119770952</v>
      </c>
      <c r="CD894" s="52"/>
      <c r="CE894" s="52"/>
      <c r="CF894" s="52"/>
      <c r="CG894" s="52">
        <f t="shared" si="138"/>
        <v>1408982434</v>
      </c>
      <c r="CH894" s="52"/>
      <c r="CI894" s="52"/>
      <c r="CJ894" s="52"/>
      <c r="CK894" s="52"/>
      <c r="CL894" s="52"/>
      <c r="CM894" s="52"/>
      <c r="CN894" s="52"/>
      <c r="CO894" s="52"/>
      <c r="CP894" s="52"/>
      <c r="CQ894" s="52">
        <v>119770952</v>
      </c>
      <c r="CR894" s="52"/>
      <c r="CS894" s="52">
        <f t="shared" si="135"/>
        <v>1528753386</v>
      </c>
      <c r="CT894" s="53">
        <v>958167616</v>
      </c>
      <c r="CU894" s="53">
        <f t="shared" si="136"/>
        <v>570585770</v>
      </c>
      <c r="CV894" s="54">
        <f t="shared" si="139"/>
        <v>1528753386</v>
      </c>
      <c r="CW894" s="55">
        <f t="shared" si="140"/>
        <v>0</v>
      </c>
      <c r="CX894" s="16"/>
      <c r="CY894" s="16"/>
      <c r="CZ894" s="16"/>
    </row>
    <row r="895" spans="1:108" ht="15" customHeight="1" x14ac:dyDescent="0.2">
      <c r="A895" s="1">
        <v>8909839222</v>
      </c>
      <c r="B895" s="1">
        <v>890983922</v>
      </c>
      <c r="C895" s="9">
        <v>216405664</v>
      </c>
      <c r="D895" s="10" t="s">
        <v>132</v>
      </c>
      <c r="E895" s="46" t="s">
        <v>1162</v>
      </c>
      <c r="F895" s="21"/>
      <c r="G895" s="50"/>
      <c r="H895" s="21"/>
      <c r="I895" s="50"/>
      <c r="J895" s="21"/>
      <c r="K895" s="21"/>
      <c r="L895" s="50"/>
      <c r="M895" s="51"/>
      <c r="N895" s="21"/>
      <c r="O895" s="50"/>
      <c r="P895" s="21"/>
      <c r="Q895" s="50"/>
      <c r="R895" s="21"/>
      <c r="S895" s="21"/>
      <c r="T895" s="50"/>
      <c r="U895" s="51">
        <f t="shared" si="134"/>
        <v>0</v>
      </c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>
        <v>145213065</v>
      </c>
      <c r="AZ895" s="51"/>
      <c r="BA895" s="51">
        <f>VLOOKUP(B895,[1]Hoja3!J$3:K$674,2,0)</f>
        <v>388739333</v>
      </c>
      <c r="BB895" s="51"/>
      <c r="BC895" s="52">
        <f t="shared" si="137"/>
        <v>533952398</v>
      </c>
      <c r="BD895" s="51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>
        <v>29042613</v>
      </c>
      <c r="BO895" s="51"/>
      <c r="BP895" s="52">
        <v>562995011</v>
      </c>
      <c r="BQ895" s="52"/>
      <c r="BR895" s="52"/>
      <c r="BS895" s="52"/>
      <c r="BT895" s="52"/>
      <c r="BU895" s="52"/>
      <c r="BV895" s="52"/>
      <c r="BW895" s="52"/>
      <c r="BX895" s="52"/>
      <c r="BY895" s="52"/>
      <c r="BZ895" s="52"/>
      <c r="CA895" s="52"/>
      <c r="CB895" s="52"/>
      <c r="CC895" s="52">
        <v>29042613</v>
      </c>
      <c r="CD895" s="52"/>
      <c r="CE895" s="52"/>
      <c r="CF895" s="52"/>
      <c r="CG895" s="52">
        <f t="shared" si="138"/>
        <v>592037624</v>
      </c>
      <c r="CH895" s="52"/>
      <c r="CI895" s="52"/>
      <c r="CJ895" s="52"/>
      <c r="CK895" s="52"/>
      <c r="CL895" s="52"/>
      <c r="CM895" s="52"/>
      <c r="CN895" s="52"/>
      <c r="CO895" s="52"/>
      <c r="CP895" s="52"/>
      <c r="CQ895" s="52">
        <v>29042613</v>
      </c>
      <c r="CR895" s="52"/>
      <c r="CS895" s="52">
        <f t="shared" si="135"/>
        <v>621080237</v>
      </c>
      <c r="CT895" s="53">
        <v>232340904</v>
      </c>
      <c r="CU895" s="53">
        <f t="shared" si="136"/>
        <v>388739333</v>
      </c>
      <c r="CV895" s="54">
        <f t="shared" si="139"/>
        <v>621080237</v>
      </c>
      <c r="CW895" s="55">
        <f t="shared" si="140"/>
        <v>0</v>
      </c>
      <c r="CX895" s="16"/>
      <c r="CY895" s="16"/>
      <c r="CZ895" s="16"/>
    </row>
    <row r="896" spans="1:108" ht="15" customHeight="1" x14ac:dyDescent="0.2">
      <c r="A896" s="1">
        <v>8922800630</v>
      </c>
      <c r="B896" s="1">
        <v>892280063</v>
      </c>
      <c r="C896" s="9">
        <v>211770717</v>
      </c>
      <c r="D896" s="10" t="s">
        <v>2140</v>
      </c>
      <c r="E896" s="46" t="s">
        <v>1923</v>
      </c>
      <c r="F896" s="21"/>
      <c r="G896" s="50"/>
      <c r="H896" s="21"/>
      <c r="I896" s="50"/>
      <c r="J896" s="21"/>
      <c r="K896" s="21"/>
      <c r="L896" s="50"/>
      <c r="M896" s="51"/>
      <c r="N896" s="21"/>
      <c r="O896" s="50"/>
      <c r="P896" s="21"/>
      <c r="Q896" s="50"/>
      <c r="R896" s="21"/>
      <c r="S896" s="21"/>
      <c r="T896" s="50"/>
      <c r="U896" s="51">
        <f t="shared" si="134"/>
        <v>0</v>
      </c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>
        <v>179542185</v>
      </c>
      <c r="AZ896" s="51"/>
      <c r="BA896" s="51">
        <f>VLOOKUP(B896,[1]Hoja3!J$3:K$674,2,0)</f>
        <v>310947665</v>
      </c>
      <c r="BB896" s="51"/>
      <c r="BC896" s="52">
        <f t="shared" si="137"/>
        <v>490489850</v>
      </c>
      <c r="BD896" s="51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>
        <v>35908437</v>
      </c>
      <c r="BO896" s="51"/>
      <c r="BP896" s="52">
        <v>526398287</v>
      </c>
      <c r="BQ896" s="52"/>
      <c r="BR896" s="52"/>
      <c r="BS896" s="52"/>
      <c r="BT896" s="52"/>
      <c r="BU896" s="52"/>
      <c r="BV896" s="52"/>
      <c r="BW896" s="52"/>
      <c r="BX896" s="52"/>
      <c r="BY896" s="52"/>
      <c r="BZ896" s="52"/>
      <c r="CA896" s="52"/>
      <c r="CB896" s="52"/>
      <c r="CC896" s="52">
        <v>35908437</v>
      </c>
      <c r="CD896" s="52"/>
      <c r="CE896" s="52"/>
      <c r="CF896" s="52"/>
      <c r="CG896" s="52">
        <f t="shared" si="138"/>
        <v>562306724</v>
      </c>
      <c r="CH896" s="52"/>
      <c r="CI896" s="52"/>
      <c r="CJ896" s="52"/>
      <c r="CK896" s="52"/>
      <c r="CL896" s="52"/>
      <c r="CM896" s="52"/>
      <c r="CN896" s="52"/>
      <c r="CO896" s="52"/>
      <c r="CP896" s="52"/>
      <c r="CQ896" s="52">
        <v>35908437</v>
      </c>
      <c r="CR896" s="52"/>
      <c r="CS896" s="52">
        <f t="shared" si="135"/>
        <v>598215161</v>
      </c>
      <c r="CT896" s="53">
        <v>287267496</v>
      </c>
      <c r="CU896" s="53">
        <f t="shared" si="136"/>
        <v>310947665</v>
      </c>
      <c r="CV896" s="54">
        <f t="shared" si="139"/>
        <v>598215161</v>
      </c>
      <c r="CW896" s="55">
        <f t="shared" si="140"/>
        <v>0</v>
      </c>
      <c r="CX896" s="16"/>
      <c r="CY896" s="16"/>
      <c r="CZ896" s="16"/>
    </row>
    <row r="897" spans="1:108" ht="15" customHeight="1" x14ac:dyDescent="0.2">
      <c r="A897" s="1">
        <v>8001005263</v>
      </c>
      <c r="B897" s="1">
        <v>800100526</v>
      </c>
      <c r="C897" s="9">
        <v>217076670</v>
      </c>
      <c r="D897" s="10" t="s">
        <v>938</v>
      </c>
      <c r="E897" s="46" t="s">
        <v>1998</v>
      </c>
      <c r="F897" s="21"/>
      <c r="G897" s="50"/>
      <c r="H897" s="21"/>
      <c r="I897" s="50"/>
      <c r="J897" s="21"/>
      <c r="K897" s="21"/>
      <c r="L897" s="50"/>
      <c r="M897" s="51"/>
      <c r="N897" s="21"/>
      <c r="O897" s="50"/>
      <c r="P897" s="21"/>
      <c r="Q897" s="50"/>
      <c r="R897" s="21"/>
      <c r="S897" s="21"/>
      <c r="T897" s="50"/>
      <c r="U897" s="51">
        <f t="shared" si="134"/>
        <v>0</v>
      </c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>
        <v>188383035</v>
      </c>
      <c r="AN897" s="51">
        <f>SUBTOTAL(9,AC897:AM897)</f>
        <v>188383035</v>
      </c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>
        <v>105744235</v>
      </c>
      <c r="AZ897" s="51"/>
      <c r="BA897" s="51"/>
      <c r="BB897" s="51"/>
      <c r="BC897" s="52">
        <f t="shared" si="137"/>
        <v>294127270</v>
      </c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>
        <v>21148847</v>
      </c>
      <c r="BO897" s="51"/>
      <c r="BP897" s="52">
        <v>315276117</v>
      </c>
      <c r="BQ897" s="52"/>
      <c r="BR897" s="52"/>
      <c r="BS897" s="52"/>
      <c r="BT897" s="52"/>
      <c r="BU897" s="52"/>
      <c r="BV897" s="52"/>
      <c r="BW897" s="52"/>
      <c r="BX897" s="52"/>
      <c r="BY897" s="52"/>
      <c r="BZ897" s="52"/>
      <c r="CA897" s="52"/>
      <c r="CB897" s="52"/>
      <c r="CC897" s="52">
        <v>21148847</v>
      </c>
      <c r="CD897" s="52"/>
      <c r="CE897" s="52"/>
      <c r="CF897" s="52"/>
      <c r="CG897" s="52">
        <f t="shared" si="138"/>
        <v>336424964</v>
      </c>
      <c r="CH897" s="52"/>
      <c r="CI897" s="52"/>
      <c r="CJ897" s="52"/>
      <c r="CK897" s="52"/>
      <c r="CL897" s="52"/>
      <c r="CM897" s="52"/>
      <c r="CN897" s="52"/>
      <c r="CO897" s="52"/>
      <c r="CP897" s="52"/>
      <c r="CQ897" s="52">
        <v>21148847</v>
      </c>
      <c r="CR897" s="52"/>
      <c r="CS897" s="52">
        <f t="shared" si="135"/>
        <v>357573811</v>
      </c>
      <c r="CT897" s="53">
        <v>169190776</v>
      </c>
      <c r="CU897" s="53">
        <f t="shared" si="136"/>
        <v>188383035</v>
      </c>
      <c r="CV897" s="54">
        <f t="shared" si="139"/>
        <v>357573811</v>
      </c>
      <c r="CW897" s="55">
        <f t="shared" si="140"/>
        <v>0</v>
      </c>
      <c r="CX897" s="16"/>
      <c r="CY897" s="8"/>
      <c r="CZ897" s="8"/>
      <c r="DA897" s="8"/>
      <c r="DB897" s="8"/>
      <c r="DC897" s="8"/>
      <c r="DD897" s="8"/>
    </row>
    <row r="898" spans="1:108" ht="15" customHeight="1" x14ac:dyDescent="0.2">
      <c r="A898" s="1">
        <v>8000968056</v>
      </c>
      <c r="B898" s="1">
        <v>800096805</v>
      </c>
      <c r="C898" s="9">
        <v>218623686</v>
      </c>
      <c r="D898" s="10" t="s">
        <v>457</v>
      </c>
      <c r="E898" s="46" t="s">
        <v>2087</v>
      </c>
      <c r="F898" s="21"/>
      <c r="G898" s="50"/>
      <c r="H898" s="21"/>
      <c r="I898" s="50"/>
      <c r="J898" s="21"/>
      <c r="K898" s="21"/>
      <c r="L898" s="50"/>
      <c r="M898" s="51"/>
      <c r="N898" s="21"/>
      <c r="O898" s="50"/>
      <c r="P898" s="21"/>
      <c r="Q898" s="50"/>
      <c r="R898" s="21"/>
      <c r="S898" s="21"/>
      <c r="T898" s="50"/>
      <c r="U898" s="51">
        <f t="shared" si="134"/>
        <v>0</v>
      </c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>
        <v>557138457</v>
      </c>
      <c r="AN898" s="51">
        <f>SUBTOTAL(9,AC898:AM898)</f>
        <v>557138457</v>
      </c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2">
        <f t="shared" si="137"/>
        <v>557138457</v>
      </c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>
        <v>0</v>
      </c>
      <c r="BO898" s="51"/>
      <c r="BP898" s="52">
        <v>557138457</v>
      </c>
      <c r="BQ898" s="52"/>
      <c r="BR898" s="52"/>
      <c r="BS898" s="52"/>
      <c r="BT898" s="52"/>
      <c r="BU898" s="52"/>
      <c r="BV898" s="52"/>
      <c r="BW898" s="52"/>
      <c r="BX898" s="52"/>
      <c r="BY898" s="52"/>
      <c r="BZ898" s="52"/>
      <c r="CA898" s="52"/>
      <c r="CB898" s="52"/>
      <c r="CC898" s="52">
        <v>580582212</v>
      </c>
      <c r="CD898" s="52"/>
      <c r="CE898" s="52"/>
      <c r="CF898" s="52"/>
      <c r="CG898" s="52">
        <f t="shared" si="138"/>
        <v>1137720669</v>
      </c>
      <c r="CH898" s="52"/>
      <c r="CI898" s="52"/>
      <c r="CJ898" s="52"/>
      <c r="CK898" s="52"/>
      <c r="CL898" s="52"/>
      <c r="CM898" s="52"/>
      <c r="CN898" s="52"/>
      <c r="CO898" s="52"/>
      <c r="CP898" s="52"/>
      <c r="CQ898" s="52">
        <v>82940316</v>
      </c>
      <c r="CR898" s="52"/>
      <c r="CS898" s="52">
        <f t="shared" si="135"/>
        <v>1220660985</v>
      </c>
      <c r="CT898" s="53">
        <v>663522528</v>
      </c>
      <c r="CU898" s="53">
        <f t="shared" si="136"/>
        <v>557138457</v>
      </c>
      <c r="CV898" s="54">
        <f t="shared" si="139"/>
        <v>1220660985</v>
      </c>
      <c r="CW898" s="55">
        <f t="shared" si="140"/>
        <v>0</v>
      </c>
      <c r="CX898" s="16"/>
      <c r="CY898" s="16"/>
      <c r="CZ898" s="16"/>
    </row>
    <row r="899" spans="1:108" ht="15" customHeight="1" x14ac:dyDescent="0.2">
      <c r="A899" s="1">
        <v>8909821231</v>
      </c>
      <c r="B899" s="1">
        <v>890982123</v>
      </c>
      <c r="C899" s="9">
        <v>216705667</v>
      </c>
      <c r="D899" s="10" t="s">
        <v>134</v>
      </c>
      <c r="E899" s="46" t="s">
        <v>1117</v>
      </c>
      <c r="F899" s="21"/>
      <c r="G899" s="50"/>
      <c r="H899" s="21"/>
      <c r="I899" s="50"/>
      <c r="J899" s="21"/>
      <c r="K899" s="21"/>
      <c r="L899" s="50"/>
      <c r="M899" s="51"/>
      <c r="N899" s="21"/>
      <c r="O899" s="50"/>
      <c r="P899" s="21"/>
      <c r="Q899" s="50"/>
      <c r="R899" s="21"/>
      <c r="S899" s="21"/>
      <c r="T899" s="50"/>
      <c r="U899" s="51">
        <f t="shared" ref="U899:U962" si="144">SUM(M899:T899)</f>
        <v>0</v>
      </c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>
        <v>107169505</v>
      </c>
      <c r="AZ899" s="51"/>
      <c r="BA899" s="51">
        <f>VLOOKUP(B899,[1]Hoja3!J$3:K$674,2,0)</f>
        <v>157453138</v>
      </c>
      <c r="BB899" s="51"/>
      <c r="BC899" s="52">
        <f t="shared" si="137"/>
        <v>264622643</v>
      </c>
      <c r="BD899" s="51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>
        <v>21433901</v>
      </c>
      <c r="BO899" s="51"/>
      <c r="BP899" s="52">
        <v>286056544</v>
      </c>
      <c r="BQ899" s="52"/>
      <c r="BR899" s="52"/>
      <c r="BS899" s="52"/>
      <c r="BT899" s="52"/>
      <c r="BU899" s="52"/>
      <c r="BV899" s="52"/>
      <c r="BW899" s="52"/>
      <c r="BX899" s="52"/>
      <c r="BY899" s="52"/>
      <c r="BZ899" s="52"/>
      <c r="CA899" s="52"/>
      <c r="CB899" s="52"/>
      <c r="CC899" s="52">
        <v>21433901</v>
      </c>
      <c r="CD899" s="52"/>
      <c r="CE899" s="52"/>
      <c r="CF899" s="52"/>
      <c r="CG899" s="52">
        <f t="shared" si="138"/>
        <v>307490445</v>
      </c>
      <c r="CH899" s="52"/>
      <c r="CI899" s="52"/>
      <c r="CJ899" s="52"/>
      <c r="CK899" s="52"/>
      <c r="CL899" s="52"/>
      <c r="CM899" s="52"/>
      <c r="CN899" s="52"/>
      <c r="CO899" s="52"/>
      <c r="CP899" s="52"/>
      <c r="CQ899" s="52">
        <v>21433901</v>
      </c>
      <c r="CR899" s="52"/>
      <c r="CS899" s="52">
        <f t="shared" ref="CS899:CS962" si="145">SUM(CG899:CR899)</f>
        <v>328924346</v>
      </c>
      <c r="CT899" s="53">
        <v>171471208</v>
      </c>
      <c r="CU899" s="53">
        <f t="shared" ref="CU899:CU962" si="146">+AM899+BA899-BB899+BO899+CE899+CF899+CR899</f>
        <v>157453138</v>
      </c>
      <c r="CV899" s="54">
        <f t="shared" si="139"/>
        <v>328924346</v>
      </c>
      <c r="CW899" s="55">
        <f t="shared" si="140"/>
        <v>0</v>
      </c>
      <c r="CX899" s="16"/>
      <c r="CY899" s="16"/>
      <c r="CZ899" s="16"/>
    </row>
    <row r="900" spans="1:108" ht="15" customHeight="1" x14ac:dyDescent="0.2">
      <c r="A900" s="1">
        <v>8909808507</v>
      </c>
      <c r="B900" s="1">
        <v>890980850</v>
      </c>
      <c r="C900" s="9">
        <v>217005670</v>
      </c>
      <c r="D900" s="10" t="s">
        <v>135</v>
      </c>
      <c r="E900" s="46" t="s">
        <v>1164</v>
      </c>
      <c r="F900" s="21"/>
      <c r="G900" s="50"/>
      <c r="H900" s="21"/>
      <c r="I900" s="50"/>
      <c r="J900" s="21"/>
      <c r="K900" s="21"/>
      <c r="L900" s="50"/>
      <c r="M900" s="51"/>
      <c r="N900" s="21"/>
      <c r="O900" s="50"/>
      <c r="P900" s="21"/>
      <c r="Q900" s="50"/>
      <c r="R900" s="21"/>
      <c r="S900" s="21"/>
      <c r="T900" s="50"/>
      <c r="U900" s="51">
        <f t="shared" si="144"/>
        <v>0</v>
      </c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>
        <f>VLOOKUP(B900,[1]Hoja3!J$3:K$674,2,0)</f>
        <v>297494773</v>
      </c>
      <c r="BB900" s="51"/>
      <c r="BC900" s="52">
        <f t="shared" ref="BC900:BC963" si="147">SUM(AN900:BA900)-BB900</f>
        <v>297494773</v>
      </c>
      <c r="BD900" s="51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>
        <v>25201220</v>
      </c>
      <c r="BO900" s="51"/>
      <c r="BP900" s="52">
        <v>322695993</v>
      </c>
      <c r="BQ900" s="52"/>
      <c r="BR900" s="52"/>
      <c r="BS900" s="52"/>
      <c r="BT900" s="52"/>
      <c r="BU900" s="52"/>
      <c r="BV900" s="52"/>
      <c r="BW900" s="52"/>
      <c r="BX900" s="52"/>
      <c r="BY900" s="52"/>
      <c r="BZ900" s="52"/>
      <c r="CA900" s="52"/>
      <c r="CB900" s="52"/>
      <c r="CC900" s="52">
        <v>25201220</v>
      </c>
      <c r="CD900" s="52">
        <v>126006100</v>
      </c>
      <c r="CE900" s="52"/>
      <c r="CF900" s="52"/>
      <c r="CG900" s="52">
        <f t="shared" ref="CG900:CG963" si="148">SUM(BP900:CF900)</f>
        <v>473903313</v>
      </c>
      <c r="CH900" s="52"/>
      <c r="CI900" s="52"/>
      <c r="CJ900" s="52"/>
      <c r="CK900" s="52"/>
      <c r="CL900" s="52"/>
      <c r="CM900" s="52"/>
      <c r="CN900" s="52"/>
      <c r="CO900" s="52"/>
      <c r="CP900" s="52"/>
      <c r="CQ900" s="52">
        <v>25201220</v>
      </c>
      <c r="CR900" s="52"/>
      <c r="CS900" s="52">
        <f t="shared" si="145"/>
        <v>499104533</v>
      </c>
      <c r="CT900" s="53">
        <v>201609760</v>
      </c>
      <c r="CU900" s="53">
        <f t="shared" si="146"/>
        <v>297494773</v>
      </c>
      <c r="CV900" s="54">
        <f t="shared" ref="CV900:CV963" si="149">+CT900+CU900</f>
        <v>499104533</v>
      </c>
      <c r="CW900" s="55">
        <f t="shared" ref="CW900:CW963" si="150">+CS900-CV900</f>
        <v>0</v>
      </c>
      <c r="CX900" s="16"/>
      <c r="CY900" s="16"/>
      <c r="CZ900" s="16"/>
    </row>
    <row r="901" spans="1:108" ht="15" customHeight="1" x14ac:dyDescent="0.2">
      <c r="A901" s="1">
        <v>8915024824</v>
      </c>
      <c r="B901" s="1">
        <v>891502482</v>
      </c>
      <c r="C901" s="9">
        <v>219319693</v>
      </c>
      <c r="D901" s="10" t="s">
        <v>402</v>
      </c>
      <c r="E901" s="46" t="s">
        <v>1430</v>
      </c>
      <c r="F901" s="21"/>
      <c r="G901" s="50"/>
      <c r="H901" s="21"/>
      <c r="I901" s="50"/>
      <c r="J901" s="21"/>
      <c r="K901" s="21"/>
      <c r="L901" s="50"/>
      <c r="M901" s="51"/>
      <c r="N901" s="21"/>
      <c r="O901" s="50"/>
      <c r="P901" s="21"/>
      <c r="Q901" s="50"/>
      <c r="R901" s="21"/>
      <c r="S901" s="21"/>
      <c r="T901" s="50"/>
      <c r="U901" s="51">
        <f t="shared" si="144"/>
        <v>0</v>
      </c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>
        <v>14696885</v>
      </c>
      <c r="AN901" s="51">
        <f>SUBTOTAL(9,AC901:AM901)</f>
        <v>14696885</v>
      </c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>
        <f>VLOOKUP(B901,[1]Hoja3!J$3:K$674,2,0)</f>
        <v>95544940</v>
      </c>
      <c r="BB901" s="51"/>
      <c r="BC901" s="52">
        <f t="shared" si="147"/>
        <v>110241825</v>
      </c>
      <c r="BD901" s="51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>
        <v>0</v>
      </c>
      <c r="BO901" s="51"/>
      <c r="BP901" s="52">
        <v>110241825</v>
      </c>
      <c r="BQ901" s="52"/>
      <c r="BR901" s="52"/>
      <c r="BS901" s="52"/>
      <c r="BT901" s="52"/>
      <c r="BU901" s="52"/>
      <c r="BV901" s="52"/>
      <c r="BW901" s="52"/>
      <c r="BX901" s="52"/>
      <c r="BY901" s="52"/>
      <c r="BZ901" s="52"/>
      <c r="CA901" s="52"/>
      <c r="CB901" s="52"/>
      <c r="CC901" s="52">
        <v>0</v>
      </c>
      <c r="CD901" s="52"/>
      <c r="CE901" s="52"/>
      <c r="CF901" s="52"/>
      <c r="CG901" s="52">
        <f t="shared" si="148"/>
        <v>110241825</v>
      </c>
      <c r="CH901" s="52"/>
      <c r="CI901" s="52"/>
      <c r="CJ901" s="52"/>
      <c r="CK901" s="52"/>
      <c r="CL901" s="52"/>
      <c r="CM901" s="52"/>
      <c r="CN901" s="52"/>
      <c r="CO901" s="52"/>
      <c r="CP901" s="52"/>
      <c r="CQ901" s="52">
        <v>0</v>
      </c>
      <c r="CR901" s="52"/>
      <c r="CS901" s="52">
        <f t="shared" si="145"/>
        <v>110241825</v>
      </c>
      <c r="CT901" s="53"/>
      <c r="CU901" s="53">
        <f t="shared" si="146"/>
        <v>110241825</v>
      </c>
      <c r="CV901" s="54">
        <f t="shared" si="149"/>
        <v>110241825</v>
      </c>
      <c r="CW901" s="55">
        <f t="shared" si="150"/>
        <v>0</v>
      </c>
      <c r="CX901" s="16"/>
      <c r="CY901" s="16"/>
      <c r="CZ901" s="16"/>
    </row>
    <row r="902" spans="1:108" ht="15" customHeight="1" x14ac:dyDescent="0.2">
      <c r="A902" s="1">
        <v>8917800546</v>
      </c>
      <c r="B902" s="1">
        <v>891780054</v>
      </c>
      <c r="C902" s="9">
        <v>219247692</v>
      </c>
      <c r="D902" s="10" t="s">
        <v>658</v>
      </c>
      <c r="E902" s="46" t="s">
        <v>1678</v>
      </c>
      <c r="F902" s="21"/>
      <c r="G902" s="50"/>
      <c r="H902" s="21"/>
      <c r="I902" s="50"/>
      <c r="J902" s="21"/>
      <c r="K902" s="21"/>
      <c r="L902" s="50"/>
      <c r="M902" s="51"/>
      <c r="N902" s="21"/>
      <c r="O902" s="50"/>
      <c r="P902" s="21"/>
      <c r="Q902" s="50"/>
      <c r="R902" s="21"/>
      <c r="S902" s="21"/>
      <c r="T902" s="50"/>
      <c r="U902" s="51">
        <f t="shared" si="144"/>
        <v>0</v>
      </c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>
        <v>468916252</v>
      </c>
      <c r="AN902" s="51">
        <f>SUBTOTAL(9,AC902:AM902)</f>
        <v>468916252</v>
      </c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>
        <f>VLOOKUP(B902,[1]Hoja3!J$3:K$674,2,0)</f>
        <v>59176186</v>
      </c>
      <c r="BB902" s="51"/>
      <c r="BC902" s="52">
        <f t="shared" si="147"/>
        <v>528092438</v>
      </c>
      <c r="BD902" s="51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>
        <v>56208633</v>
      </c>
      <c r="BO902" s="51"/>
      <c r="BP902" s="52">
        <v>584301071</v>
      </c>
      <c r="BQ902" s="52"/>
      <c r="BR902" s="52"/>
      <c r="BS902" s="52"/>
      <c r="BT902" s="52"/>
      <c r="BU902" s="52"/>
      <c r="BV902" s="52"/>
      <c r="BW902" s="52"/>
      <c r="BX902" s="52"/>
      <c r="BY902" s="52"/>
      <c r="BZ902" s="52"/>
      <c r="CA902" s="52"/>
      <c r="CB902" s="52"/>
      <c r="CC902" s="52">
        <v>56208633</v>
      </c>
      <c r="CD902" s="52">
        <v>281043165</v>
      </c>
      <c r="CE902" s="52"/>
      <c r="CF902" s="52"/>
      <c r="CG902" s="52">
        <f t="shared" si="148"/>
        <v>921552869</v>
      </c>
      <c r="CH902" s="52"/>
      <c r="CI902" s="52"/>
      <c r="CJ902" s="52"/>
      <c r="CK902" s="52"/>
      <c r="CL902" s="52"/>
      <c r="CM902" s="52"/>
      <c r="CN902" s="52"/>
      <c r="CO902" s="52"/>
      <c r="CP902" s="52"/>
      <c r="CQ902" s="52">
        <v>56208633</v>
      </c>
      <c r="CR902" s="52"/>
      <c r="CS902" s="52">
        <f t="shared" si="145"/>
        <v>977761502</v>
      </c>
      <c r="CT902" s="53">
        <v>449669064</v>
      </c>
      <c r="CU902" s="53">
        <f t="shared" si="146"/>
        <v>528092438</v>
      </c>
      <c r="CV902" s="54">
        <f t="shared" si="149"/>
        <v>977761502</v>
      </c>
      <c r="CW902" s="55">
        <f t="shared" si="150"/>
        <v>0</v>
      </c>
      <c r="CX902" s="16"/>
      <c r="CY902" s="16"/>
      <c r="CZ902" s="16"/>
    </row>
    <row r="903" spans="1:108" ht="15" customHeight="1" x14ac:dyDescent="0.2">
      <c r="A903" s="1">
        <v>8000957852</v>
      </c>
      <c r="B903" s="1">
        <v>800095785</v>
      </c>
      <c r="C903" s="9">
        <v>215318753</v>
      </c>
      <c r="D903" s="10" t="s">
        <v>2197</v>
      </c>
      <c r="E903" s="46" t="s">
        <v>1401</v>
      </c>
      <c r="F903" s="21"/>
      <c r="G903" s="50"/>
      <c r="H903" s="21"/>
      <c r="I903" s="50"/>
      <c r="J903" s="21"/>
      <c r="K903" s="21"/>
      <c r="L903" s="50"/>
      <c r="M903" s="51"/>
      <c r="N903" s="21"/>
      <c r="O903" s="50"/>
      <c r="P903" s="21"/>
      <c r="Q903" s="50"/>
      <c r="R903" s="21"/>
      <c r="S903" s="21"/>
      <c r="T903" s="50"/>
      <c r="U903" s="51">
        <f t="shared" si="144"/>
        <v>0</v>
      </c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>
        <v>475092710</v>
      </c>
      <c r="AN903" s="51">
        <f>SUBTOTAL(9,AC903:AM903)</f>
        <v>475092710</v>
      </c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>
        <v>534714475</v>
      </c>
      <c r="AZ903" s="51"/>
      <c r="BA903" s="51">
        <f>VLOOKUP(B903,[1]Hoja3!J$3:K$674,2,0)</f>
        <v>534720422</v>
      </c>
      <c r="BB903" s="51">
        <f>VLOOKUP(B903,'[2]anuladas en mayo gratuidad}'!K$2:L$55,2,0)</f>
        <v>9281941</v>
      </c>
      <c r="BC903" s="52">
        <f t="shared" si="147"/>
        <v>1535245666</v>
      </c>
      <c r="BD903" s="51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>
        <v>106942895</v>
      </c>
      <c r="BO903" s="51"/>
      <c r="BP903" s="52">
        <v>1642188561</v>
      </c>
      <c r="BQ903" s="52"/>
      <c r="BR903" s="52"/>
      <c r="BS903" s="52"/>
      <c r="BT903" s="52"/>
      <c r="BU903" s="52"/>
      <c r="BV903" s="52"/>
      <c r="BW903" s="52"/>
      <c r="BX903" s="52"/>
      <c r="BY903" s="52"/>
      <c r="BZ903" s="52"/>
      <c r="CA903" s="52"/>
      <c r="CB903" s="52"/>
      <c r="CC903" s="52">
        <v>106942895</v>
      </c>
      <c r="CD903" s="52"/>
      <c r="CE903" s="52">
        <v>17496874</v>
      </c>
      <c r="CF903" s="52"/>
      <c r="CG903" s="52">
        <f t="shared" si="148"/>
        <v>1766628330</v>
      </c>
      <c r="CH903" s="52"/>
      <c r="CI903" s="52"/>
      <c r="CJ903" s="52"/>
      <c r="CK903" s="52"/>
      <c r="CL903" s="52"/>
      <c r="CM903" s="52"/>
      <c r="CN903" s="52"/>
      <c r="CO903" s="52"/>
      <c r="CP903" s="52"/>
      <c r="CQ903" s="52">
        <v>106942895</v>
      </c>
      <c r="CR903" s="52">
        <v>9281941</v>
      </c>
      <c r="CS903" s="52">
        <f t="shared" si="145"/>
        <v>1882853166</v>
      </c>
      <c r="CT903" s="53">
        <v>855543160</v>
      </c>
      <c r="CU903" s="53">
        <f t="shared" si="146"/>
        <v>1027310006</v>
      </c>
      <c r="CV903" s="54">
        <f t="shared" si="149"/>
        <v>1882853166</v>
      </c>
      <c r="CW903" s="55">
        <f t="shared" si="150"/>
        <v>0</v>
      </c>
      <c r="CX903" s="16"/>
      <c r="CY903" s="16"/>
      <c r="CZ903" s="16"/>
    </row>
    <row r="904" spans="1:108" ht="15" customHeight="1" x14ac:dyDescent="0.2">
      <c r="A904" s="1">
        <v>8000998296</v>
      </c>
      <c r="B904" s="1">
        <v>800099829</v>
      </c>
      <c r="C904" s="9">
        <v>218968689</v>
      </c>
      <c r="D904" s="10" t="s">
        <v>2137</v>
      </c>
      <c r="E904" s="46" t="s">
        <v>1890</v>
      </c>
      <c r="F904" s="21"/>
      <c r="G904" s="50"/>
      <c r="H904" s="21"/>
      <c r="I904" s="50"/>
      <c r="J904" s="21"/>
      <c r="K904" s="21"/>
      <c r="L904" s="50"/>
      <c r="M904" s="51"/>
      <c r="N904" s="21"/>
      <c r="O904" s="50"/>
      <c r="P904" s="21"/>
      <c r="Q904" s="50"/>
      <c r="R904" s="21"/>
      <c r="S904" s="21"/>
      <c r="T904" s="50"/>
      <c r="U904" s="51">
        <f t="shared" si="144"/>
        <v>0</v>
      </c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>
        <v>248533140</v>
      </c>
      <c r="AN904" s="51">
        <f>SUBTOTAL(9,AC904:AM904)</f>
        <v>248533140</v>
      </c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>
        <v>217776615</v>
      </c>
      <c r="AZ904" s="51"/>
      <c r="BA904" s="51">
        <f>VLOOKUP(B904,[1]Hoja3!J$3:K$674,2,0)</f>
        <v>72045508</v>
      </c>
      <c r="BB904" s="51"/>
      <c r="BC904" s="52">
        <f t="shared" si="147"/>
        <v>538355263</v>
      </c>
      <c r="BD904" s="51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>
        <v>43555323</v>
      </c>
      <c r="BO904" s="51"/>
      <c r="BP904" s="52">
        <v>581910586</v>
      </c>
      <c r="BQ904" s="52"/>
      <c r="BR904" s="52"/>
      <c r="BS904" s="52"/>
      <c r="BT904" s="52"/>
      <c r="BU904" s="52"/>
      <c r="BV904" s="52"/>
      <c r="BW904" s="52"/>
      <c r="BX904" s="52"/>
      <c r="BY904" s="52"/>
      <c r="BZ904" s="52"/>
      <c r="CA904" s="52"/>
      <c r="CB904" s="52"/>
      <c r="CC904" s="52">
        <v>43555323</v>
      </c>
      <c r="CD904" s="52"/>
      <c r="CE904" s="52"/>
      <c r="CF904" s="52"/>
      <c r="CG904" s="52">
        <f t="shared" si="148"/>
        <v>625465909</v>
      </c>
      <c r="CH904" s="52"/>
      <c r="CI904" s="52"/>
      <c r="CJ904" s="52"/>
      <c r="CK904" s="52"/>
      <c r="CL904" s="52"/>
      <c r="CM904" s="52"/>
      <c r="CN904" s="52"/>
      <c r="CO904" s="52"/>
      <c r="CP904" s="52"/>
      <c r="CQ904" s="52">
        <v>43555323</v>
      </c>
      <c r="CR904" s="52"/>
      <c r="CS904" s="52">
        <f t="shared" si="145"/>
        <v>669021232</v>
      </c>
      <c r="CT904" s="53">
        <v>348442584</v>
      </c>
      <c r="CU904" s="53">
        <f t="shared" si="146"/>
        <v>320578648</v>
      </c>
      <c r="CV904" s="54">
        <f t="shared" si="149"/>
        <v>669021232</v>
      </c>
      <c r="CW904" s="55">
        <f t="shared" si="150"/>
        <v>0</v>
      </c>
      <c r="CX904" s="16"/>
      <c r="CY904" s="16"/>
      <c r="CZ904" s="16"/>
    </row>
    <row r="905" spans="1:108" ht="15" customHeight="1" x14ac:dyDescent="0.2">
      <c r="A905" s="1">
        <v>8909825067</v>
      </c>
      <c r="B905" s="1">
        <v>890982506</v>
      </c>
      <c r="C905" s="9">
        <v>217405674</v>
      </c>
      <c r="D905" s="10" t="s">
        <v>136</v>
      </c>
      <c r="E905" s="46" t="s">
        <v>1165</v>
      </c>
      <c r="F905" s="21"/>
      <c r="G905" s="50"/>
      <c r="H905" s="21"/>
      <c r="I905" s="50"/>
      <c r="J905" s="21"/>
      <c r="K905" s="21"/>
      <c r="L905" s="50"/>
      <c r="M905" s="51"/>
      <c r="N905" s="21"/>
      <c r="O905" s="50"/>
      <c r="P905" s="21"/>
      <c r="Q905" s="50"/>
      <c r="R905" s="21"/>
      <c r="S905" s="21"/>
      <c r="T905" s="50"/>
      <c r="U905" s="51">
        <f t="shared" si="144"/>
        <v>0</v>
      </c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>
        <v>114432240</v>
      </c>
      <c r="AZ905" s="51"/>
      <c r="BA905" s="51">
        <f>VLOOKUP(B905,[1]Hoja3!J$3:K$674,2,0)</f>
        <v>250267807</v>
      </c>
      <c r="BB905" s="51"/>
      <c r="BC905" s="52">
        <f t="shared" si="147"/>
        <v>364700047</v>
      </c>
      <c r="BD905" s="51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>
        <v>22886448</v>
      </c>
      <c r="BO905" s="51"/>
      <c r="BP905" s="52">
        <v>387586495</v>
      </c>
      <c r="BQ905" s="52"/>
      <c r="BR905" s="52"/>
      <c r="BS905" s="52"/>
      <c r="BT905" s="52"/>
      <c r="BU905" s="52"/>
      <c r="BV905" s="52"/>
      <c r="BW905" s="52"/>
      <c r="BX905" s="52"/>
      <c r="BY905" s="52"/>
      <c r="BZ905" s="52"/>
      <c r="CA905" s="52"/>
      <c r="CB905" s="52"/>
      <c r="CC905" s="52">
        <v>22886448</v>
      </c>
      <c r="CD905" s="52"/>
      <c r="CE905" s="52"/>
      <c r="CF905" s="52"/>
      <c r="CG905" s="52">
        <f t="shared" si="148"/>
        <v>410472943</v>
      </c>
      <c r="CH905" s="52"/>
      <c r="CI905" s="52"/>
      <c r="CJ905" s="52"/>
      <c r="CK905" s="52"/>
      <c r="CL905" s="52"/>
      <c r="CM905" s="52"/>
      <c r="CN905" s="52"/>
      <c r="CO905" s="52"/>
      <c r="CP905" s="52"/>
      <c r="CQ905" s="52">
        <v>22886448</v>
      </c>
      <c r="CR905" s="52"/>
      <c r="CS905" s="52">
        <f t="shared" si="145"/>
        <v>433359391</v>
      </c>
      <c r="CT905" s="53">
        <v>183091584</v>
      </c>
      <c r="CU905" s="53">
        <f t="shared" si="146"/>
        <v>250267807</v>
      </c>
      <c r="CV905" s="54">
        <f t="shared" si="149"/>
        <v>433359391</v>
      </c>
      <c r="CW905" s="55">
        <f t="shared" si="150"/>
        <v>0</v>
      </c>
      <c r="CX905" s="16"/>
      <c r="CY905" s="16"/>
      <c r="CZ905" s="16"/>
    </row>
    <row r="906" spans="1:108" ht="15" customHeight="1" x14ac:dyDescent="0.2">
      <c r="A906" s="1">
        <v>8917800553</v>
      </c>
      <c r="B906" s="1">
        <v>891780055</v>
      </c>
      <c r="C906" s="9">
        <v>210347703</v>
      </c>
      <c r="D906" s="10" t="s">
        <v>659</v>
      </c>
      <c r="E906" s="46" t="s">
        <v>1679</v>
      </c>
      <c r="F906" s="21"/>
      <c r="G906" s="50"/>
      <c r="H906" s="21"/>
      <c r="I906" s="50"/>
      <c r="J906" s="21"/>
      <c r="K906" s="21"/>
      <c r="L906" s="50"/>
      <c r="M906" s="51"/>
      <c r="N906" s="21"/>
      <c r="O906" s="50"/>
      <c r="P906" s="21"/>
      <c r="Q906" s="50"/>
      <c r="R906" s="21"/>
      <c r="S906" s="21"/>
      <c r="T906" s="50"/>
      <c r="U906" s="51">
        <f t="shared" si="144"/>
        <v>0</v>
      </c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>
        <v>119754450</v>
      </c>
      <c r="AN906" s="51">
        <f>SUBTOTAL(9,AC906:AM906)</f>
        <v>119754450</v>
      </c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>
        <f>VLOOKUP(B906,[1]Hoja3!J$3:K$674,2,0)</f>
        <v>168359700</v>
      </c>
      <c r="BB906" s="51">
        <f>VLOOKUP(B906,'[2]anuladas en mayo gratuidad}'!K$2:L$55,2,0)</f>
        <v>50458930</v>
      </c>
      <c r="BC906" s="52">
        <f t="shared" si="147"/>
        <v>237655220</v>
      </c>
      <c r="BD906" s="51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>
        <v>31203739</v>
      </c>
      <c r="BO906" s="51"/>
      <c r="BP906" s="52">
        <v>268858959</v>
      </c>
      <c r="BQ906" s="52"/>
      <c r="BR906" s="52"/>
      <c r="BS906" s="52"/>
      <c r="BT906" s="52"/>
      <c r="BU906" s="52"/>
      <c r="BV906" s="52"/>
      <c r="BW906" s="52"/>
      <c r="BX906" s="52"/>
      <c r="BY906" s="52"/>
      <c r="BZ906" s="52"/>
      <c r="CA906" s="52"/>
      <c r="CB906" s="52"/>
      <c r="CC906" s="52">
        <v>31203739</v>
      </c>
      <c r="CD906" s="52">
        <v>156018695</v>
      </c>
      <c r="CE906" s="52"/>
      <c r="CF906" s="52"/>
      <c r="CG906" s="52">
        <f t="shared" si="148"/>
        <v>456081393</v>
      </c>
      <c r="CH906" s="52"/>
      <c r="CI906" s="52"/>
      <c r="CJ906" s="52"/>
      <c r="CK906" s="52"/>
      <c r="CL906" s="52"/>
      <c r="CM906" s="52"/>
      <c r="CN906" s="52"/>
      <c r="CO906" s="52"/>
      <c r="CP906" s="52"/>
      <c r="CQ906" s="52">
        <v>31203739</v>
      </c>
      <c r="CR906" s="52">
        <v>50458930</v>
      </c>
      <c r="CS906" s="52">
        <f t="shared" si="145"/>
        <v>537744062</v>
      </c>
      <c r="CT906" s="53">
        <v>249629912</v>
      </c>
      <c r="CU906" s="53">
        <f t="shared" si="146"/>
        <v>288114150</v>
      </c>
      <c r="CV906" s="54">
        <f t="shared" si="149"/>
        <v>537744062</v>
      </c>
      <c r="CW906" s="55">
        <f t="shared" si="150"/>
        <v>0</v>
      </c>
      <c r="CX906" s="16"/>
      <c r="CY906" s="16"/>
      <c r="CZ906" s="16"/>
    </row>
    <row r="907" spans="1:108" ht="15" customHeight="1" x14ac:dyDescent="0.2">
      <c r="A907" s="1">
        <v>8000991385</v>
      </c>
      <c r="B907" s="1">
        <v>800099138</v>
      </c>
      <c r="C907" s="9">
        <v>218352683</v>
      </c>
      <c r="D907" s="10" t="s">
        <v>739</v>
      </c>
      <c r="E907" s="46" t="s">
        <v>1761</v>
      </c>
      <c r="F907" s="21"/>
      <c r="G907" s="50"/>
      <c r="H907" s="21"/>
      <c r="I907" s="50"/>
      <c r="J907" s="21"/>
      <c r="K907" s="21"/>
      <c r="L907" s="50"/>
      <c r="M907" s="51"/>
      <c r="N907" s="21"/>
      <c r="O907" s="50"/>
      <c r="P907" s="21"/>
      <c r="Q907" s="50"/>
      <c r="R907" s="21"/>
      <c r="S907" s="21"/>
      <c r="T907" s="50"/>
      <c r="U907" s="51">
        <f t="shared" si="144"/>
        <v>0</v>
      </c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>
        <v>128697495</v>
      </c>
      <c r="AZ907" s="51"/>
      <c r="BA907" s="51">
        <f>VLOOKUP(B907,[1]Hoja3!J$3:K$674,2,0)</f>
        <v>177947386</v>
      </c>
      <c r="BB907" s="51"/>
      <c r="BC907" s="52">
        <f t="shared" si="147"/>
        <v>306644881</v>
      </c>
      <c r="BD907" s="51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>
        <v>25739499</v>
      </c>
      <c r="BO907" s="51"/>
      <c r="BP907" s="52">
        <v>332384380</v>
      </c>
      <c r="BQ907" s="52"/>
      <c r="BR907" s="52"/>
      <c r="BS907" s="52"/>
      <c r="BT907" s="52"/>
      <c r="BU907" s="52"/>
      <c r="BV907" s="52"/>
      <c r="BW907" s="52"/>
      <c r="BX907" s="52"/>
      <c r="BY907" s="52"/>
      <c r="BZ907" s="52"/>
      <c r="CA907" s="52"/>
      <c r="CB907" s="52"/>
      <c r="CC907" s="52">
        <v>25739499</v>
      </c>
      <c r="CD907" s="52"/>
      <c r="CE907" s="52"/>
      <c r="CF907" s="52"/>
      <c r="CG907" s="52">
        <f t="shared" si="148"/>
        <v>358123879</v>
      </c>
      <c r="CH907" s="52"/>
      <c r="CI907" s="52"/>
      <c r="CJ907" s="52"/>
      <c r="CK907" s="52"/>
      <c r="CL907" s="52"/>
      <c r="CM907" s="52"/>
      <c r="CN907" s="52"/>
      <c r="CO907" s="52"/>
      <c r="CP907" s="52"/>
      <c r="CQ907" s="52">
        <v>25739499</v>
      </c>
      <c r="CR907" s="52"/>
      <c r="CS907" s="52">
        <f t="shared" si="145"/>
        <v>383863378</v>
      </c>
      <c r="CT907" s="53">
        <v>205915992</v>
      </c>
      <c r="CU907" s="53">
        <f t="shared" si="146"/>
        <v>177947386</v>
      </c>
      <c r="CV907" s="54">
        <f t="shared" si="149"/>
        <v>383863378</v>
      </c>
      <c r="CW907" s="55">
        <f t="shared" si="150"/>
        <v>0</v>
      </c>
      <c r="CX907" s="16"/>
      <c r="CY907" s="16"/>
      <c r="CZ907" s="16"/>
    </row>
    <row r="908" spans="1:108" ht="15" customHeight="1" x14ac:dyDescent="0.2">
      <c r="A908" s="1">
        <v>8917800560</v>
      </c>
      <c r="B908" s="1">
        <v>891780056</v>
      </c>
      <c r="C908" s="9">
        <v>210747707</v>
      </c>
      <c r="D908" s="10" t="s">
        <v>660</v>
      </c>
      <c r="E908" s="46" t="s">
        <v>1680</v>
      </c>
      <c r="F908" s="21"/>
      <c r="G908" s="50"/>
      <c r="H908" s="21"/>
      <c r="I908" s="50"/>
      <c r="J908" s="21"/>
      <c r="K908" s="21"/>
      <c r="L908" s="50"/>
      <c r="M908" s="51"/>
      <c r="N908" s="21"/>
      <c r="O908" s="50"/>
      <c r="P908" s="21"/>
      <c r="Q908" s="50"/>
      <c r="R908" s="21"/>
      <c r="S908" s="21"/>
      <c r="T908" s="50"/>
      <c r="U908" s="51">
        <f t="shared" si="144"/>
        <v>0</v>
      </c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>
        <v>295148675</v>
      </c>
      <c r="AZ908" s="51"/>
      <c r="BA908" s="51">
        <f>VLOOKUP(B908,[1]Hoja3!J$3:K$674,2,0)</f>
        <v>490419491</v>
      </c>
      <c r="BB908" s="51"/>
      <c r="BC908" s="52">
        <f t="shared" si="147"/>
        <v>785568166</v>
      </c>
      <c r="BD908" s="51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>
        <v>59029735</v>
      </c>
      <c r="BO908" s="51"/>
      <c r="BP908" s="52">
        <v>844597901</v>
      </c>
      <c r="BQ908" s="52"/>
      <c r="BR908" s="52"/>
      <c r="BS908" s="52"/>
      <c r="BT908" s="52"/>
      <c r="BU908" s="52"/>
      <c r="BV908" s="52"/>
      <c r="BW908" s="52"/>
      <c r="BX908" s="52"/>
      <c r="BY908" s="52"/>
      <c r="BZ908" s="52"/>
      <c r="CA908" s="52"/>
      <c r="CB908" s="52"/>
      <c r="CC908" s="52">
        <v>59029735</v>
      </c>
      <c r="CD908" s="52"/>
      <c r="CE908" s="52"/>
      <c r="CF908" s="52"/>
      <c r="CG908" s="52">
        <f t="shared" si="148"/>
        <v>903627636</v>
      </c>
      <c r="CH908" s="52"/>
      <c r="CI908" s="52"/>
      <c r="CJ908" s="52"/>
      <c r="CK908" s="52"/>
      <c r="CL908" s="52"/>
      <c r="CM908" s="52"/>
      <c r="CN908" s="52"/>
      <c r="CO908" s="52"/>
      <c r="CP908" s="52"/>
      <c r="CQ908" s="52">
        <v>59029735</v>
      </c>
      <c r="CR908" s="52"/>
      <c r="CS908" s="52">
        <f t="shared" si="145"/>
        <v>962657371</v>
      </c>
      <c r="CT908" s="53">
        <v>472237880</v>
      </c>
      <c r="CU908" s="53">
        <f t="shared" si="146"/>
        <v>490419491</v>
      </c>
      <c r="CV908" s="54">
        <f t="shared" si="149"/>
        <v>962657371</v>
      </c>
      <c r="CW908" s="55">
        <f t="shared" si="150"/>
        <v>0</v>
      </c>
      <c r="CX908" s="16"/>
      <c r="CY908" s="16"/>
      <c r="CZ908" s="16"/>
    </row>
    <row r="909" spans="1:108" ht="15" customHeight="1" x14ac:dyDescent="0.2">
      <c r="A909" s="1">
        <v>8190037629</v>
      </c>
      <c r="B909" s="1">
        <v>819003762</v>
      </c>
      <c r="C909" s="9">
        <v>212047720</v>
      </c>
      <c r="D909" s="10" t="s">
        <v>661</v>
      </c>
      <c r="E909" s="46" t="s">
        <v>1681</v>
      </c>
      <c r="F909" s="21"/>
      <c r="G909" s="50"/>
      <c r="H909" s="21"/>
      <c r="I909" s="50"/>
      <c r="J909" s="21"/>
      <c r="K909" s="21"/>
      <c r="L909" s="50"/>
      <c r="M909" s="51"/>
      <c r="N909" s="21"/>
      <c r="O909" s="50"/>
      <c r="P909" s="21"/>
      <c r="Q909" s="50"/>
      <c r="R909" s="21"/>
      <c r="S909" s="21"/>
      <c r="T909" s="50"/>
      <c r="U909" s="51">
        <f t="shared" si="144"/>
        <v>0</v>
      </c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>
        <v>251052219</v>
      </c>
      <c r="AN909" s="51">
        <f>SUBTOTAL(9,AC909:AM909)</f>
        <v>251052219</v>
      </c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2">
        <f t="shared" si="147"/>
        <v>251052219</v>
      </c>
      <c r="BD909" s="51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>
        <v>0</v>
      </c>
      <c r="BO909" s="51"/>
      <c r="BP909" s="52">
        <v>251052219</v>
      </c>
      <c r="BQ909" s="52"/>
      <c r="BR909" s="52"/>
      <c r="BS909" s="52"/>
      <c r="BT909" s="52"/>
      <c r="BU909" s="52"/>
      <c r="BV909" s="52"/>
      <c r="BW909" s="52"/>
      <c r="BX909" s="52"/>
      <c r="BY909" s="52"/>
      <c r="BZ909" s="52"/>
      <c r="CA909" s="52"/>
      <c r="CB909" s="52"/>
      <c r="CC909" s="52">
        <v>251758241</v>
      </c>
      <c r="CD909" s="52"/>
      <c r="CE909" s="52"/>
      <c r="CF909" s="52"/>
      <c r="CG909" s="52">
        <f t="shared" si="148"/>
        <v>502810460</v>
      </c>
      <c r="CH909" s="52"/>
      <c r="CI909" s="52"/>
      <c r="CJ909" s="52"/>
      <c r="CK909" s="52"/>
      <c r="CL909" s="52"/>
      <c r="CM909" s="52"/>
      <c r="CN909" s="52"/>
      <c r="CO909" s="52"/>
      <c r="CP909" s="52"/>
      <c r="CQ909" s="52">
        <v>35965463</v>
      </c>
      <c r="CR909" s="52"/>
      <c r="CS909" s="52">
        <f t="shared" si="145"/>
        <v>538775923</v>
      </c>
      <c r="CT909" s="53">
        <v>287723704</v>
      </c>
      <c r="CU909" s="53">
        <f t="shared" si="146"/>
        <v>251052219</v>
      </c>
      <c r="CV909" s="54">
        <f t="shared" si="149"/>
        <v>538775923</v>
      </c>
      <c r="CW909" s="55">
        <f t="shared" si="150"/>
        <v>0</v>
      </c>
      <c r="CX909" s="16"/>
      <c r="CY909" s="16"/>
      <c r="CZ909" s="16"/>
    </row>
    <row r="910" spans="1:108" ht="15" customHeight="1" x14ac:dyDescent="0.2">
      <c r="A910" s="1">
        <v>8909803441</v>
      </c>
      <c r="B910" s="1">
        <v>890980344</v>
      </c>
      <c r="C910" s="9">
        <v>217905679</v>
      </c>
      <c r="D910" s="10" t="s">
        <v>137</v>
      </c>
      <c r="E910" s="46" t="s">
        <v>1166</v>
      </c>
      <c r="F910" s="21"/>
      <c r="G910" s="50"/>
      <c r="H910" s="21"/>
      <c r="I910" s="50"/>
      <c r="J910" s="21"/>
      <c r="K910" s="21"/>
      <c r="L910" s="50"/>
      <c r="M910" s="51"/>
      <c r="N910" s="21"/>
      <c r="O910" s="50"/>
      <c r="P910" s="21"/>
      <c r="Q910" s="50"/>
      <c r="R910" s="21"/>
      <c r="S910" s="21"/>
      <c r="T910" s="50"/>
      <c r="U910" s="51">
        <f t="shared" si="144"/>
        <v>0</v>
      </c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>
        <v>308030083</v>
      </c>
      <c r="AN910" s="51">
        <f>SUBTOTAL(9,AC910:AM910)</f>
        <v>308030083</v>
      </c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2">
        <f t="shared" si="147"/>
        <v>308030083</v>
      </c>
      <c r="BD910" s="51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>
        <v>0</v>
      </c>
      <c r="BO910" s="51"/>
      <c r="BP910" s="52">
        <v>308030083</v>
      </c>
      <c r="BQ910" s="52"/>
      <c r="BR910" s="52"/>
      <c r="BS910" s="52"/>
      <c r="BT910" s="52"/>
      <c r="BU910" s="52"/>
      <c r="BV910" s="52"/>
      <c r="BW910" s="52"/>
      <c r="BX910" s="52"/>
      <c r="BY910" s="52"/>
      <c r="BZ910" s="52"/>
      <c r="CA910" s="52"/>
      <c r="CB910" s="52"/>
      <c r="CC910" s="52">
        <v>206277435</v>
      </c>
      <c r="CD910" s="52"/>
      <c r="CE910" s="52"/>
      <c r="CF910" s="52"/>
      <c r="CG910" s="52">
        <f t="shared" si="148"/>
        <v>514307518</v>
      </c>
      <c r="CH910" s="52"/>
      <c r="CI910" s="52"/>
      <c r="CJ910" s="52"/>
      <c r="CK910" s="52"/>
      <c r="CL910" s="52"/>
      <c r="CM910" s="52"/>
      <c r="CN910" s="52"/>
      <c r="CO910" s="52"/>
      <c r="CP910" s="52"/>
      <c r="CQ910" s="52">
        <v>29468205</v>
      </c>
      <c r="CR910" s="52"/>
      <c r="CS910" s="52">
        <f t="shared" si="145"/>
        <v>543775723</v>
      </c>
      <c r="CT910" s="53">
        <v>235745640</v>
      </c>
      <c r="CU910" s="53">
        <f t="shared" si="146"/>
        <v>308030083</v>
      </c>
      <c r="CV910" s="54">
        <f t="shared" si="149"/>
        <v>543775723</v>
      </c>
      <c r="CW910" s="55">
        <f t="shared" si="150"/>
        <v>0</v>
      </c>
      <c r="CX910" s="16"/>
      <c r="CY910" s="16"/>
      <c r="CZ910" s="16"/>
    </row>
    <row r="911" spans="1:108" ht="15" customHeight="1" x14ac:dyDescent="0.2">
      <c r="A911" s="1">
        <v>8000991471</v>
      </c>
      <c r="B911" s="1">
        <v>800099147</v>
      </c>
      <c r="C911" s="9">
        <v>219652696</v>
      </c>
      <c r="D911" s="10" t="s">
        <v>744</v>
      </c>
      <c r="E911" s="46" t="s">
        <v>1764</v>
      </c>
      <c r="F911" s="21"/>
      <c r="G911" s="50"/>
      <c r="H911" s="21"/>
      <c r="I911" s="50"/>
      <c r="J911" s="21"/>
      <c r="K911" s="21"/>
      <c r="L911" s="50"/>
      <c r="M911" s="51"/>
      <c r="N911" s="21"/>
      <c r="O911" s="50"/>
      <c r="P911" s="21"/>
      <c r="Q911" s="50"/>
      <c r="R911" s="21"/>
      <c r="S911" s="21"/>
      <c r="T911" s="50"/>
      <c r="U911" s="51">
        <f t="shared" si="144"/>
        <v>0</v>
      </c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>
        <v>250875405</v>
      </c>
      <c r="AZ911" s="51"/>
      <c r="BA911" s="51">
        <f>VLOOKUP(B911,[1]Hoja3!J$3:K$674,2,0)</f>
        <v>241302020</v>
      </c>
      <c r="BB911" s="51"/>
      <c r="BC911" s="52">
        <f t="shared" si="147"/>
        <v>492177425</v>
      </c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>
        <v>50175081</v>
      </c>
      <c r="BO911" s="51"/>
      <c r="BP911" s="52">
        <v>542352506</v>
      </c>
      <c r="BQ911" s="52"/>
      <c r="BR911" s="52"/>
      <c r="BS911" s="52"/>
      <c r="BT911" s="52"/>
      <c r="BU911" s="52"/>
      <c r="BV911" s="52"/>
      <c r="BW911" s="52"/>
      <c r="BX911" s="52"/>
      <c r="BY911" s="52"/>
      <c r="BZ911" s="52"/>
      <c r="CA911" s="52"/>
      <c r="CB911" s="52"/>
      <c r="CC911" s="52">
        <v>50175081</v>
      </c>
      <c r="CD911" s="52"/>
      <c r="CE911" s="52"/>
      <c r="CF911" s="52"/>
      <c r="CG911" s="52">
        <f t="shared" si="148"/>
        <v>592527587</v>
      </c>
      <c r="CH911" s="52"/>
      <c r="CI911" s="52"/>
      <c r="CJ911" s="52"/>
      <c r="CK911" s="52"/>
      <c r="CL911" s="52"/>
      <c r="CM911" s="52"/>
      <c r="CN911" s="52"/>
      <c r="CO911" s="52"/>
      <c r="CP911" s="52"/>
      <c r="CQ911" s="52">
        <v>50175081</v>
      </c>
      <c r="CR911" s="52"/>
      <c r="CS911" s="52">
        <f t="shared" si="145"/>
        <v>642702668</v>
      </c>
      <c r="CT911" s="53">
        <v>401400648</v>
      </c>
      <c r="CU911" s="53">
        <f t="shared" si="146"/>
        <v>241302020</v>
      </c>
      <c r="CV911" s="54">
        <f t="shared" si="149"/>
        <v>642702668</v>
      </c>
      <c r="CW911" s="55">
        <f t="shared" si="150"/>
        <v>0</v>
      </c>
      <c r="CX911" s="16"/>
      <c r="CY911" s="8"/>
      <c r="CZ911" s="8"/>
      <c r="DA911" s="8"/>
      <c r="DB911" s="8"/>
      <c r="DC911" s="8"/>
      <c r="DD911" s="8"/>
    </row>
    <row r="912" spans="1:108" ht="15" customHeight="1" x14ac:dyDescent="0.2">
      <c r="A912" s="1">
        <v>8902059731</v>
      </c>
      <c r="B912" s="1">
        <v>890205973</v>
      </c>
      <c r="C912" s="9">
        <v>210568705</v>
      </c>
      <c r="D912" s="10" t="s">
        <v>878</v>
      </c>
      <c r="E912" s="46" t="s">
        <v>1891</v>
      </c>
      <c r="F912" s="21"/>
      <c r="G912" s="50"/>
      <c r="H912" s="21"/>
      <c r="I912" s="50"/>
      <c r="J912" s="21"/>
      <c r="K912" s="21"/>
      <c r="L912" s="50"/>
      <c r="M912" s="51"/>
      <c r="N912" s="21"/>
      <c r="O912" s="50"/>
      <c r="P912" s="21"/>
      <c r="Q912" s="50"/>
      <c r="R912" s="21"/>
      <c r="S912" s="21"/>
      <c r="T912" s="50"/>
      <c r="U912" s="51">
        <f t="shared" si="144"/>
        <v>0</v>
      </c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>
        <v>14703820</v>
      </c>
      <c r="AZ912" s="51"/>
      <c r="BA912" s="51">
        <f>VLOOKUP(B912,[1]Hoja3!J$3:K$674,2,0)</f>
        <v>33029784</v>
      </c>
      <c r="BB912" s="51"/>
      <c r="BC912" s="52">
        <f t="shared" si="147"/>
        <v>47733604</v>
      </c>
      <c r="BD912" s="51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>
        <v>2940764</v>
      </c>
      <c r="BO912" s="51"/>
      <c r="BP912" s="52">
        <v>50674368</v>
      </c>
      <c r="BQ912" s="52"/>
      <c r="BR912" s="52"/>
      <c r="BS912" s="52"/>
      <c r="BT912" s="52"/>
      <c r="BU912" s="52"/>
      <c r="BV912" s="52"/>
      <c r="BW912" s="52"/>
      <c r="BX912" s="52"/>
      <c r="BY912" s="52"/>
      <c r="BZ912" s="52"/>
      <c r="CA912" s="52"/>
      <c r="CB912" s="52"/>
      <c r="CC912" s="52">
        <v>2940764</v>
      </c>
      <c r="CD912" s="52"/>
      <c r="CE912" s="52"/>
      <c r="CF912" s="52"/>
      <c r="CG912" s="52">
        <f t="shared" si="148"/>
        <v>53615132</v>
      </c>
      <c r="CH912" s="52"/>
      <c r="CI912" s="52"/>
      <c r="CJ912" s="52"/>
      <c r="CK912" s="52"/>
      <c r="CL912" s="52"/>
      <c r="CM912" s="52"/>
      <c r="CN912" s="52"/>
      <c r="CO912" s="52"/>
      <c r="CP912" s="52"/>
      <c r="CQ912" s="52">
        <v>2940764</v>
      </c>
      <c r="CR912" s="52"/>
      <c r="CS912" s="52">
        <f t="shared" si="145"/>
        <v>56555896</v>
      </c>
      <c r="CT912" s="53">
        <v>23526112</v>
      </c>
      <c r="CU912" s="53">
        <f t="shared" si="146"/>
        <v>33029784</v>
      </c>
      <c r="CV912" s="54">
        <f t="shared" si="149"/>
        <v>56555896</v>
      </c>
      <c r="CW912" s="55">
        <f t="shared" si="150"/>
        <v>0</v>
      </c>
      <c r="CX912" s="16"/>
      <c r="CY912" s="8"/>
      <c r="CZ912" s="8"/>
      <c r="DA912" s="8"/>
      <c r="DB912" s="8"/>
      <c r="DC912" s="8"/>
      <c r="DD912" s="8"/>
    </row>
    <row r="913" spans="1:108" ht="15" customHeight="1" x14ac:dyDescent="0.2">
      <c r="A913" s="1">
        <v>8904800695</v>
      </c>
      <c r="B913" s="1">
        <v>890480069</v>
      </c>
      <c r="C913" s="9">
        <v>217313673</v>
      </c>
      <c r="D913" s="10" t="s">
        <v>207</v>
      </c>
      <c r="E913" s="46" t="s">
        <v>1241</v>
      </c>
      <c r="F913" s="21"/>
      <c r="G913" s="50"/>
      <c r="H913" s="21"/>
      <c r="I913" s="50"/>
      <c r="J913" s="21"/>
      <c r="K913" s="21"/>
      <c r="L913" s="50"/>
      <c r="M913" s="51"/>
      <c r="N913" s="21"/>
      <c r="O913" s="50"/>
      <c r="P913" s="21"/>
      <c r="Q913" s="50"/>
      <c r="R913" s="21"/>
      <c r="S913" s="21"/>
      <c r="T913" s="50"/>
      <c r="U913" s="51">
        <f t="shared" si="144"/>
        <v>0</v>
      </c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>
        <v>120105490</v>
      </c>
      <c r="AZ913" s="51"/>
      <c r="BA913" s="51">
        <f>VLOOKUP(B913,[1]Hoja3!J$3:K$674,2,0)</f>
        <v>256754497</v>
      </c>
      <c r="BB913" s="51"/>
      <c r="BC913" s="52">
        <f t="shared" si="147"/>
        <v>376859987</v>
      </c>
      <c r="BD913" s="51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>
        <v>24021098</v>
      </c>
      <c r="BO913" s="51"/>
      <c r="BP913" s="52">
        <v>400881085</v>
      </c>
      <c r="BQ913" s="52"/>
      <c r="BR913" s="52"/>
      <c r="BS913" s="52"/>
      <c r="BT913" s="52"/>
      <c r="BU913" s="52"/>
      <c r="BV913" s="52"/>
      <c r="BW913" s="52"/>
      <c r="BX913" s="52"/>
      <c r="BY913" s="52"/>
      <c r="BZ913" s="52"/>
      <c r="CA913" s="52"/>
      <c r="CB913" s="52"/>
      <c r="CC913" s="52">
        <v>24021098</v>
      </c>
      <c r="CD913" s="52"/>
      <c r="CE913" s="52"/>
      <c r="CF913" s="52"/>
      <c r="CG913" s="52">
        <f t="shared" si="148"/>
        <v>424902183</v>
      </c>
      <c r="CH913" s="52"/>
      <c r="CI913" s="52"/>
      <c r="CJ913" s="52"/>
      <c r="CK913" s="52"/>
      <c r="CL913" s="52"/>
      <c r="CM913" s="52"/>
      <c r="CN913" s="52"/>
      <c r="CO913" s="52"/>
      <c r="CP913" s="52"/>
      <c r="CQ913" s="52">
        <v>24021098</v>
      </c>
      <c r="CR913" s="52"/>
      <c r="CS913" s="52">
        <f t="shared" si="145"/>
        <v>448923281</v>
      </c>
      <c r="CT913" s="53">
        <v>192168784</v>
      </c>
      <c r="CU913" s="53">
        <f t="shared" si="146"/>
        <v>256754497</v>
      </c>
      <c r="CV913" s="54">
        <f t="shared" si="149"/>
        <v>448923281</v>
      </c>
      <c r="CW913" s="55">
        <f t="shared" si="150"/>
        <v>0</v>
      </c>
      <c r="CX913" s="16"/>
      <c r="CY913" s="8"/>
      <c r="CZ913" s="8"/>
      <c r="DA913" s="8"/>
      <c r="DB913" s="8"/>
      <c r="DC913" s="8"/>
      <c r="DD913" s="8"/>
    </row>
    <row r="914" spans="1:108" ht="15" customHeight="1" x14ac:dyDescent="0.2">
      <c r="A914" s="1">
        <v>8000998329</v>
      </c>
      <c r="B914" s="1">
        <v>800099832</v>
      </c>
      <c r="C914" s="9">
        <v>212068720</v>
      </c>
      <c r="D914" s="10" t="s">
        <v>879</v>
      </c>
      <c r="E914" s="46" t="s">
        <v>1892</v>
      </c>
      <c r="F914" s="21"/>
      <c r="G914" s="50"/>
      <c r="H914" s="21"/>
      <c r="I914" s="50"/>
      <c r="J914" s="21"/>
      <c r="K914" s="21"/>
      <c r="L914" s="50"/>
      <c r="M914" s="51"/>
      <c r="N914" s="21"/>
      <c r="O914" s="50"/>
      <c r="P914" s="21"/>
      <c r="Q914" s="50"/>
      <c r="R914" s="21"/>
      <c r="S914" s="21"/>
      <c r="T914" s="50"/>
      <c r="U914" s="51">
        <f t="shared" si="144"/>
        <v>0</v>
      </c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>
        <v>32410972</v>
      </c>
      <c r="AN914" s="51">
        <f>SUBTOTAL(9,AC914:AM914)</f>
        <v>32410972</v>
      </c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>
        <v>30780420</v>
      </c>
      <c r="AZ914" s="51"/>
      <c r="BA914" s="51">
        <f>VLOOKUP(B914,[1]Hoja3!J$3:K$674,2,0)</f>
        <v>26437089</v>
      </c>
      <c r="BB914" s="51"/>
      <c r="BC914" s="52">
        <f t="shared" si="147"/>
        <v>89628481</v>
      </c>
      <c r="BD914" s="51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>
        <v>6156084</v>
      </c>
      <c r="BO914" s="51"/>
      <c r="BP914" s="52">
        <v>95784565</v>
      </c>
      <c r="BQ914" s="52"/>
      <c r="BR914" s="52"/>
      <c r="BS914" s="52"/>
      <c r="BT914" s="52"/>
      <c r="BU914" s="52"/>
      <c r="BV914" s="52"/>
      <c r="BW914" s="52"/>
      <c r="BX914" s="52"/>
      <c r="BY914" s="52"/>
      <c r="BZ914" s="52"/>
      <c r="CA914" s="52"/>
      <c r="CB914" s="52"/>
      <c r="CC914" s="52">
        <v>6156084</v>
      </c>
      <c r="CD914" s="52"/>
      <c r="CE914" s="52"/>
      <c r="CF914" s="52"/>
      <c r="CG914" s="52">
        <f t="shared" si="148"/>
        <v>101940649</v>
      </c>
      <c r="CH914" s="52"/>
      <c r="CI914" s="52"/>
      <c r="CJ914" s="52"/>
      <c r="CK914" s="52"/>
      <c r="CL914" s="52"/>
      <c r="CM914" s="52"/>
      <c r="CN914" s="52"/>
      <c r="CO914" s="52"/>
      <c r="CP914" s="52"/>
      <c r="CQ914" s="52">
        <v>6156084</v>
      </c>
      <c r="CR914" s="52"/>
      <c r="CS914" s="52">
        <f t="shared" si="145"/>
        <v>108096733</v>
      </c>
      <c r="CT914" s="53">
        <v>49248672</v>
      </c>
      <c r="CU914" s="53">
        <f t="shared" si="146"/>
        <v>58848061</v>
      </c>
      <c r="CV914" s="54">
        <f t="shared" si="149"/>
        <v>108096733</v>
      </c>
      <c r="CW914" s="55">
        <f t="shared" si="150"/>
        <v>0</v>
      </c>
      <c r="CX914" s="16"/>
      <c r="CY914" s="16"/>
      <c r="CZ914" s="16"/>
    </row>
    <row r="915" spans="1:108" ht="15" customHeight="1" x14ac:dyDescent="0.2">
      <c r="A915" s="1">
        <v>8900720441</v>
      </c>
      <c r="B915" s="1">
        <v>890072044</v>
      </c>
      <c r="C915" s="9">
        <v>218673686</v>
      </c>
      <c r="D915" s="10" t="s">
        <v>2239</v>
      </c>
      <c r="E915" s="46" t="s">
        <v>1967</v>
      </c>
      <c r="F915" s="21"/>
      <c r="G915" s="50"/>
      <c r="H915" s="21"/>
      <c r="I915" s="50"/>
      <c r="J915" s="21"/>
      <c r="K915" s="21"/>
      <c r="L915" s="50"/>
      <c r="M915" s="51"/>
      <c r="N915" s="21"/>
      <c r="O915" s="50"/>
      <c r="P915" s="21"/>
      <c r="Q915" s="50"/>
      <c r="R915" s="21"/>
      <c r="S915" s="21"/>
      <c r="T915" s="50"/>
      <c r="U915" s="51">
        <f t="shared" si="144"/>
        <v>0</v>
      </c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>
        <v>52195685</v>
      </c>
      <c r="AZ915" s="51"/>
      <c r="BA915" s="51">
        <f>VLOOKUP(B915,[1]Hoja3!J$3:K$674,2,0)</f>
        <v>109728709</v>
      </c>
      <c r="BB915" s="51"/>
      <c r="BC915" s="52">
        <f t="shared" si="147"/>
        <v>161924394</v>
      </c>
      <c r="BD915" s="51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>
        <v>10439137</v>
      </c>
      <c r="BO915" s="51"/>
      <c r="BP915" s="52">
        <v>172363531</v>
      </c>
      <c r="BQ915" s="52"/>
      <c r="BR915" s="52"/>
      <c r="BS915" s="52"/>
      <c r="BT915" s="52"/>
      <c r="BU915" s="52"/>
      <c r="BV915" s="52"/>
      <c r="BW915" s="52"/>
      <c r="BX915" s="52"/>
      <c r="BY915" s="52"/>
      <c r="BZ915" s="52"/>
      <c r="CA915" s="52"/>
      <c r="CB915" s="52"/>
      <c r="CC915" s="52">
        <v>10439137</v>
      </c>
      <c r="CD915" s="52"/>
      <c r="CE915" s="52"/>
      <c r="CF915" s="52"/>
      <c r="CG915" s="52">
        <f t="shared" si="148"/>
        <v>182802668</v>
      </c>
      <c r="CH915" s="52"/>
      <c r="CI915" s="52"/>
      <c r="CJ915" s="52"/>
      <c r="CK915" s="52"/>
      <c r="CL915" s="52"/>
      <c r="CM915" s="52"/>
      <c r="CN915" s="52"/>
      <c r="CO915" s="52"/>
      <c r="CP915" s="52"/>
      <c r="CQ915" s="52">
        <v>10439137</v>
      </c>
      <c r="CR915" s="52"/>
      <c r="CS915" s="52">
        <f t="shared" si="145"/>
        <v>193241805</v>
      </c>
      <c r="CT915" s="53">
        <v>83513096</v>
      </c>
      <c r="CU915" s="53">
        <f t="shared" si="146"/>
        <v>109728709</v>
      </c>
      <c r="CV915" s="54">
        <f t="shared" si="149"/>
        <v>193241805</v>
      </c>
      <c r="CW915" s="55">
        <f t="shared" si="150"/>
        <v>0</v>
      </c>
      <c r="CX915" s="16"/>
      <c r="CY915" s="16"/>
      <c r="CZ915" s="16"/>
    </row>
    <row r="916" spans="1:108" ht="15" customHeight="1" x14ac:dyDescent="0.2">
      <c r="A916" s="1">
        <v>8000192541</v>
      </c>
      <c r="B916" s="1">
        <v>800019254</v>
      </c>
      <c r="C916" s="9">
        <v>217508675</v>
      </c>
      <c r="D916" s="10" t="s">
        <v>176</v>
      </c>
      <c r="E916" s="46" t="s">
        <v>1205</v>
      </c>
      <c r="F916" s="21"/>
      <c r="G916" s="50"/>
      <c r="H916" s="21"/>
      <c r="I916" s="50"/>
      <c r="J916" s="21"/>
      <c r="K916" s="21"/>
      <c r="L916" s="50"/>
      <c r="M916" s="51"/>
      <c r="N916" s="21"/>
      <c r="O916" s="50"/>
      <c r="P916" s="21"/>
      <c r="Q916" s="50"/>
      <c r="R916" s="21"/>
      <c r="S916" s="21"/>
      <c r="T916" s="50"/>
      <c r="U916" s="51">
        <f t="shared" si="144"/>
        <v>0</v>
      </c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>
        <v>187275648</v>
      </c>
      <c r="AN916" s="51">
        <f>SUBTOTAL(9,AC916:AM916)</f>
        <v>187275648</v>
      </c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>
        <v>118763035</v>
      </c>
      <c r="AZ916" s="51"/>
      <c r="BA916" s="51">
        <f>VLOOKUP(B916,[1]Hoja3!J$3:K$674,2,0)</f>
        <v>40134952</v>
      </c>
      <c r="BB916" s="51"/>
      <c r="BC916" s="52">
        <f t="shared" si="147"/>
        <v>346173635</v>
      </c>
      <c r="BD916" s="51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>
        <v>23752607</v>
      </c>
      <c r="BO916" s="51"/>
      <c r="BP916" s="52">
        <v>369926242</v>
      </c>
      <c r="BQ916" s="52"/>
      <c r="BR916" s="52"/>
      <c r="BS916" s="52"/>
      <c r="BT916" s="52"/>
      <c r="BU916" s="52"/>
      <c r="BV916" s="52"/>
      <c r="BW916" s="52"/>
      <c r="BX916" s="52"/>
      <c r="BY916" s="52"/>
      <c r="BZ916" s="52"/>
      <c r="CA916" s="52"/>
      <c r="CB916" s="52"/>
      <c r="CC916" s="52">
        <v>23752607</v>
      </c>
      <c r="CD916" s="52"/>
      <c r="CE916" s="52"/>
      <c r="CF916" s="52"/>
      <c r="CG916" s="52">
        <f t="shared" si="148"/>
        <v>393678849</v>
      </c>
      <c r="CH916" s="52"/>
      <c r="CI916" s="52"/>
      <c r="CJ916" s="52"/>
      <c r="CK916" s="52"/>
      <c r="CL916" s="52"/>
      <c r="CM916" s="52"/>
      <c r="CN916" s="52"/>
      <c r="CO916" s="52"/>
      <c r="CP916" s="52"/>
      <c r="CQ916" s="52">
        <v>23752607</v>
      </c>
      <c r="CR916" s="52"/>
      <c r="CS916" s="52">
        <f t="shared" si="145"/>
        <v>417431456</v>
      </c>
      <c r="CT916" s="53">
        <v>190020856</v>
      </c>
      <c r="CU916" s="53">
        <f t="shared" si="146"/>
        <v>227410600</v>
      </c>
      <c r="CV916" s="54">
        <f t="shared" si="149"/>
        <v>417431456</v>
      </c>
      <c r="CW916" s="55">
        <f t="shared" si="150"/>
        <v>0</v>
      </c>
      <c r="CX916" s="16"/>
      <c r="CY916" s="16"/>
      <c r="CZ916" s="16"/>
    </row>
    <row r="917" spans="1:108" ht="15" customHeight="1" x14ac:dyDescent="0.2">
      <c r="A917" s="1">
        <v>8000293866</v>
      </c>
      <c r="B917" s="1">
        <v>800029386</v>
      </c>
      <c r="C917" s="9">
        <v>219015690</v>
      </c>
      <c r="D917" s="10" t="s">
        <v>303</v>
      </c>
      <c r="E917" s="46" t="s">
        <v>1334</v>
      </c>
      <c r="F917" s="21"/>
      <c r="G917" s="50"/>
      <c r="H917" s="21"/>
      <c r="I917" s="50"/>
      <c r="J917" s="21"/>
      <c r="K917" s="21"/>
      <c r="L917" s="50"/>
      <c r="M917" s="51"/>
      <c r="N917" s="21"/>
      <c r="O917" s="50"/>
      <c r="P917" s="21"/>
      <c r="Q917" s="50"/>
      <c r="R917" s="21"/>
      <c r="S917" s="21"/>
      <c r="T917" s="50"/>
      <c r="U917" s="51">
        <f t="shared" si="144"/>
        <v>0</v>
      </c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>
        <v>49485917</v>
      </c>
      <c r="AN917" s="51">
        <f>SUBTOTAL(9,AC917:AM917)</f>
        <v>49485917</v>
      </c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2">
        <f t="shared" si="147"/>
        <v>49485917</v>
      </c>
      <c r="BD917" s="51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>
        <v>0</v>
      </c>
      <c r="BO917" s="51"/>
      <c r="BP917" s="52">
        <v>49485917</v>
      </c>
      <c r="BQ917" s="52"/>
      <c r="BR917" s="52"/>
      <c r="BS917" s="52"/>
      <c r="BT917" s="52"/>
      <c r="BU917" s="52"/>
      <c r="BV917" s="52"/>
      <c r="BW917" s="52"/>
      <c r="BX917" s="52"/>
      <c r="BY917" s="52"/>
      <c r="BZ917" s="52"/>
      <c r="CA917" s="52"/>
      <c r="CB917" s="52"/>
      <c r="CC917" s="52">
        <v>44265438</v>
      </c>
      <c r="CD917" s="52"/>
      <c r="CE917" s="52"/>
      <c r="CF917" s="52"/>
      <c r="CG917" s="52">
        <f t="shared" si="148"/>
        <v>93751355</v>
      </c>
      <c r="CH917" s="52"/>
      <c r="CI917" s="52"/>
      <c r="CJ917" s="52"/>
      <c r="CK917" s="52"/>
      <c r="CL917" s="52"/>
      <c r="CM917" s="52"/>
      <c r="CN917" s="52"/>
      <c r="CO917" s="52"/>
      <c r="CP917" s="52"/>
      <c r="CQ917" s="52">
        <v>6323634</v>
      </c>
      <c r="CR917" s="52"/>
      <c r="CS917" s="52">
        <f t="shared" si="145"/>
        <v>100074989</v>
      </c>
      <c r="CT917" s="53">
        <v>50589072</v>
      </c>
      <c r="CU917" s="53">
        <f t="shared" si="146"/>
        <v>49485917</v>
      </c>
      <c r="CV917" s="54">
        <f t="shared" si="149"/>
        <v>100074989</v>
      </c>
      <c r="CW917" s="55">
        <f t="shared" si="150"/>
        <v>0</v>
      </c>
      <c r="CX917" s="16"/>
      <c r="CY917" s="8"/>
      <c r="CZ917" s="8"/>
      <c r="DA917" s="8"/>
      <c r="DB917" s="8"/>
      <c r="DC917" s="8"/>
      <c r="DD917" s="8"/>
    </row>
    <row r="918" spans="1:108" ht="15" customHeight="1" x14ac:dyDescent="0.2">
      <c r="A918" s="1">
        <v>8911800763</v>
      </c>
      <c r="B918" s="1">
        <v>891180076</v>
      </c>
      <c r="C918" s="9">
        <v>217641676</v>
      </c>
      <c r="D918" s="10" t="s">
        <v>620</v>
      </c>
      <c r="E918" s="46" t="s">
        <v>1639</v>
      </c>
      <c r="F918" s="21"/>
      <c r="G918" s="50"/>
      <c r="H918" s="21"/>
      <c r="I918" s="50"/>
      <c r="J918" s="21"/>
      <c r="K918" s="21"/>
      <c r="L918" s="50"/>
      <c r="M918" s="51"/>
      <c r="N918" s="21"/>
      <c r="O918" s="50"/>
      <c r="P918" s="21"/>
      <c r="Q918" s="50"/>
      <c r="R918" s="21"/>
      <c r="S918" s="21"/>
      <c r="T918" s="50"/>
      <c r="U918" s="51">
        <f t="shared" si="144"/>
        <v>0</v>
      </c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>
        <v>77672630</v>
      </c>
      <c r="AZ918" s="51"/>
      <c r="BA918" s="51">
        <f>VLOOKUP(B918,[1]Hoja3!J$3:K$674,2,0)</f>
        <v>174495129</v>
      </c>
      <c r="BB918" s="51"/>
      <c r="BC918" s="52">
        <f t="shared" si="147"/>
        <v>252167759</v>
      </c>
      <c r="BD918" s="51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>
        <v>15534526</v>
      </c>
      <c r="BO918" s="51"/>
      <c r="BP918" s="52">
        <v>267702285</v>
      </c>
      <c r="BQ918" s="52"/>
      <c r="BR918" s="52"/>
      <c r="BS918" s="52"/>
      <c r="BT918" s="52"/>
      <c r="BU918" s="52"/>
      <c r="BV918" s="52"/>
      <c r="BW918" s="52"/>
      <c r="BX918" s="52"/>
      <c r="BY918" s="52"/>
      <c r="BZ918" s="52"/>
      <c r="CA918" s="52"/>
      <c r="CB918" s="52"/>
      <c r="CC918" s="52">
        <v>15534526</v>
      </c>
      <c r="CD918" s="52"/>
      <c r="CE918" s="52"/>
      <c r="CF918" s="52"/>
      <c r="CG918" s="52">
        <f t="shared" si="148"/>
        <v>283236811</v>
      </c>
      <c r="CH918" s="52"/>
      <c r="CI918" s="52"/>
      <c r="CJ918" s="52"/>
      <c r="CK918" s="52"/>
      <c r="CL918" s="52"/>
      <c r="CM918" s="52"/>
      <c r="CN918" s="52"/>
      <c r="CO918" s="52"/>
      <c r="CP918" s="52"/>
      <c r="CQ918" s="52">
        <v>15534526</v>
      </c>
      <c r="CR918" s="52"/>
      <c r="CS918" s="52">
        <f t="shared" si="145"/>
        <v>298771337</v>
      </c>
      <c r="CT918" s="53">
        <v>124276208</v>
      </c>
      <c r="CU918" s="53">
        <f t="shared" si="146"/>
        <v>174495129</v>
      </c>
      <c r="CV918" s="54">
        <f t="shared" si="149"/>
        <v>298771337</v>
      </c>
      <c r="CW918" s="55">
        <f t="shared" si="150"/>
        <v>0</v>
      </c>
      <c r="CX918" s="16"/>
      <c r="CY918" s="16"/>
      <c r="CZ918" s="16"/>
    </row>
    <row r="919" spans="1:108" ht="15" customHeight="1" x14ac:dyDescent="0.2">
      <c r="A919" s="1">
        <v>8914800334</v>
      </c>
      <c r="B919" s="1">
        <v>891480033</v>
      </c>
      <c r="C919" s="9">
        <v>218266682</v>
      </c>
      <c r="D919" s="10" t="s">
        <v>810</v>
      </c>
      <c r="E919" s="46" t="s">
        <v>1827</v>
      </c>
      <c r="F919" s="21"/>
      <c r="G919" s="50"/>
      <c r="H919" s="21"/>
      <c r="I919" s="50"/>
      <c r="J919" s="21"/>
      <c r="K919" s="21"/>
      <c r="L919" s="50"/>
      <c r="M919" s="51"/>
      <c r="N919" s="21"/>
      <c r="O919" s="50"/>
      <c r="P919" s="21"/>
      <c r="Q919" s="50"/>
      <c r="R919" s="21"/>
      <c r="S919" s="21"/>
      <c r="T919" s="50"/>
      <c r="U919" s="51">
        <f t="shared" si="144"/>
        <v>0</v>
      </c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>
        <v>639661229</v>
      </c>
      <c r="AN919" s="51">
        <f>SUBTOTAL(9,AC919:AM919)</f>
        <v>639661229</v>
      </c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>
        <v>431295360</v>
      </c>
      <c r="AZ919" s="51"/>
      <c r="BA919" s="51">
        <f>VLOOKUP(B919,[1]Hoja3!J$3:K$674,2,0)</f>
        <v>222339069</v>
      </c>
      <c r="BB919" s="51"/>
      <c r="BC919" s="52">
        <f t="shared" si="147"/>
        <v>1293295658</v>
      </c>
      <c r="BD919" s="51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>
        <v>86259072</v>
      </c>
      <c r="BO919" s="51"/>
      <c r="BP919" s="52">
        <v>1379554730</v>
      </c>
      <c r="BQ919" s="52"/>
      <c r="BR919" s="52"/>
      <c r="BS919" s="52"/>
      <c r="BT919" s="52"/>
      <c r="BU919" s="52"/>
      <c r="BV919" s="52"/>
      <c r="BW919" s="52"/>
      <c r="BX919" s="52"/>
      <c r="BY919" s="52"/>
      <c r="BZ919" s="52"/>
      <c r="CA919" s="52"/>
      <c r="CB919" s="52"/>
      <c r="CC919" s="52">
        <v>86259072</v>
      </c>
      <c r="CD919" s="52"/>
      <c r="CE919" s="52"/>
      <c r="CF919" s="52"/>
      <c r="CG919" s="52">
        <f t="shared" si="148"/>
        <v>1465813802</v>
      </c>
      <c r="CH919" s="52"/>
      <c r="CI919" s="52"/>
      <c r="CJ919" s="52"/>
      <c r="CK919" s="52"/>
      <c r="CL919" s="52"/>
      <c r="CM919" s="52"/>
      <c r="CN919" s="52"/>
      <c r="CO919" s="52"/>
      <c r="CP919" s="52"/>
      <c r="CQ919" s="52">
        <v>86259072</v>
      </c>
      <c r="CR919" s="52"/>
      <c r="CS919" s="52">
        <f t="shared" si="145"/>
        <v>1552072874</v>
      </c>
      <c r="CT919" s="53">
        <v>690072576</v>
      </c>
      <c r="CU919" s="53">
        <f t="shared" si="146"/>
        <v>862000298</v>
      </c>
      <c r="CV919" s="54">
        <f t="shared" si="149"/>
        <v>1552072874</v>
      </c>
      <c r="CW919" s="55">
        <f t="shared" si="150"/>
        <v>0</v>
      </c>
      <c r="CX919" s="16"/>
      <c r="CY919" s="16"/>
      <c r="CZ919" s="16"/>
    </row>
    <row r="920" spans="1:108" ht="15" customHeight="1" x14ac:dyDescent="0.2">
      <c r="A920" s="1">
        <v>8909815546</v>
      </c>
      <c r="B920" s="1">
        <v>890981554</v>
      </c>
      <c r="C920" s="9">
        <v>218605686</v>
      </c>
      <c r="D920" s="10" t="s">
        <v>138</v>
      </c>
      <c r="E920" s="46" t="s">
        <v>1167</v>
      </c>
      <c r="F920" s="21"/>
      <c r="G920" s="50"/>
      <c r="H920" s="21"/>
      <c r="I920" s="50"/>
      <c r="J920" s="21"/>
      <c r="K920" s="21"/>
      <c r="L920" s="50"/>
      <c r="M920" s="51"/>
      <c r="N920" s="21"/>
      <c r="O920" s="50"/>
      <c r="P920" s="21"/>
      <c r="Q920" s="50"/>
      <c r="R920" s="21"/>
      <c r="S920" s="21"/>
      <c r="T920" s="50"/>
      <c r="U920" s="51">
        <f t="shared" si="144"/>
        <v>0</v>
      </c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>
        <v>500064114</v>
      </c>
      <c r="AN920" s="51">
        <f>SUBTOTAL(9,AC920:AM920)</f>
        <v>500064114</v>
      </c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>
        <v>199668850</v>
      </c>
      <c r="AZ920" s="51"/>
      <c r="BA920" s="51"/>
      <c r="BB920" s="51"/>
      <c r="BC920" s="52">
        <f t="shared" si="147"/>
        <v>699732964</v>
      </c>
      <c r="BD920" s="51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>
        <v>39933770</v>
      </c>
      <c r="BO920" s="51"/>
      <c r="BP920" s="52">
        <v>739666734</v>
      </c>
      <c r="BQ920" s="52"/>
      <c r="BR920" s="52"/>
      <c r="BS920" s="52"/>
      <c r="BT920" s="52"/>
      <c r="BU920" s="52"/>
      <c r="BV920" s="52"/>
      <c r="BW920" s="52"/>
      <c r="BX920" s="52"/>
      <c r="BY920" s="52"/>
      <c r="BZ920" s="52"/>
      <c r="CA920" s="52"/>
      <c r="CB920" s="52"/>
      <c r="CC920" s="52">
        <v>39933770</v>
      </c>
      <c r="CD920" s="52"/>
      <c r="CE920" s="52"/>
      <c r="CF920" s="52"/>
      <c r="CG920" s="52">
        <f t="shared" si="148"/>
        <v>779600504</v>
      </c>
      <c r="CH920" s="52"/>
      <c r="CI920" s="52"/>
      <c r="CJ920" s="52"/>
      <c r="CK920" s="52"/>
      <c r="CL920" s="52"/>
      <c r="CM920" s="52"/>
      <c r="CN920" s="52"/>
      <c r="CO920" s="52"/>
      <c r="CP920" s="52"/>
      <c r="CQ920" s="52">
        <v>39933770</v>
      </c>
      <c r="CR920" s="52"/>
      <c r="CS920" s="52">
        <f t="shared" si="145"/>
        <v>819534274</v>
      </c>
      <c r="CT920" s="53">
        <v>319470160</v>
      </c>
      <c r="CU920" s="53">
        <f t="shared" si="146"/>
        <v>500064114</v>
      </c>
      <c r="CV920" s="54">
        <f t="shared" si="149"/>
        <v>819534274</v>
      </c>
      <c r="CW920" s="55">
        <f t="shared" si="150"/>
        <v>0</v>
      </c>
      <c r="CX920" s="16"/>
      <c r="CY920" s="16"/>
      <c r="CZ920" s="16"/>
    </row>
    <row r="921" spans="1:108" ht="15" customHeight="1" x14ac:dyDescent="0.2">
      <c r="A921" s="1">
        <v>8000392133</v>
      </c>
      <c r="B921" s="1">
        <v>800039213</v>
      </c>
      <c r="C921" s="9">
        <v>219315693</v>
      </c>
      <c r="D921" s="10" t="s">
        <v>2174</v>
      </c>
      <c r="E921" s="46" t="s">
        <v>1335</v>
      </c>
      <c r="F921" s="21"/>
      <c r="G921" s="50"/>
      <c r="H921" s="21"/>
      <c r="I921" s="50"/>
      <c r="J921" s="21"/>
      <c r="K921" s="21"/>
      <c r="L921" s="50"/>
      <c r="M921" s="51"/>
      <c r="N921" s="21"/>
      <c r="O921" s="50"/>
      <c r="P921" s="21"/>
      <c r="Q921" s="50"/>
      <c r="R921" s="21"/>
      <c r="S921" s="21"/>
      <c r="T921" s="50"/>
      <c r="U921" s="51">
        <f t="shared" si="144"/>
        <v>0</v>
      </c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>
        <v>93165100</v>
      </c>
      <c r="AN921" s="51">
        <f>SUBTOTAL(9,AC921:AM921)</f>
        <v>93165100</v>
      </c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>
        <v>66759640</v>
      </c>
      <c r="AZ921" s="51"/>
      <c r="BA921" s="51">
        <f>VLOOKUP(B921,[1]Hoja3!J$3:K$674,2,0)</f>
        <v>48960403</v>
      </c>
      <c r="BB921" s="51"/>
      <c r="BC921" s="52">
        <f t="shared" si="147"/>
        <v>208885143</v>
      </c>
      <c r="BD921" s="51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>
        <v>13351928</v>
      </c>
      <c r="BO921" s="51"/>
      <c r="BP921" s="52">
        <v>222237071</v>
      </c>
      <c r="BQ921" s="52"/>
      <c r="BR921" s="52"/>
      <c r="BS921" s="52"/>
      <c r="BT921" s="52"/>
      <c r="BU921" s="52"/>
      <c r="BV921" s="52"/>
      <c r="BW921" s="52"/>
      <c r="BX921" s="52"/>
      <c r="BY921" s="52"/>
      <c r="BZ921" s="52"/>
      <c r="CA921" s="52"/>
      <c r="CB921" s="52"/>
      <c r="CC921" s="52">
        <v>13351928</v>
      </c>
      <c r="CD921" s="52"/>
      <c r="CE921" s="52"/>
      <c r="CF921" s="52"/>
      <c r="CG921" s="52">
        <f t="shared" si="148"/>
        <v>235588999</v>
      </c>
      <c r="CH921" s="52"/>
      <c r="CI921" s="52"/>
      <c r="CJ921" s="52"/>
      <c r="CK921" s="52"/>
      <c r="CL921" s="52"/>
      <c r="CM921" s="52"/>
      <c r="CN921" s="52"/>
      <c r="CO921" s="52"/>
      <c r="CP921" s="52"/>
      <c r="CQ921" s="52">
        <v>13351928</v>
      </c>
      <c r="CR921" s="52"/>
      <c r="CS921" s="52">
        <f t="shared" si="145"/>
        <v>248940927</v>
      </c>
      <c r="CT921" s="53">
        <v>106815424</v>
      </c>
      <c r="CU921" s="53">
        <f t="shared" si="146"/>
        <v>142125503</v>
      </c>
      <c r="CV921" s="54">
        <f t="shared" si="149"/>
        <v>248940927</v>
      </c>
      <c r="CW921" s="55">
        <f t="shared" si="150"/>
        <v>0</v>
      </c>
      <c r="CX921" s="16"/>
      <c r="CY921" s="8"/>
      <c r="CZ921" s="8"/>
      <c r="DA921" s="8"/>
      <c r="DB921" s="8"/>
      <c r="DC921" s="8"/>
      <c r="DD921" s="8"/>
    </row>
    <row r="922" spans="1:108" ht="15" customHeight="1" x14ac:dyDescent="0.2">
      <c r="A922" s="1">
        <v>8000490179</v>
      </c>
      <c r="B922" s="1">
        <v>800049017</v>
      </c>
      <c r="C922" s="9">
        <v>218813688</v>
      </c>
      <c r="D922" s="10" t="s">
        <v>2158</v>
      </c>
      <c r="E922" s="46" t="s">
        <v>1243</v>
      </c>
      <c r="F922" s="21"/>
      <c r="G922" s="50"/>
      <c r="H922" s="21"/>
      <c r="I922" s="50"/>
      <c r="J922" s="21"/>
      <c r="K922" s="21"/>
      <c r="L922" s="50"/>
      <c r="M922" s="51"/>
      <c r="N922" s="21"/>
      <c r="O922" s="50"/>
      <c r="P922" s="21"/>
      <c r="Q922" s="50"/>
      <c r="R922" s="21"/>
      <c r="S922" s="21"/>
      <c r="T922" s="50"/>
      <c r="U922" s="51">
        <f t="shared" si="144"/>
        <v>0</v>
      </c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>
        <v>327441885</v>
      </c>
      <c r="AZ922" s="51"/>
      <c r="BA922" s="51">
        <f>VLOOKUP(B922,[1]Hoja3!J$3:K$674,2,0)</f>
        <v>421673913</v>
      </c>
      <c r="BB922" s="51"/>
      <c r="BC922" s="52">
        <f t="shared" si="147"/>
        <v>749115798</v>
      </c>
      <c r="BD922" s="51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>
        <v>65488377</v>
      </c>
      <c r="BO922" s="51"/>
      <c r="BP922" s="52">
        <v>814604175</v>
      </c>
      <c r="BQ922" s="52"/>
      <c r="BR922" s="52"/>
      <c r="BS922" s="52"/>
      <c r="BT922" s="52"/>
      <c r="BU922" s="52"/>
      <c r="BV922" s="52"/>
      <c r="BW922" s="52"/>
      <c r="BX922" s="52"/>
      <c r="BY922" s="52"/>
      <c r="BZ922" s="52"/>
      <c r="CA922" s="52"/>
      <c r="CB922" s="52"/>
      <c r="CC922" s="52">
        <v>65488377</v>
      </c>
      <c r="CD922" s="52"/>
      <c r="CE922" s="52">
        <v>184713058</v>
      </c>
      <c r="CF922" s="52"/>
      <c r="CG922" s="52">
        <f t="shared" si="148"/>
        <v>1064805610</v>
      </c>
      <c r="CH922" s="52"/>
      <c r="CI922" s="52"/>
      <c r="CJ922" s="52"/>
      <c r="CK922" s="52"/>
      <c r="CL922" s="52"/>
      <c r="CM922" s="52"/>
      <c r="CN922" s="52"/>
      <c r="CO922" s="52"/>
      <c r="CP922" s="52"/>
      <c r="CQ922" s="52">
        <v>65488377</v>
      </c>
      <c r="CR922" s="52">
        <v>27818672</v>
      </c>
      <c r="CS922" s="52">
        <f t="shared" si="145"/>
        <v>1158112659</v>
      </c>
      <c r="CT922" s="53">
        <v>523907016</v>
      </c>
      <c r="CU922" s="53">
        <f t="shared" si="146"/>
        <v>634205643</v>
      </c>
      <c r="CV922" s="54">
        <f t="shared" si="149"/>
        <v>1158112659</v>
      </c>
      <c r="CW922" s="55">
        <f t="shared" si="150"/>
        <v>0</v>
      </c>
      <c r="CX922" s="16"/>
      <c r="CY922" s="8"/>
      <c r="CZ922" s="8"/>
      <c r="DA922" s="8"/>
      <c r="DB922" s="8"/>
      <c r="DC922" s="8"/>
      <c r="DD922" s="8"/>
    </row>
    <row r="923" spans="1:108" ht="15" customHeight="1" x14ac:dyDescent="0.2">
      <c r="A923" s="1">
        <v>8904813433</v>
      </c>
      <c r="B923" s="1">
        <v>890481343</v>
      </c>
      <c r="C923" s="9">
        <v>218313683</v>
      </c>
      <c r="D923" s="10" t="s">
        <v>208</v>
      </c>
      <c r="E923" s="46" t="s">
        <v>1242</v>
      </c>
      <c r="F923" s="21"/>
      <c r="G923" s="50"/>
      <c r="H923" s="21"/>
      <c r="I923" s="50"/>
      <c r="J923" s="21"/>
      <c r="K923" s="21"/>
      <c r="L923" s="50"/>
      <c r="M923" s="51"/>
      <c r="N923" s="21"/>
      <c r="O923" s="50"/>
      <c r="P923" s="21"/>
      <c r="Q923" s="50"/>
      <c r="R923" s="21"/>
      <c r="S923" s="21"/>
      <c r="T923" s="50"/>
      <c r="U923" s="51">
        <f t="shared" si="144"/>
        <v>0</v>
      </c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>
        <v>270001380</v>
      </c>
      <c r="AN923" s="51">
        <f>SUBTOTAL(9,AC923:AM923)</f>
        <v>270001380</v>
      </c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>
        <f>VLOOKUP(B923,[1]Hoja3!J$3:K$674,2,0)</f>
        <v>15499828</v>
      </c>
      <c r="BB923" s="51"/>
      <c r="BC923" s="52">
        <f t="shared" si="147"/>
        <v>285501208</v>
      </c>
      <c r="BD923" s="51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>
        <v>52976970</v>
      </c>
      <c r="BO923" s="51"/>
      <c r="BP923" s="52">
        <v>338478178</v>
      </c>
      <c r="BQ923" s="52"/>
      <c r="BR923" s="52"/>
      <c r="BS923" s="52"/>
      <c r="BT923" s="52"/>
      <c r="BU923" s="52"/>
      <c r="BV923" s="52"/>
      <c r="BW923" s="52"/>
      <c r="BX923" s="52"/>
      <c r="BY923" s="52"/>
      <c r="BZ923" s="52"/>
      <c r="CA923" s="52"/>
      <c r="CB923" s="52"/>
      <c r="CC923" s="52">
        <v>52976970</v>
      </c>
      <c r="CD923" s="52">
        <v>264884850</v>
      </c>
      <c r="CE923" s="52"/>
      <c r="CF923" s="52"/>
      <c r="CG923" s="52">
        <f t="shared" si="148"/>
        <v>656339998</v>
      </c>
      <c r="CH923" s="52"/>
      <c r="CI923" s="52"/>
      <c r="CJ923" s="52"/>
      <c r="CK923" s="52"/>
      <c r="CL923" s="52"/>
      <c r="CM923" s="52"/>
      <c r="CN923" s="52"/>
      <c r="CO923" s="52"/>
      <c r="CP923" s="52"/>
      <c r="CQ923" s="52">
        <v>52976970</v>
      </c>
      <c r="CR923" s="52"/>
      <c r="CS923" s="52">
        <f t="shared" si="145"/>
        <v>709316968</v>
      </c>
      <c r="CT923" s="53">
        <v>423815760</v>
      </c>
      <c r="CU923" s="53">
        <f t="shared" si="146"/>
        <v>285501208</v>
      </c>
      <c r="CV923" s="54">
        <f t="shared" si="149"/>
        <v>709316968</v>
      </c>
      <c r="CW923" s="55">
        <f t="shared" si="150"/>
        <v>0</v>
      </c>
      <c r="CX923" s="16"/>
      <c r="CY923" s="16"/>
      <c r="CZ923" s="16"/>
    </row>
    <row r="924" spans="1:108" ht="15" customHeight="1" x14ac:dyDescent="0.2">
      <c r="A924" s="1">
        <v>8000959841</v>
      </c>
      <c r="B924" s="1">
        <v>800095984</v>
      </c>
      <c r="C924" s="9">
        <v>210119701</v>
      </c>
      <c r="D924" s="10" t="s">
        <v>403</v>
      </c>
      <c r="E924" s="46" t="s">
        <v>1432</v>
      </c>
      <c r="F924" s="21"/>
      <c r="G924" s="50"/>
      <c r="H924" s="21"/>
      <c r="I924" s="50"/>
      <c r="J924" s="21"/>
      <c r="K924" s="21"/>
      <c r="L924" s="50"/>
      <c r="M924" s="51"/>
      <c r="N924" s="21"/>
      <c r="O924" s="50"/>
      <c r="P924" s="21"/>
      <c r="Q924" s="50"/>
      <c r="R924" s="21"/>
      <c r="S924" s="21"/>
      <c r="T924" s="50"/>
      <c r="U924" s="51">
        <f t="shared" si="144"/>
        <v>0</v>
      </c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>
        <v>55671853</v>
      </c>
      <c r="AN924" s="51">
        <f>SUBTOTAL(9,AC924:AM924)</f>
        <v>55671853</v>
      </c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2">
        <f t="shared" si="147"/>
        <v>55671853</v>
      </c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>
        <v>12135694</v>
      </c>
      <c r="BO924" s="51"/>
      <c r="BP924" s="52">
        <v>67807547</v>
      </c>
      <c r="BQ924" s="52"/>
      <c r="BR924" s="52"/>
      <c r="BS924" s="52"/>
      <c r="BT924" s="52"/>
      <c r="BU924" s="52"/>
      <c r="BV924" s="52"/>
      <c r="BW924" s="52"/>
      <c r="BX924" s="52"/>
      <c r="BY924" s="52"/>
      <c r="BZ924" s="52"/>
      <c r="CA924" s="52"/>
      <c r="CB924" s="52"/>
      <c r="CC924" s="52">
        <v>12135694</v>
      </c>
      <c r="CD924" s="52">
        <v>60678470</v>
      </c>
      <c r="CE924" s="52"/>
      <c r="CF924" s="52"/>
      <c r="CG924" s="52">
        <f t="shared" si="148"/>
        <v>140621711</v>
      </c>
      <c r="CH924" s="52"/>
      <c r="CI924" s="52"/>
      <c r="CJ924" s="52"/>
      <c r="CK924" s="52"/>
      <c r="CL924" s="52"/>
      <c r="CM924" s="52"/>
      <c r="CN924" s="52"/>
      <c r="CO924" s="52"/>
      <c r="CP924" s="52"/>
      <c r="CQ924" s="52">
        <v>12135694</v>
      </c>
      <c r="CR924" s="52"/>
      <c r="CS924" s="52">
        <f t="shared" si="145"/>
        <v>152757405</v>
      </c>
      <c r="CT924" s="53">
        <v>97085552</v>
      </c>
      <c r="CU924" s="53">
        <f t="shared" si="146"/>
        <v>55671853</v>
      </c>
      <c r="CV924" s="54">
        <f t="shared" si="149"/>
        <v>152757405</v>
      </c>
      <c r="CW924" s="55">
        <f t="shared" si="150"/>
        <v>0</v>
      </c>
      <c r="CX924" s="16"/>
      <c r="CY924" s="8"/>
      <c r="CZ924" s="8"/>
      <c r="DA924" s="8"/>
      <c r="DB924" s="8"/>
      <c r="DC924" s="8"/>
      <c r="DD924" s="8"/>
    </row>
    <row r="925" spans="1:108" ht="15" customHeight="1" x14ac:dyDescent="0.2">
      <c r="A925" s="1">
        <v>8001033181</v>
      </c>
      <c r="B925" s="1">
        <v>800103318</v>
      </c>
      <c r="C925" s="9">
        <v>212499624</v>
      </c>
      <c r="D925" s="10" t="s">
        <v>999</v>
      </c>
      <c r="E925" s="46" t="s">
        <v>2056</v>
      </c>
      <c r="F925" s="21"/>
      <c r="G925" s="50"/>
      <c r="H925" s="21"/>
      <c r="I925" s="50"/>
      <c r="J925" s="21"/>
      <c r="K925" s="21"/>
      <c r="L925" s="50"/>
      <c r="M925" s="51"/>
      <c r="N925" s="21"/>
      <c r="O925" s="50"/>
      <c r="P925" s="21"/>
      <c r="Q925" s="50"/>
      <c r="R925" s="21"/>
      <c r="S925" s="21"/>
      <c r="T925" s="50"/>
      <c r="U925" s="51">
        <f t="shared" si="144"/>
        <v>0</v>
      </c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>
        <f>VLOOKUP(B925,[1]Hoja3!J$3:K$674,2,0)</f>
        <v>82524740</v>
      </c>
      <c r="BB925" s="51"/>
      <c r="BC925" s="52">
        <f t="shared" si="147"/>
        <v>82524740</v>
      </c>
      <c r="BD925" s="51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>
        <v>0</v>
      </c>
      <c r="BO925" s="51"/>
      <c r="BP925" s="52">
        <v>82524740</v>
      </c>
      <c r="BQ925" s="52"/>
      <c r="BR925" s="52"/>
      <c r="BS925" s="52"/>
      <c r="BT925" s="52"/>
      <c r="BU925" s="52"/>
      <c r="BV925" s="52"/>
      <c r="BW925" s="52"/>
      <c r="BX925" s="52"/>
      <c r="BY925" s="52"/>
      <c r="BZ925" s="52"/>
      <c r="CA925" s="52"/>
      <c r="CB925" s="52"/>
      <c r="CC925" s="52">
        <v>62559147</v>
      </c>
      <c r="CD925" s="52"/>
      <c r="CE925" s="52"/>
      <c r="CF925" s="52"/>
      <c r="CG925" s="52">
        <f t="shared" si="148"/>
        <v>145083887</v>
      </c>
      <c r="CH925" s="52"/>
      <c r="CI925" s="52"/>
      <c r="CJ925" s="52"/>
      <c r="CK925" s="52"/>
      <c r="CL925" s="52"/>
      <c r="CM925" s="52"/>
      <c r="CN925" s="52"/>
      <c r="CO925" s="52"/>
      <c r="CP925" s="52"/>
      <c r="CQ925" s="52">
        <v>8937021</v>
      </c>
      <c r="CR925" s="52"/>
      <c r="CS925" s="52">
        <f t="shared" si="145"/>
        <v>154020908</v>
      </c>
      <c r="CT925" s="53">
        <v>71496168</v>
      </c>
      <c r="CU925" s="53">
        <f t="shared" si="146"/>
        <v>82524740</v>
      </c>
      <c r="CV925" s="54">
        <f t="shared" si="149"/>
        <v>154020908</v>
      </c>
      <c r="CW925" s="55">
        <f t="shared" si="150"/>
        <v>0</v>
      </c>
      <c r="CX925" s="16"/>
      <c r="CY925" s="16"/>
      <c r="CZ925" s="16"/>
    </row>
    <row r="926" spans="1:108" ht="15" customHeight="1" x14ac:dyDescent="0.2">
      <c r="A926" s="1">
        <v>8000996512</v>
      </c>
      <c r="B926" s="1">
        <v>800099651</v>
      </c>
      <c r="C926" s="9">
        <v>219615696</v>
      </c>
      <c r="D926" s="10" t="s">
        <v>304</v>
      </c>
      <c r="E926" s="46" t="s">
        <v>1336</v>
      </c>
      <c r="F926" s="21"/>
      <c r="G926" s="50"/>
      <c r="H926" s="21"/>
      <c r="I926" s="50"/>
      <c r="J926" s="21"/>
      <c r="K926" s="21"/>
      <c r="L926" s="50"/>
      <c r="M926" s="51"/>
      <c r="N926" s="21"/>
      <c r="O926" s="50"/>
      <c r="P926" s="21"/>
      <c r="Q926" s="50"/>
      <c r="R926" s="21"/>
      <c r="S926" s="21"/>
      <c r="T926" s="50"/>
      <c r="U926" s="51">
        <f t="shared" si="144"/>
        <v>0</v>
      </c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>
        <v>16969435</v>
      </c>
      <c r="AZ926" s="51"/>
      <c r="BA926" s="51">
        <f>VLOOKUP(B926,[1]Hoja3!J$3:K$674,2,0)</f>
        <v>41833288</v>
      </c>
      <c r="BB926" s="51"/>
      <c r="BC926" s="52">
        <f t="shared" si="147"/>
        <v>58802723</v>
      </c>
      <c r="BD926" s="51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>
        <v>3393887</v>
      </c>
      <c r="BO926" s="51"/>
      <c r="BP926" s="52">
        <v>62196610</v>
      </c>
      <c r="BQ926" s="52"/>
      <c r="BR926" s="52"/>
      <c r="BS926" s="52"/>
      <c r="BT926" s="52"/>
      <c r="BU926" s="52"/>
      <c r="BV926" s="52"/>
      <c r="BW926" s="52"/>
      <c r="BX926" s="52"/>
      <c r="BY926" s="52"/>
      <c r="BZ926" s="52"/>
      <c r="CA926" s="52"/>
      <c r="CB926" s="52"/>
      <c r="CC926" s="52">
        <v>3393887</v>
      </c>
      <c r="CD926" s="52"/>
      <c r="CE926" s="52"/>
      <c r="CF926" s="52"/>
      <c r="CG926" s="52">
        <f t="shared" si="148"/>
        <v>65590497</v>
      </c>
      <c r="CH926" s="52"/>
      <c r="CI926" s="52"/>
      <c r="CJ926" s="52"/>
      <c r="CK926" s="52"/>
      <c r="CL926" s="52"/>
      <c r="CM926" s="52"/>
      <c r="CN926" s="52"/>
      <c r="CO926" s="52"/>
      <c r="CP926" s="52"/>
      <c r="CQ926" s="52">
        <v>3393887</v>
      </c>
      <c r="CR926" s="52"/>
      <c r="CS926" s="52">
        <f t="shared" si="145"/>
        <v>68984384</v>
      </c>
      <c r="CT926" s="53">
        <v>27151096</v>
      </c>
      <c r="CU926" s="53">
        <f t="shared" si="146"/>
        <v>41833288</v>
      </c>
      <c r="CV926" s="54">
        <f t="shared" si="149"/>
        <v>68984384</v>
      </c>
      <c r="CW926" s="55">
        <f t="shared" si="150"/>
        <v>0</v>
      </c>
      <c r="CX926" s="16"/>
      <c r="CY926" s="8"/>
      <c r="CZ926" s="8"/>
      <c r="DA926" s="8"/>
      <c r="DB926" s="8"/>
      <c r="DC926" s="8"/>
      <c r="DD926" s="8"/>
    </row>
    <row r="927" spans="1:108" ht="15" customHeight="1" x14ac:dyDescent="0.2">
      <c r="A927" s="1">
        <v>8000196850</v>
      </c>
      <c r="B927" s="1">
        <v>800019685</v>
      </c>
      <c r="C927" s="9">
        <v>219952699</v>
      </c>
      <c r="D927" s="10" t="s">
        <v>745</v>
      </c>
      <c r="E927" s="46" t="s">
        <v>1765</v>
      </c>
      <c r="F927" s="21"/>
      <c r="G927" s="50"/>
      <c r="H927" s="21"/>
      <c r="I927" s="50"/>
      <c r="J927" s="21"/>
      <c r="K927" s="21"/>
      <c r="L927" s="50"/>
      <c r="M927" s="51"/>
      <c r="N927" s="21"/>
      <c r="O927" s="50"/>
      <c r="P927" s="21"/>
      <c r="Q927" s="50"/>
      <c r="R927" s="21"/>
      <c r="S927" s="21"/>
      <c r="T927" s="50"/>
      <c r="U927" s="51">
        <f t="shared" si="144"/>
        <v>0</v>
      </c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>
        <v>126513292</v>
      </c>
      <c r="AN927" s="51">
        <f>SUBTOTAL(9,AC927:AM927)</f>
        <v>126513292</v>
      </c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>
        <v>78357180</v>
      </c>
      <c r="AZ927" s="51"/>
      <c r="BA927" s="51"/>
      <c r="BB927" s="51"/>
      <c r="BC927" s="52">
        <f t="shared" si="147"/>
        <v>204870472</v>
      </c>
      <c r="BD927" s="51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>
        <v>15671436</v>
      </c>
      <c r="BO927" s="51"/>
      <c r="BP927" s="52">
        <v>220541908</v>
      </c>
      <c r="BQ927" s="52"/>
      <c r="BR927" s="52"/>
      <c r="BS927" s="52"/>
      <c r="BT927" s="52"/>
      <c r="BU927" s="52"/>
      <c r="BV927" s="52"/>
      <c r="BW927" s="52"/>
      <c r="BX927" s="52"/>
      <c r="BY927" s="52"/>
      <c r="BZ927" s="52"/>
      <c r="CA927" s="52"/>
      <c r="CB927" s="52"/>
      <c r="CC927" s="52">
        <v>15671436</v>
      </c>
      <c r="CD927" s="52"/>
      <c r="CE927" s="52"/>
      <c r="CF927" s="52"/>
      <c r="CG927" s="52">
        <f t="shared" si="148"/>
        <v>236213344</v>
      </c>
      <c r="CH927" s="52"/>
      <c r="CI927" s="52"/>
      <c r="CJ927" s="52"/>
      <c r="CK927" s="52"/>
      <c r="CL927" s="52"/>
      <c r="CM927" s="52"/>
      <c r="CN927" s="52"/>
      <c r="CO927" s="52"/>
      <c r="CP927" s="52"/>
      <c r="CQ927" s="52">
        <v>15671436</v>
      </c>
      <c r="CR927" s="52"/>
      <c r="CS927" s="52">
        <f t="shared" si="145"/>
        <v>251884780</v>
      </c>
      <c r="CT927" s="53">
        <v>125371488</v>
      </c>
      <c r="CU927" s="53">
        <f t="shared" si="146"/>
        <v>126513292</v>
      </c>
      <c r="CV927" s="54">
        <f t="shared" si="149"/>
        <v>251884780</v>
      </c>
      <c r="CW927" s="55">
        <f t="shared" si="150"/>
        <v>0</v>
      </c>
      <c r="CX927" s="16"/>
      <c r="CY927" s="16"/>
      <c r="CZ927" s="16"/>
    </row>
    <row r="928" spans="1:108" ht="15" customHeight="1" x14ac:dyDescent="0.2">
      <c r="A928" s="1">
        <v>8000207338</v>
      </c>
      <c r="B928" s="1">
        <v>800020733</v>
      </c>
      <c r="C928" s="9">
        <v>218615686</v>
      </c>
      <c r="D928" s="10" t="s">
        <v>302</v>
      </c>
      <c r="E928" s="46" t="s">
        <v>1333</v>
      </c>
      <c r="F928" s="21"/>
      <c r="G928" s="50"/>
      <c r="H928" s="21"/>
      <c r="I928" s="50"/>
      <c r="J928" s="21"/>
      <c r="K928" s="21"/>
      <c r="L928" s="50"/>
      <c r="M928" s="51"/>
      <c r="N928" s="21"/>
      <c r="O928" s="50"/>
      <c r="P928" s="21"/>
      <c r="Q928" s="50"/>
      <c r="R928" s="21"/>
      <c r="S928" s="21"/>
      <c r="T928" s="50"/>
      <c r="U928" s="51">
        <f t="shared" si="144"/>
        <v>0</v>
      </c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>
        <v>115159680</v>
      </c>
      <c r="AN928" s="51">
        <f>SUBTOTAL(9,AC928:AM928)</f>
        <v>115159680</v>
      </c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>
        <v>56019685</v>
      </c>
      <c r="AZ928" s="51"/>
      <c r="BA928" s="51"/>
      <c r="BB928" s="51"/>
      <c r="BC928" s="52">
        <f t="shared" si="147"/>
        <v>171179365</v>
      </c>
      <c r="BD928" s="51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>
        <v>11203937</v>
      </c>
      <c r="BO928" s="51"/>
      <c r="BP928" s="52">
        <v>182383302</v>
      </c>
      <c r="BQ928" s="52"/>
      <c r="BR928" s="52"/>
      <c r="BS928" s="52"/>
      <c r="BT928" s="52"/>
      <c r="BU928" s="52"/>
      <c r="BV928" s="52"/>
      <c r="BW928" s="52"/>
      <c r="BX928" s="52"/>
      <c r="BY928" s="52"/>
      <c r="BZ928" s="52"/>
      <c r="CA928" s="52"/>
      <c r="CB928" s="52"/>
      <c r="CC928" s="52">
        <v>11203937</v>
      </c>
      <c r="CD928" s="52"/>
      <c r="CE928" s="52"/>
      <c r="CF928" s="52"/>
      <c r="CG928" s="52">
        <f t="shared" si="148"/>
        <v>193587239</v>
      </c>
      <c r="CH928" s="52"/>
      <c r="CI928" s="52"/>
      <c r="CJ928" s="52"/>
      <c r="CK928" s="52"/>
      <c r="CL928" s="52"/>
      <c r="CM928" s="52"/>
      <c r="CN928" s="52"/>
      <c r="CO928" s="52"/>
      <c r="CP928" s="52"/>
      <c r="CQ928" s="52">
        <v>11203937</v>
      </c>
      <c r="CR928" s="52"/>
      <c r="CS928" s="52">
        <f t="shared" si="145"/>
        <v>204791176</v>
      </c>
      <c r="CT928" s="53">
        <v>89631496</v>
      </c>
      <c r="CU928" s="53">
        <f t="shared" si="146"/>
        <v>115159680</v>
      </c>
      <c r="CV928" s="54">
        <f t="shared" si="149"/>
        <v>204791176</v>
      </c>
      <c r="CW928" s="55">
        <f t="shared" si="150"/>
        <v>0</v>
      </c>
      <c r="CX928" s="16"/>
      <c r="CY928" s="8"/>
      <c r="CZ928" s="8"/>
      <c r="DA928" s="8"/>
      <c r="DB928" s="8"/>
      <c r="DC928" s="8"/>
      <c r="DD928" s="8"/>
    </row>
    <row r="929" spans="1:108" ht="15" customHeight="1" x14ac:dyDescent="0.2">
      <c r="A929" s="1">
        <v>8915002692</v>
      </c>
      <c r="B929" s="1">
        <v>891500269</v>
      </c>
      <c r="C929" s="9">
        <v>219819698</v>
      </c>
      <c r="D929" s="10" t="s">
        <v>2111</v>
      </c>
      <c r="E929" s="46" t="s">
        <v>1431</v>
      </c>
      <c r="F929" s="21"/>
      <c r="G929" s="50"/>
      <c r="H929" s="21"/>
      <c r="I929" s="50"/>
      <c r="J929" s="21"/>
      <c r="K929" s="21"/>
      <c r="L929" s="50"/>
      <c r="M929" s="51"/>
      <c r="N929" s="21"/>
      <c r="O929" s="50"/>
      <c r="P929" s="21"/>
      <c r="Q929" s="50"/>
      <c r="R929" s="21"/>
      <c r="S929" s="21"/>
      <c r="T929" s="50"/>
      <c r="U929" s="51">
        <f t="shared" si="144"/>
        <v>0</v>
      </c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>
        <v>1104593827</v>
      </c>
      <c r="AN929" s="51">
        <f>SUBTOTAL(9,AC929:AM929)</f>
        <v>1104593827</v>
      </c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>
        <v>577079505</v>
      </c>
      <c r="AZ929" s="51"/>
      <c r="BA929" s="51">
        <f>VLOOKUP(B929,[1]Hoja3!J$3:K$674,2,0)</f>
        <v>71279270</v>
      </c>
      <c r="BB929" s="51"/>
      <c r="BC929" s="52">
        <f t="shared" si="147"/>
        <v>1752952602</v>
      </c>
      <c r="BD929" s="51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>
        <v>115415901</v>
      </c>
      <c r="BO929" s="51"/>
      <c r="BP929" s="52">
        <v>1868368503</v>
      </c>
      <c r="BQ929" s="52"/>
      <c r="BR929" s="52"/>
      <c r="BS929" s="52"/>
      <c r="BT929" s="52"/>
      <c r="BU929" s="52"/>
      <c r="BV929" s="52"/>
      <c r="BW929" s="52"/>
      <c r="BX929" s="52"/>
      <c r="BY929" s="52"/>
      <c r="BZ929" s="52"/>
      <c r="CA929" s="52"/>
      <c r="CB929" s="52"/>
      <c r="CC929" s="52">
        <v>115415901</v>
      </c>
      <c r="CD929" s="52"/>
      <c r="CE929" s="52"/>
      <c r="CF929" s="52"/>
      <c r="CG929" s="52">
        <f t="shared" si="148"/>
        <v>1983784404</v>
      </c>
      <c r="CH929" s="52"/>
      <c r="CI929" s="52"/>
      <c r="CJ929" s="52"/>
      <c r="CK929" s="52"/>
      <c r="CL929" s="52"/>
      <c r="CM929" s="52"/>
      <c r="CN929" s="52"/>
      <c r="CO929" s="52"/>
      <c r="CP929" s="52"/>
      <c r="CQ929" s="52">
        <v>115415901</v>
      </c>
      <c r="CR929" s="52"/>
      <c r="CS929" s="52">
        <f t="shared" si="145"/>
        <v>2099200305</v>
      </c>
      <c r="CT929" s="53">
        <v>923327208</v>
      </c>
      <c r="CU929" s="53">
        <f t="shared" si="146"/>
        <v>1175873097</v>
      </c>
      <c r="CV929" s="54">
        <f t="shared" si="149"/>
        <v>2099200305</v>
      </c>
      <c r="CW929" s="55">
        <f t="shared" si="150"/>
        <v>0</v>
      </c>
      <c r="CX929" s="16"/>
      <c r="CY929" s="16"/>
      <c r="CZ929" s="16"/>
    </row>
    <row r="930" spans="1:108" ht="15" customHeight="1" x14ac:dyDescent="0.2">
      <c r="A930" s="1">
        <v>8000992620</v>
      </c>
      <c r="B930" s="1">
        <v>800099262</v>
      </c>
      <c r="C930" s="9">
        <v>218054680</v>
      </c>
      <c r="D930" s="10" t="s">
        <v>782</v>
      </c>
      <c r="E930" s="46" t="s">
        <v>1798</v>
      </c>
      <c r="F930" s="21"/>
      <c r="G930" s="50"/>
      <c r="H930" s="21"/>
      <c r="I930" s="50"/>
      <c r="J930" s="21"/>
      <c r="K930" s="21"/>
      <c r="L930" s="50"/>
      <c r="M930" s="51"/>
      <c r="N930" s="21"/>
      <c r="O930" s="50"/>
      <c r="P930" s="21"/>
      <c r="Q930" s="50"/>
      <c r="R930" s="21"/>
      <c r="S930" s="21"/>
      <c r="T930" s="50"/>
      <c r="U930" s="51">
        <f t="shared" si="144"/>
        <v>0</v>
      </c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>
        <v>30722612</v>
      </c>
      <c r="AN930" s="51">
        <f>SUBTOTAL(9,AC930:AM930)</f>
        <v>30722612</v>
      </c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>
        <v>23438245</v>
      </c>
      <c r="AZ930" s="51"/>
      <c r="BA930" s="51">
        <f>VLOOKUP(B930,[1]Hoja3!J$3:K$674,2,0)</f>
        <v>11046894</v>
      </c>
      <c r="BB930" s="51"/>
      <c r="BC930" s="52">
        <f t="shared" si="147"/>
        <v>65207751</v>
      </c>
      <c r="BD930" s="51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>
        <v>4687649</v>
      </c>
      <c r="BO930" s="51"/>
      <c r="BP930" s="52">
        <v>69895400</v>
      </c>
      <c r="BQ930" s="52"/>
      <c r="BR930" s="52"/>
      <c r="BS930" s="52"/>
      <c r="BT930" s="52"/>
      <c r="BU930" s="52"/>
      <c r="BV930" s="52"/>
      <c r="BW930" s="52"/>
      <c r="BX930" s="52"/>
      <c r="BY930" s="52"/>
      <c r="BZ930" s="52"/>
      <c r="CA930" s="52"/>
      <c r="CB930" s="52"/>
      <c r="CC930" s="52">
        <v>4687649</v>
      </c>
      <c r="CD930" s="52"/>
      <c r="CE930" s="52"/>
      <c r="CF930" s="52"/>
      <c r="CG930" s="52">
        <f t="shared" si="148"/>
        <v>74583049</v>
      </c>
      <c r="CH930" s="52"/>
      <c r="CI930" s="52"/>
      <c r="CJ930" s="52"/>
      <c r="CK930" s="52"/>
      <c r="CL930" s="52"/>
      <c r="CM930" s="52"/>
      <c r="CN930" s="52"/>
      <c r="CO930" s="52"/>
      <c r="CP930" s="52"/>
      <c r="CQ930" s="52">
        <v>4687649</v>
      </c>
      <c r="CR930" s="52"/>
      <c r="CS930" s="52">
        <f t="shared" si="145"/>
        <v>79270698</v>
      </c>
      <c r="CT930" s="53">
        <v>37501192</v>
      </c>
      <c r="CU930" s="53">
        <f t="shared" si="146"/>
        <v>41769506</v>
      </c>
      <c r="CV930" s="54">
        <f t="shared" si="149"/>
        <v>79270698</v>
      </c>
      <c r="CW930" s="55">
        <f t="shared" si="150"/>
        <v>0</v>
      </c>
      <c r="CX930" s="16"/>
      <c r="CY930" s="16"/>
      <c r="CZ930" s="16"/>
    </row>
    <row r="931" spans="1:108" ht="15" customHeight="1" x14ac:dyDescent="0.2">
      <c r="A931" s="1">
        <v>8001029068</v>
      </c>
      <c r="B931" s="1">
        <v>800102906</v>
      </c>
      <c r="C931" s="9">
        <v>216086760</v>
      </c>
      <c r="D931" s="10" t="s">
        <v>984</v>
      </c>
      <c r="E931" s="46" t="s">
        <v>2041</v>
      </c>
      <c r="F931" s="21"/>
      <c r="G931" s="50"/>
      <c r="H931" s="21"/>
      <c r="I931" s="50"/>
      <c r="J931" s="21"/>
      <c r="K931" s="21"/>
      <c r="L931" s="50"/>
      <c r="M931" s="51"/>
      <c r="N931" s="21"/>
      <c r="O931" s="50"/>
      <c r="P931" s="21"/>
      <c r="Q931" s="50"/>
      <c r="R931" s="21"/>
      <c r="S931" s="21"/>
      <c r="T931" s="50"/>
      <c r="U931" s="51">
        <f t="shared" si="144"/>
        <v>0</v>
      </c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>
        <v>104890552</v>
      </c>
      <c r="AN931" s="51">
        <f>SUBTOTAL(9,AC931:AM931)</f>
        <v>104890552</v>
      </c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>
        <v>65874235</v>
      </c>
      <c r="AZ931" s="51"/>
      <c r="BA931" s="51"/>
      <c r="BB931" s="51">
        <f>VLOOKUP(B931,'[2]anuladas en mayo gratuidad}'!K$2:L$55,2,0)</f>
        <v>15650662</v>
      </c>
      <c r="BC931" s="52">
        <f t="shared" si="147"/>
        <v>155114125</v>
      </c>
      <c r="BD931" s="51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>
        <v>13174847</v>
      </c>
      <c r="BO931" s="51"/>
      <c r="BP931" s="52">
        <v>168288972</v>
      </c>
      <c r="BQ931" s="52"/>
      <c r="BR931" s="52"/>
      <c r="BS931" s="52"/>
      <c r="BT931" s="52"/>
      <c r="BU931" s="52"/>
      <c r="BV931" s="52"/>
      <c r="BW931" s="52"/>
      <c r="BX931" s="52"/>
      <c r="BY931" s="52"/>
      <c r="BZ931" s="52"/>
      <c r="CA931" s="52"/>
      <c r="CB931" s="52"/>
      <c r="CC931" s="52">
        <v>13174847</v>
      </c>
      <c r="CD931" s="52"/>
      <c r="CE931" s="52"/>
      <c r="CF931" s="52"/>
      <c r="CG931" s="52">
        <f t="shared" si="148"/>
        <v>181463819</v>
      </c>
      <c r="CH931" s="52"/>
      <c r="CI931" s="52"/>
      <c r="CJ931" s="52"/>
      <c r="CK931" s="52"/>
      <c r="CL931" s="52"/>
      <c r="CM931" s="52"/>
      <c r="CN931" s="52"/>
      <c r="CO931" s="52"/>
      <c r="CP931" s="52"/>
      <c r="CQ931" s="52">
        <v>13174847</v>
      </c>
      <c r="CR931" s="52">
        <v>15650662</v>
      </c>
      <c r="CS931" s="52">
        <f t="shared" si="145"/>
        <v>210289328</v>
      </c>
      <c r="CT931" s="53">
        <v>105398776</v>
      </c>
      <c r="CU931" s="53">
        <f t="shared" si="146"/>
        <v>104890552</v>
      </c>
      <c r="CV931" s="54">
        <f t="shared" si="149"/>
        <v>210289328</v>
      </c>
      <c r="CW931" s="55">
        <f t="shared" si="150"/>
        <v>0</v>
      </c>
      <c r="CX931" s="16"/>
      <c r="CY931" s="8"/>
      <c r="CZ931" s="8"/>
      <c r="DA931" s="8"/>
      <c r="DB931" s="8"/>
      <c r="DC931" s="8"/>
      <c r="DD931" s="8"/>
    </row>
    <row r="932" spans="1:108" ht="15" customHeight="1" x14ac:dyDescent="0.2">
      <c r="A932" s="1">
        <v>8909838034</v>
      </c>
      <c r="B932" s="1">
        <v>890983803</v>
      </c>
      <c r="C932" s="9">
        <v>219005690</v>
      </c>
      <c r="D932" s="10" t="s">
        <v>139</v>
      </c>
      <c r="E932" s="46" t="s">
        <v>1168</v>
      </c>
      <c r="F932" s="21"/>
      <c r="G932" s="50"/>
      <c r="H932" s="21"/>
      <c r="I932" s="50"/>
      <c r="J932" s="21"/>
      <c r="K932" s="21"/>
      <c r="L932" s="50"/>
      <c r="M932" s="51"/>
      <c r="N932" s="21"/>
      <c r="O932" s="50"/>
      <c r="P932" s="21"/>
      <c r="Q932" s="50"/>
      <c r="R932" s="21"/>
      <c r="S932" s="21"/>
      <c r="T932" s="50"/>
      <c r="U932" s="51">
        <f t="shared" si="144"/>
        <v>0</v>
      </c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>
        <v>80905060</v>
      </c>
      <c r="AZ932" s="51"/>
      <c r="BA932" s="51">
        <f>VLOOKUP(B932,[1]Hoja3!J$3:K$674,2,0)</f>
        <v>212126486</v>
      </c>
      <c r="BB932" s="51"/>
      <c r="BC932" s="52">
        <f t="shared" si="147"/>
        <v>293031546</v>
      </c>
      <c r="BD932" s="51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>
        <v>16181012</v>
      </c>
      <c r="BO932" s="51"/>
      <c r="BP932" s="52">
        <v>309212558</v>
      </c>
      <c r="BQ932" s="52"/>
      <c r="BR932" s="52"/>
      <c r="BS932" s="52"/>
      <c r="BT932" s="52"/>
      <c r="BU932" s="52"/>
      <c r="BV932" s="52"/>
      <c r="BW932" s="52"/>
      <c r="BX932" s="52"/>
      <c r="BY932" s="52"/>
      <c r="BZ932" s="52"/>
      <c r="CA932" s="52"/>
      <c r="CB932" s="52"/>
      <c r="CC932" s="52">
        <v>16181012</v>
      </c>
      <c r="CD932" s="52"/>
      <c r="CE932" s="52"/>
      <c r="CF932" s="52"/>
      <c r="CG932" s="52">
        <f t="shared" si="148"/>
        <v>325393570</v>
      </c>
      <c r="CH932" s="52"/>
      <c r="CI932" s="52"/>
      <c r="CJ932" s="52"/>
      <c r="CK932" s="52"/>
      <c r="CL932" s="52"/>
      <c r="CM932" s="52"/>
      <c r="CN932" s="52"/>
      <c r="CO932" s="52"/>
      <c r="CP932" s="52"/>
      <c r="CQ932" s="52">
        <v>16181012</v>
      </c>
      <c r="CR932" s="52"/>
      <c r="CS932" s="52">
        <f t="shared" si="145"/>
        <v>341574582</v>
      </c>
      <c r="CT932" s="53">
        <v>129448096</v>
      </c>
      <c r="CU932" s="53">
        <f t="shared" si="146"/>
        <v>212126486</v>
      </c>
      <c r="CV932" s="54">
        <f t="shared" si="149"/>
        <v>341574582</v>
      </c>
      <c r="CW932" s="55">
        <f t="shared" si="150"/>
        <v>0</v>
      </c>
      <c r="CX932" s="16"/>
      <c r="CY932" s="16"/>
      <c r="CZ932" s="16"/>
    </row>
    <row r="933" spans="1:108" ht="15" customHeight="1" x14ac:dyDescent="0.2">
      <c r="A933" s="1">
        <v>8001162846</v>
      </c>
      <c r="B933" s="1">
        <v>800116284</v>
      </c>
      <c r="C933" s="9">
        <v>218508685</v>
      </c>
      <c r="D933" s="10" t="s">
        <v>177</v>
      </c>
      <c r="E933" s="46" t="s">
        <v>1206</v>
      </c>
      <c r="F933" s="21"/>
      <c r="G933" s="50"/>
      <c r="H933" s="21"/>
      <c r="I933" s="50"/>
      <c r="J933" s="21"/>
      <c r="K933" s="21"/>
      <c r="L933" s="50"/>
      <c r="M933" s="51"/>
      <c r="N933" s="21"/>
      <c r="O933" s="50"/>
      <c r="P933" s="21"/>
      <c r="Q933" s="50"/>
      <c r="R933" s="21"/>
      <c r="S933" s="21"/>
      <c r="T933" s="50"/>
      <c r="U933" s="51">
        <f t="shared" si="144"/>
        <v>0</v>
      </c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>
        <v>141899050</v>
      </c>
      <c r="AZ933" s="51"/>
      <c r="BA933" s="51">
        <f>VLOOKUP(B933,[1]Hoja3!J$3:K$674,2,0)</f>
        <v>304976892</v>
      </c>
      <c r="BB933" s="51"/>
      <c r="BC933" s="52">
        <f t="shared" si="147"/>
        <v>446875942</v>
      </c>
      <c r="BD933" s="51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>
        <v>28379810</v>
      </c>
      <c r="BO933" s="51"/>
      <c r="BP933" s="52">
        <v>475255752</v>
      </c>
      <c r="BQ933" s="52"/>
      <c r="BR933" s="52"/>
      <c r="BS933" s="52"/>
      <c r="BT933" s="52"/>
      <c r="BU933" s="52"/>
      <c r="BV933" s="52"/>
      <c r="BW933" s="52"/>
      <c r="BX933" s="52"/>
      <c r="BY933" s="52"/>
      <c r="BZ933" s="52"/>
      <c r="CA933" s="52"/>
      <c r="CB933" s="52"/>
      <c r="CC933" s="52">
        <v>28379810</v>
      </c>
      <c r="CD933" s="52"/>
      <c r="CE933" s="52"/>
      <c r="CF933" s="52"/>
      <c r="CG933" s="52">
        <f t="shared" si="148"/>
        <v>503635562</v>
      </c>
      <c r="CH933" s="52"/>
      <c r="CI933" s="52"/>
      <c r="CJ933" s="52"/>
      <c r="CK933" s="52"/>
      <c r="CL933" s="52"/>
      <c r="CM933" s="52"/>
      <c r="CN933" s="52"/>
      <c r="CO933" s="52"/>
      <c r="CP933" s="52"/>
      <c r="CQ933" s="52">
        <v>28379810</v>
      </c>
      <c r="CR933" s="52"/>
      <c r="CS933" s="52">
        <f t="shared" si="145"/>
        <v>532015372</v>
      </c>
      <c r="CT933" s="53">
        <v>227038480</v>
      </c>
      <c r="CU933" s="53">
        <f t="shared" si="146"/>
        <v>304976892</v>
      </c>
      <c r="CV933" s="54">
        <f t="shared" si="149"/>
        <v>532015372</v>
      </c>
      <c r="CW933" s="55">
        <f t="shared" si="150"/>
        <v>0</v>
      </c>
      <c r="CX933" s="16"/>
      <c r="CY933" s="16"/>
      <c r="CZ933" s="16"/>
    </row>
    <row r="934" spans="1:108" ht="15" customHeight="1" x14ac:dyDescent="0.2">
      <c r="A934" s="1">
        <v>8914800341</v>
      </c>
      <c r="B934" s="1">
        <v>891480034</v>
      </c>
      <c r="C934" s="9">
        <v>218766687</v>
      </c>
      <c r="D934" s="10" t="s">
        <v>811</v>
      </c>
      <c r="E934" s="46" t="s">
        <v>1828</v>
      </c>
      <c r="F934" s="21"/>
      <c r="G934" s="50"/>
      <c r="H934" s="21"/>
      <c r="I934" s="50"/>
      <c r="J934" s="21"/>
      <c r="K934" s="21"/>
      <c r="L934" s="50"/>
      <c r="M934" s="51"/>
      <c r="N934" s="21"/>
      <c r="O934" s="50"/>
      <c r="P934" s="21"/>
      <c r="Q934" s="50"/>
      <c r="R934" s="21"/>
      <c r="S934" s="21"/>
      <c r="T934" s="50"/>
      <c r="U934" s="51">
        <f t="shared" si="144"/>
        <v>0</v>
      </c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>
        <v>164772619</v>
      </c>
      <c r="AN934" s="51">
        <f>SUBTOTAL(9,AC934:AM934)</f>
        <v>164772619</v>
      </c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>
        <v>94834080</v>
      </c>
      <c r="AZ934" s="51"/>
      <c r="BA934" s="51"/>
      <c r="BB934" s="51"/>
      <c r="BC934" s="52">
        <f t="shared" si="147"/>
        <v>259606699</v>
      </c>
      <c r="BD934" s="51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>
        <v>18966816</v>
      </c>
      <c r="BO934" s="51"/>
      <c r="BP934" s="52">
        <v>278573515</v>
      </c>
      <c r="BQ934" s="52"/>
      <c r="BR934" s="52"/>
      <c r="BS934" s="52"/>
      <c r="BT934" s="52"/>
      <c r="BU934" s="52"/>
      <c r="BV934" s="52"/>
      <c r="BW934" s="52"/>
      <c r="BX934" s="52"/>
      <c r="BY934" s="52"/>
      <c r="BZ934" s="52"/>
      <c r="CA934" s="52"/>
      <c r="CB934" s="52"/>
      <c r="CC934" s="52">
        <v>18966816</v>
      </c>
      <c r="CD934" s="52"/>
      <c r="CE934" s="52"/>
      <c r="CF934" s="52"/>
      <c r="CG934" s="52">
        <f t="shared" si="148"/>
        <v>297540331</v>
      </c>
      <c r="CH934" s="52"/>
      <c r="CI934" s="52"/>
      <c r="CJ934" s="52"/>
      <c r="CK934" s="52"/>
      <c r="CL934" s="52"/>
      <c r="CM934" s="52"/>
      <c r="CN934" s="52"/>
      <c r="CO934" s="52"/>
      <c r="CP934" s="52"/>
      <c r="CQ934" s="52">
        <v>18966816</v>
      </c>
      <c r="CR934" s="52"/>
      <c r="CS934" s="52">
        <f t="shared" si="145"/>
        <v>316507147</v>
      </c>
      <c r="CT934" s="53">
        <v>151734528</v>
      </c>
      <c r="CU934" s="53">
        <f t="shared" si="146"/>
        <v>164772619</v>
      </c>
      <c r="CV934" s="54">
        <f t="shared" si="149"/>
        <v>316507147</v>
      </c>
      <c r="CW934" s="55">
        <f t="shared" si="150"/>
        <v>0</v>
      </c>
      <c r="CX934" s="16"/>
      <c r="CY934" s="16"/>
      <c r="CZ934" s="16"/>
    </row>
    <row r="935" spans="1:108" ht="15" customHeight="1" x14ac:dyDescent="0.2">
      <c r="A935" s="1">
        <v>8000991496</v>
      </c>
      <c r="B935" s="1">
        <v>800099149</v>
      </c>
      <c r="C935" s="9">
        <v>212052720</v>
      </c>
      <c r="D935" s="10" t="s">
        <v>746</v>
      </c>
      <c r="E935" s="46" t="s">
        <v>1766</v>
      </c>
      <c r="F935" s="21"/>
      <c r="G935" s="50"/>
      <c r="H935" s="21"/>
      <c r="I935" s="50"/>
      <c r="J935" s="21"/>
      <c r="K935" s="21"/>
      <c r="L935" s="50"/>
      <c r="M935" s="51"/>
      <c r="N935" s="21"/>
      <c r="O935" s="50"/>
      <c r="P935" s="21"/>
      <c r="Q935" s="50"/>
      <c r="R935" s="21"/>
      <c r="S935" s="21"/>
      <c r="T935" s="50"/>
      <c r="U935" s="51">
        <f t="shared" si="144"/>
        <v>0</v>
      </c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>
        <v>87955515</v>
      </c>
      <c r="AN935" s="51">
        <f>SUBTOTAL(9,AC935:AM935)</f>
        <v>87955515</v>
      </c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>
        <v>40287955</v>
      </c>
      <c r="AZ935" s="51"/>
      <c r="BA935" s="51"/>
      <c r="BB935" s="51"/>
      <c r="BC935" s="52">
        <f t="shared" si="147"/>
        <v>128243470</v>
      </c>
      <c r="BD935" s="51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>
        <v>8057591</v>
      </c>
      <c r="BO935" s="51"/>
      <c r="BP935" s="52">
        <v>136301061</v>
      </c>
      <c r="BQ935" s="52"/>
      <c r="BR935" s="52"/>
      <c r="BS935" s="52"/>
      <c r="BT935" s="52"/>
      <c r="BU935" s="52"/>
      <c r="BV935" s="52"/>
      <c r="BW935" s="52"/>
      <c r="BX935" s="52"/>
      <c r="BY935" s="52"/>
      <c r="BZ935" s="52"/>
      <c r="CA935" s="52"/>
      <c r="CB935" s="52"/>
      <c r="CC935" s="52">
        <v>8057591</v>
      </c>
      <c r="CD935" s="52"/>
      <c r="CE935" s="52"/>
      <c r="CF935" s="52"/>
      <c r="CG935" s="52">
        <f t="shared" si="148"/>
        <v>144358652</v>
      </c>
      <c r="CH935" s="52"/>
      <c r="CI935" s="52"/>
      <c r="CJ935" s="52"/>
      <c r="CK935" s="52"/>
      <c r="CL935" s="52"/>
      <c r="CM935" s="52"/>
      <c r="CN935" s="52"/>
      <c r="CO935" s="52"/>
      <c r="CP935" s="52"/>
      <c r="CQ935" s="52">
        <v>8057591</v>
      </c>
      <c r="CR935" s="52"/>
      <c r="CS935" s="52">
        <f t="shared" si="145"/>
        <v>152416243</v>
      </c>
      <c r="CT935" s="53">
        <v>64460728</v>
      </c>
      <c r="CU935" s="53">
        <f t="shared" si="146"/>
        <v>87955515</v>
      </c>
      <c r="CV935" s="54">
        <f t="shared" si="149"/>
        <v>152416243</v>
      </c>
      <c r="CW935" s="55">
        <f t="shared" si="150"/>
        <v>0</v>
      </c>
      <c r="CX935" s="16"/>
      <c r="CY935" s="16"/>
      <c r="CZ935" s="16"/>
    </row>
    <row r="936" spans="1:108" ht="15" customHeight="1" x14ac:dyDescent="0.2">
      <c r="A936" s="1">
        <v>8001027996</v>
      </c>
      <c r="B936" s="1">
        <v>800102799</v>
      </c>
      <c r="C936" s="9">
        <v>213681736</v>
      </c>
      <c r="D936" s="10" t="s">
        <v>953</v>
      </c>
      <c r="E936" s="46" t="s">
        <v>2013</v>
      </c>
      <c r="F936" s="21"/>
      <c r="G936" s="50"/>
      <c r="H936" s="21"/>
      <c r="I936" s="50"/>
      <c r="J936" s="21"/>
      <c r="K936" s="21"/>
      <c r="L936" s="50"/>
      <c r="M936" s="51"/>
      <c r="N936" s="21"/>
      <c r="O936" s="50"/>
      <c r="P936" s="21"/>
      <c r="Q936" s="50"/>
      <c r="R936" s="21"/>
      <c r="S936" s="21"/>
      <c r="T936" s="50"/>
      <c r="U936" s="51">
        <f t="shared" si="144"/>
        <v>0</v>
      </c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>
        <v>33564664</v>
      </c>
      <c r="AN936" s="51">
        <f>SUBTOTAL(9,AC936:AM936)</f>
        <v>33564664</v>
      </c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>
        <v>363522455</v>
      </c>
      <c r="AZ936" s="51"/>
      <c r="BA936" s="51">
        <f>VLOOKUP(B936,[1]Hoja3!J$3:K$674,2,0)</f>
        <v>821689166</v>
      </c>
      <c r="BB936" s="51"/>
      <c r="BC936" s="52">
        <f t="shared" si="147"/>
        <v>1218776285</v>
      </c>
      <c r="BD936" s="51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>
        <v>72704491</v>
      </c>
      <c r="BO936" s="51"/>
      <c r="BP936" s="52">
        <v>1291480776</v>
      </c>
      <c r="BQ936" s="52"/>
      <c r="BR936" s="52"/>
      <c r="BS936" s="52"/>
      <c r="BT936" s="52"/>
      <c r="BU936" s="52"/>
      <c r="BV936" s="52"/>
      <c r="BW936" s="52"/>
      <c r="BX936" s="52"/>
      <c r="BY936" s="52"/>
      <c r="BZ936" s="52"/>
      <c r="CA936" s="52"/>
      <c r="CB936" s="52"/>
      <c r="CC936" s="52">
        <v>72704491</v>
      </c>
      <c r="CD936" s="52"/>
      <c r="CE936" s="52"/>
      <c r="CF936" s="52"/>
      <c r="CG936" s="52">
        <f t="shared" si="148"/>
        <v>1364185267</v>
      </c>
      <c r="CH936" s="52"/>
      <c r="CI936" s="52"/>
      <c r="CJ936" s="52"/>
      <c r="CK936" s="52"/>
      <c r="CL936" s="52"/>
      <c r="CM936" s="52"/>
      <c r="CN936" s="52"/>
      <c r="CO936" s="52"/>
      <c r="CP936" s="52"/>
      <c r="CQ936" s="52">
        <v>72704491</v>
      </c>
      <c r="CR936" s="52"/>
      <c r="CS936" s="52">
        <f t="shared" si="145"/>
        <v>1436889758</v>
      </c>
      <c r="CT936" s="53">
        <v>581635928</v>
      </c>
      <c r="CU936" s="53">
        <f t="shared" si="146"/>
        <v>855253830</v>
      </c>
      <c r="CV936" s="54">
        <f t="shared" si="149"/>
        <v>1436889758</v>
      </c>
      <c r="CW936" s="55">
        <f t="shared" si="150"/>
        <v>0</v>
      </c>
      <c r="CX936" s="16"/>
      <c r="CY936" s="16"/>
      <c r="CZ936" s="16"/>
    </row>
    <row r="937" spans="1:108" ht="15" customHeight="1" x14ac:dyDescent="0.2">
      <c r="A937" s="1">
        <v>8000992638</v>
      </c>
      <c r="B937" s="1">
        <v>800099263</v>
      </c>
      <c r="C937" s="9">
        <v>212054720</v>
      </c>
      <c r="D937" s="10" t="s">
        <v>783</v>
      </c>
      <c r="E937" s="46" t="s">
        <v>1799</v>
      </c>
      <c r="F937" s="21"/>
      <c r="G937" s="50"/>
      <c r="H937" s="21"/>
      <c r="I937" s="50"/>
      <c r="J937" s="21"/>
      <c r="K937" s="21"/>
      <c r="L937" s="50"/>
      <c r="M937" s="51"/>
      <c r="N937" s="21"/>
      <c r="O937" s="50"/>
      <c r="P937" s="21"/>
      <c r="Q937" s="50"/>
      <c r="R937" s="21"/>
      <c r="S937" s="21"/>
      <c r="T937" s="50"/>
      <c r="U937" s="51">
        <f t="shared" si="144"/>
        <v>0</v>
      </c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>
        <v>33270385</v>
      </c>
      <c r="AN937" s="51">
        <f>SUBTOTAL(9,AC937:AM937)</f>
        <v>33270385</v>
      </c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>
        <f>VLOOKUP(B937,[1]Hoja3!J$3:K$674,2,0)</f>
        <v>199273741</v>
      </c>
      <c r="BB937" s="51"/>
      <c r="BC937" s="52">
        <f t="shared" si="147"/>
        <v>232544126</v>
      </c>
      <c r="BD937" s="51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>
        <v>0</v>
      </c>
      <c r="BO937" s="51"/>
      <c r="BP937" s="52">
        <v>232544126</v>
      </c>
      <c r="BQ937" s="52"/>
      <c r="BR937" s="52"/>
      <c r="BS937" s="52"/>
      <c r="BT937" s="52"/>
      <c r="BU937" s="52"/>
      <c r="BV937" s="52"/>
      <c r="BW937" s="52"/>
      <c r="BX937" s="52"/>
      <c r="BY937" s="52"/>
      <c r="BZ937" s="52"/>
      <c r="CA937" s="52"/>
      <c r="CB937" s="52"/>
      <c r="CC937" s="52">
        <v>0</v>
      </c>
      <c r="CD937" s="52"/>
      <c r="CE937" s="52"/>
      <c r="CF937" s="52"/>
      <c r="CG937" s="52">
        <f t="shared" si="148"/>
        <v>232544126</v>
      </c>
      <c r="CH937" s="52"/>
      <c r="CI937" s="52"/>
      <c r="CJ937" s="52"/>
      <c r="CK937" s="52"/>
      <c r="CL937" s="52"/>
      <c r="CM937" s="52"/>
      <c r="CN937" s="52"/>
      <c r="CO937" s="52"/>
      <c r="CP937" s="52"/>
      <c r="CQ937" s="52">
        <v>0</v>
      </c>
      <c r="CR937" s="52"/>
      <c r="CS937" s="52">
        <f t="shared" si="145"/>
        <v>232544126</v>
      </c>
      <c r="CT937" s="53"/>
      <c r="CU937" s="53">
        <f t="shared" si="146"/>
        <v>232544126</v>
      </c>
      <c r="CV937" s="54">
        <f t="shared" si="149"/>
        <v>232544126</v>
      </c>
      <c r="CW937" s="55">
        <f t="shared" si="150"/>
        <v>0</v>
      </c>
      <c r="CX937" s="16"/>
      <c r="CY937" s="16"/>
      <c r="CZ937" s="16"/>
    </row>
    <row r="938" spans="1:108" ht="15" customHeight="1" x14ac:dyDescent="0.2">
      <c r="A938" s="1">
        <v>8000947525</v>
      </c>
      <c r="B938" s="1">
        <v>800094752</v>
      </c>
      <c r="C938" s="9">
        <v>211825718</v>
      </c>
      <c r="D938" s="10" t="s">
        <v>534</v>
      </c>
      <c r="E938" s="46" t="s">
        <v>1560</v>
      </c>
      <c r="F938" s="21"/>
      <c r="G938" s="50"/>
      <c r="H938" s="21"/>
      <c r="I938" s="50"/>
      <c r="J938" s="21"/>
      <c r="K938" s="21"/>
      <c r="L938" s="50"/>
      <c r="M938" s="51"/>
      <c r="N938" s="21"/>
      <c r="O938" s="50"/>
      <c r="P938" s="21"/>
      <c r="Q938" s="50"/>
      <c r="R938" s="21"/>
      <c r="S938" s="21"/>
      <c r="T938" s="50"/>
      <c r="U938" s="51">
        <f t="shared" si="144"/>
        <v>0</v>
      </c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>
        <v>168838655</v>
      </c>
      <c r="AN938" s="51">
        <f>SUBTOTAL(9,AC938:AM938)</f>
        <v>168838655</v>
      </c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>
        <v>77866430</v>
      </c>
      <c r="AZ938" s="51"/>
      <c r="BA938" s="51"/>
      <c r="BB938" s="51"/>
      <c r="BC938" s="52">
        <f t="shared" si="147"/>
        <v>246705085</v>
      </c>
      <c r="BD938" s="51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>
        <v>15573286</v>
      </c>
      <c r="BO938" s="51"/>
      <c r="BP938" s="52">
        <v>262278371</v>
      </c>
      <c r="BQ938" s="52"/>
      <c r="BR938" s="52"/>
      <c r="BS938" s="52"/>
      <c r="BT938" s="52"/>
      <c r="BU938" s="52"/>
      <c r="BV938" s="52"/>
      <c r="BW938" s="52"/>
      <c r="BX938" s="52"/>
      <c r="BY938" s="52"/>
      <c r="BZ938" s="52"/>
      <c r="CA938" s="52"/>
      <c r="CB938" s="52"/>
      <c r="CC938" s="52">
        <v>15573286</v>
      </c>
      <c r="CD938" s="52"/>
      <c r="CE938" s="52"/>
      <c r="CF938" s="52"/>
      <c r="CG938" s="52">
        <f t="shared" si="148"/>
        <v>277851657</v>
      </c>
      <c r="CH938" s="52"/>
      <c r="CI938" s="52"/>
      <c r="CJ938" s="52"/>
      <c r="CK938" s="52"/>
      <c r="CL938" s="52"/>
      <c r="CM938" s="52"/>
      <c r="CN938" s="52"/>
      <c r="CO938" s="52"/>
      <c r="CP938" s="52"/>
      <c r="CQ938" s="52">
        <v>15573286</v>
      </c>
      <c r="CR938" s="52"/>
      <c r="CS938" s="52">
        <f t="shared" si="145"/>
        <v>293424943</v>
      </c>
      <c r="CT938" s="53">
        <v>124586288</v>
      </c>
      <c r="CU938" s="53">
        <f t="shared" si="146"/>
        <v>168838655</v>
      </c>
      <c r="CV938" s="54">
        <f t="shared" si="149"/>
        <v>293424943</v>
      </c>
      <c r="CW938" s="55">
        <f t="shared" si="150"/>
        <v>0</v>
      </c>
      <c r="CX938" s="16"/>
      <c r="CY938" s="16"/>
      <c r="CZ938" s="16"/>
    </row>
    <row r="939" spans="1:108" ht="15" customHeight="1" x14ac:dyDescent="0.2">
      <c r="A939" s="1">
        <v>8000507913</v>
      </c>
      <c r="B939" s="1">
        <v>800050791</v>
      </c>
      <c r="C939" s="9">
        <v>212015720</v>
      </c>
      <c r="D939" s="10" t="s">
        <v>305</v>
      </c>
      <c r="E939" s="46" t="s">
        <v>1337</v>
      </c>
      <c r="F939" s="21"/>
      <c r="G939" s="50"/>
      <c r="H939" s="21"/>
      <c r="I939" s="50"/>
      <c r="J939" s="21"/>
      <c r="K939" s="21"/>
      <c r="L939" s="50"/>
      <c r="M939" s="51"/>
      <c r="N939" s="21"/>
      <c r="O939" s="50"/>
      <c r="P939" s="21"/>
      <c r="Q939" s="50"/>
      <c r="R939" s="21"/>
      <c r="S939" s="21"/>
      <c r="T939" s="50"/>
      <c r="U939" s="51">
        <f t="shared" si="144"/>
        <v>0</v>
      </c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>
        <v>18061560</v>
      </c>
      <c r="AZ939" s="51"/>
      <c r="BA939" s="51">
        <f>VLOOKUP(B939,[1]Hoja3!J$3:K$674,2,0)</f>
        <v>28378697</v>
      </c>
      <c r="BB939" s="51"/>
      <c r="BC939" s="52">
        <f t="shared" si="147"/>
        <v>46440257</v>
      </c>
      <c r="BD939" s="51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>
        <v>3612312</v>
      </c>
      <c r="BO939" s="51"/>
      <c r="BP939" s="52">
        <v>50052569</v>
      </c>
      <c r="BQ939" s="52"/>
      <c r="BR939" s="52"/>
      <c r="BS939" s="52"/>
      <c r="BT939" s="52"/>
      <c r="BU939" s="52"/>
      <c r="BV939" s="52"/>
      <c r="BW939" s="52"/>
      <c r="BX939" s="52"/>
      <c r="BY939" s="52"/>
      <c r="BZ939" s="52"/>
      <c r="CA939" s="52"/>
      <c r="CB939" s="52"/>
      <c r="CC939" s="52">
        <v>3612312</v>
      </c>
      <c r="CD939" s="52"/>
      <c r="CE939" s="52"/>
      <c r="CF939" s="52"/>
      <c r="CG939" s="52">
        <f t="shared" si="148"/>
        <v>53664881</v>
      </c>
      <c r="CH939" s="52"/>
      <c r="CI939" s="52"/>
      <c r="CJ939" s="52"/>
      <c r="CK939" s="52"/>
      <c r="CL939" s="52"/>
      <c r="CM939" s="52"/>
      <c r="CN939" s="52"/>
      <c r="CO939" s="52"/>
      <c r="CP939" s="52"/>
      <c r="CQ939" s="52">
        <v>3612312</v>
      </c>
      <c r="CR939" s="52"/>
      <c r="CS939" s="52">
        <f t="shared" si="145"/>
        <v>57277193</v>
      </c>
      <c r="CT939" s="53">
        <v>28898496</v>
      </c>
      <c r="CU939" s="53">
        <f t="shared" si="146"/>
        <v>28378697</v>
      </c>
      <c r="CV939" s="54">
        <f t="shared" si="149"/>
        <v>57277193</v>
      </c>
      <c r="CW939" s="55">
        <f t="shared" si="150"/>
        <v>0</v>
      </c>
      <c r="CX939" s="16"/>
      <c r="CY939" s="8"/>
      <c r="CZ939" s="8"/>
      <c r="DA939" s="8"/>
      <c r="DB939" s="8"/>
      <c r="DC939" s="8"/>
      <c r="DD939" s="8"/>
    </row>
    <row r="940" spans="1:108" ht="15" customHeight="1" x14ac:dyDescent="0.2">
      <c r="A940" s="1">
        <v>8000994412</v>
      </c>
      <c r="B940" s="1">
        <v>800099441</v>
      </c>
      <c r="C940" s="9">
        <v>212315723</v>
      </c>
      <c r="D940" s="10" t="s">
        <v>306</v>
      </c>
      <c r="E940" s="46" t="s">
        <v>1338</v>
      </c>
      <c r="F940" s="21"/>
      <c r="G940" s="50"/>
      <c r="H940" s="21"/>
      <c r="I940" s="50"/>
      <c r="J940" s="21"/>
      <c r="K940" s="21"/>
      <c r="L940" s="50"/>
      <c r="M940" s="51"/>
      <c r="N940" s="21"/>
      <c r="O940" s="50"/>
      <c r="P940" s="21"/>
      <c r="Q940" s="50"/>
      <c r="R940" s="21"/>
      <c r="S940" s="21"/>
      <c r="T940" s="50"/>
      <c r="U940" s="51">
        <f t="shared" si="144"/>
        <v>0</v>
      </c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>
        <f>VLOOKUP(B940,[1]Hoja3!J$3:K$674,2,0)</f>
        <v>17252572</v>
      </c>
      <c r="BB940" s="51"/>
      <c r="BC940" s="52">
        <f t="shared" si="147"/>
        <v>17252572</v>
      </c>
      <c r="BD940" s="51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>
        <v>0</v>
      </c>
      <c r="BO940" s="51"/>
      <c r="BP940" s="52">
        <v>17252572</v>
      </c>
      <c r="BQ940" s="52"/>
      <c r="BR940" s="52"/>
      <c r="BS940" s="52"/>
      <c r="BT940" s="52"/>
      <c r="BU940" s="52"/>
      <c r="BV940" s="52"/>
      <c r="BW940" s="52"/>
      <c r="BX940" s="52"/>
      <c r="BY940" s="52"/>
      <c r="BZ940" s="52"/>
      <c r="CA940" s="52"/>
      <c r="CB940" s="52"/>
      <c r="CC940" s="52">
        <v>11989285</v>
      </c>
      <c r="CD940" s="52"/>
      <c r="CE940" s="52"/>
      <c r="CF940" s="52"/>
      <c r="CG940" s="52">
        <f t="shared" si="148"/>
        <v>29241857</v>
      </c>
      <c r="CH940" s="52"/>
      <c r="CI940" s="52"/>
      <c r="CJ940" s="52"/>
      <c r="CK940" s="52"/>
      <c r="CL940" s="52"/>
      <c r="CM940" s="52"/>
      <c r="CN940" s="52"/>
      <c r="CO940" s="52"/>
      <c r="CP940" s="52"/>
      <c r="CQ940" s="52">
        <v>1712755</v>
      </c>
      <c r="CR940" s="52"/>
      <c r="CS940" s="52">
        <f t="shared" si="145"/>
        <v>30954612</v>
      </c>
      <c r="CT940" s="53">
        <v>13702040</v>
      </c>
      <c r="CU940" s="53">
        <f t="shared" si="146"/>
        <v>17252572</v>
      </c>
      <c r="CV940" s="54">
        <f t="shared" si="149"/>
        <v>30954612</v>
      </c>
      <c r="CW940" s="55">
        <f t="shared" si="150"/>
        <v>0</v>
      </c>
      <c r="CX940" s="16"/>
      <c r="CY940" s="8"/>
      <c r="CZ940" s="8"/>
      <c r="DA940" s="8"/>
      <c r="DB940" s="8"/>
      <c r="DC940" s="8"/>
      <c r="DD940" s="8"/>
    </row>
    <row r="941" spans="1:108" ht="15" customHeight="1" x14ac:dyDescent="0.2">
      <c r="A941" s="1">
        <v>8909813912</v>
      </c>
      <c r="B941" s="1">
        <v>890981391</v>
      </c>
      <c r="C941" s="9">
        <v>213605736</v>
      </c>
      <c r="D941" s="10" t="s">
        <v>141</v>
      </c>
      <c r="E941" s="46" t="s">
        <v>1170</v>
      </c>
      <c r="F941" s="21"/>
      <c r="G941" s="50"/>
      <c r="H941" s="21"/>
      <c r="I941" s="50"/>
      <c r="J941" s="21"/>
      <c r="K941" s="21"/>
      <c r="L941" s="50"/>
      <c r="M941" s="51"/>
      <c r="N941" s="21"/>
      <c r="O941" s="50"/>
      <c r="P941" s="21"/>
      <c r="Q941" s="50"/>
      <c r="R941" s="21"/>
      <c r="S941" s="21"/>
      <c r="T941" s="50"/>
      <c r="U941" s="51">
        <f t="shared" si="144"/>
        <v>0</v>
      </c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>
        <v>247571115</v>
      </c>
      <c r="AZ941" s="51"/>
      <c r="BA941" s="51">
        <f>VLOOKUP(B941,[1]Hoja3!J$3:K$674,2,0)</f>
        <v>502889898</v>
      </c>
      <c r="BB941" s="51"/>
      <c r="BC941" s="52">
        <f t="shared" si="147"/>
        <v>750461013</v>
      </c>
      <c r="BD941" s="51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>
        <v>49514223</v>
      </c>
      <c r="BO941" s="51"/>
      <c r="BP941" s="52">
        <v>799975236</v>
      </c>
      <c r="BQ941" s="52"/>
      <c r="BR941" s="52"/>
      <c r="BS941" s="52"/>
      <c r="BT941" s="52"/>
      <c r="BU941" s="52"/>
      <c r="BV941" s="52"/>
      <c r="BW941" s="52"/>
      <c r="BX941" s="52"/>
      <c r="BY941" s="52"/>
      <c r="BZ941" s="52"/>
      <c r="CA941" s="52"/>
      <c r="CB941" s="52"/>
      <c r="CC941" s="52">
        <v>49514223</v>
      </c>
      <c r="CD941" s="52"/>
      <c r="CE941" s="52"/>
      <c r="CF941" s="52"/>
      <c r="CG941" s="52">
        <f t="shared" si="148"/>
        <v>849489459</v>
      </c>
      <c r="CH941" s="52"/>
      <c r="CI941" s="52"/>
      <c r="CJ941" s="52"/>
      <c r="CK941" s="52"/>
      <c r="CL941" s="52"/>
      <c r="CM941" s="52"/>
      <c r="CN941" s="52"/>
      <c r="CO941" s="52"/>
      <c r="CP941" s="52"/>
      <c r="CQ941" s="52">
        <v>49514223</v>
      </c>
      <c r="CR941" s="52">
        <v>10100049</v>
      </c>
      <c r="CS941" s="52">
        <f t="shared" si="145"/>
        <v>909103731</v>
      </c>
      <c r="CT941" s="53">
        <v>396113784</v>
      </c>
      <c r="CU941" s="53">
        <f t="shared" si="146"/>
        <v>512989947</v>
      </c>
      <c r="CV941" s="54">
        <f t="shared" si="149"/>
        <v>909103731</v>
      </c>
      <c r="CW941" s="55">
        <f t="shared" si="150"/>
        <v>0</v>
      </c>
      <c r="CX941" s="16"/>
      <c r="CY941" s="16"/>
      <c r="CZ941" s="16"/>
    </row>
    <row r="942" spans="1:108" ht="15" customHeight="1" x14ac:dyDescent="0.2">
      <c r="A942" s="1">
        <v>8999994152</v>
      </c>
      <c r="B942" s="1">
        <v>899999415</v>
      </c>
      <c r="C942" s="9">
        <v>213625736</v>
      </c>
      <c r="D942" s="10" t="s">
        <v>535</v>
      </c>
      <c r="E942" s="46" t="s">
        <v>1561</v>
      </c>
      <c r="F942" s="21"/>
      <c r="G942" s="50"/>
      <c r="H942" s="21"/>
      <c r="I942" s="50"/>
      <c r="J942" s="21"/>
      <c r="K942" s="21"/>
      <c r="L942" s="50"/>
      <c r="M942" s="51"/>
      <c r="N942" s="21"/>
      <c r="O942" s="50"/>
      <c r="P942" s="21"/>
      <c r="Q942" s="50"/>
      <c r="R942" s="21"/>
      <c r="S942" s="21"/>
      <c r="T942" s="50"/>
      <c r="U942" s="51">
        <f t="shared" si="144"/>
        <v>0</v>
      </c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>
        <v>167762183</v>
      </c>
      <c r="AN942" s="51">
        <f t="shared" ref="AN942:AN949" si="151">SUBTOTAL(9,AC942:AM942)</f>
        <v>167762183</v>
      </c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>
        <v>62950010</v>
      </c>
      <c r="AZ942" s="51"/>
      <c r="BA942" s="51"/>
      <c r="BB942" s="51"/>
      <c r="BC942" s="52">
        <f t="shared" si="147"/>
        <v>230712193</v>
      </c>
      <c r="BD942" s="51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>
        <v>12590002</v>
      </c>
      <c r="BO942" s="51"/>
      <c r="BP942" s="52">
        <v>243302195</v>
      </c>
      <c r="BQ942" s="52"/>
      <c r="BR942" s="52"/>
      <c r="BS942" s="52"/>
      <c r="BT942" s="52"/>
      <c r="BU942" s="52"/>
      <c r="BV942" s="52"/>
      <c r="BW942" s="52"/>
      <c r="BX942" s="52"/>
      <c r="BY942" s="52"/>
      <c r="BZ942" s="52"/>
      <c r="CA942" s="52"/>
      <c r="CB942" s="52"/>
      <c r="CC942" s="52">
        <v>12590002</v>
      </c>
      <c r="CD942" s="52"/>
      <c r="CE942" s="52"/>
      <c r="CF942" s="52"/>
      <c r="CG942" s="52">
        <f t="shared" si="148"/>
        <v>255892197</v>
      </c>
      <c r="CH942" s="52"/>
      <c r="CI942" s="52"/>
      <c r="CJ942" s="52"/>
      <c r="CK942" s="52"/>
      <c r="CL942" s="52"/>
      <c r="CM942" s="52"/>
      <c r="CN942" s="52"/>
      <c r="CO942" s="52"/>
      <c r="CP942" s="52"/>
      <c r="CQ942" s="52">
        <v>12590002</v>
      </c>
      <c r="CR942" s="52"/>
      <c r="CS942" s="52">
        <f t="shared" si="145"/>
        <v>268482199</v>
      </c>
      <c r="CT942" s="53">
        <v>100720016</v>
      </c>
      <c r="CU942" s="53">
        <f t="shared" si="146"/>
        <v>167762183</v>
      </c>
      <c r="CV942" s="54">
        <f t="shared" si="149"/>
        <v>268482199</v>
      </c>
      <c r="CW942" s="55">
        <f t="shared" si="150"/>
        <v>0</v>
      </c>
      <c r="CX942" s="16"/>
      <c r="CY942" s="16"/>
      <c r="CZ942" s="16"/>
    </row>
    <row r="943" spans="1:108" ht="15" customHeight="1" x14ac:dyDescent="0.2">
      <c r="A943" s="1">
        <v>8001005270</v>
      </c>
      <c r="B943" s="1">
        <v>800100527</v>
      </c>
      <c r="C943" s="9">
        <v>213676736</v>
      </c>
      <c r="D943" s="10" t="s">
        <v>939</v>
      </c>
      <c r="E943" s="46" t="s">
        <v>1999</v>
      </c>
      <c r="F943" s="21"/>
      <c r="G943" s="50"/>
      <c r="H943" s="21"/>
      <c r="I943" s="50"/>
      <c r="J943" s="21"/>
      <c r="K943" s="21"/>
      <c r="L943" s="50"/>
      <c r="M943" s="51"/>
      <c r="N943" s="21"/>
      <c r="O943" s="50"/>
      <c r="P943" s="21"/>
      <c r="Q943" s="50"/>
      <c r="R943" s="21"/>
      <c r="S943" s="21"/>
      <c r="T943" s="50"/>
      <c r="U943" s="51">
        <f t="shared" si="144"/>
        <v>0</v>
      </c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>
        <v>47482991</v>
      </c>
      <c r="AN943" s="51">
        <f t="shared" si="151"/>
        <v>47482991</v>
      </c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>
        <v>295298695</v>
      </c>
      <c r="AZ943" s="51"/>
      <c r="BA943" s="51">
        <f>VLOOKUP(B943,[1]Hoja3!J$3:K$674,2,0)</f>
        <v>386807411</v>
      </c>
      <c r="BB943" s="51"/>
      <c r="BC943" s="52">
        <f t="shared" si="147"/>
        <v>729589097</v>
      </c>
      <c r="BD943" s="51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>
        <v>59059739</v>
      </c>
      <c r="BO943" s="51"/>
      <c r="BP943" s="52">
        <v>788648836</v>
      </c>
      <c r="BQ943" s="52"/>
      <c r="BR943" s="52"/>
      <c r="BS943" s="52"/>
      <c r="BT943" s="52"/>
      <c r="BU943" s="52"/>
      <c r="BV943" s="52"/>
      <c r="BW943" s="52"/>
      <c r="BX943" s="52"/>
      <c r="BY943" s="52"/>
      <c r="BZ943" s="52"/>
      <c r="CA943" s="52"/>
      <c r="CB943" s="52"/>
      <c r="CC943" s="52">
        <v>59059739</v>
      </c>
      <c r="CD943" s="52"/>
      <c r="CE943" s="52"/>
      <c r="CF943" s="52"/>
      <c r="CG943" s="52">
        <f t="shared" si="148"/>
        <v>847708575</v>
      </c>
      <c r="CH943" s="52"/>
      <c r="CI943" s="52"/>
      <c r="CJ943" s="52"/>
      <c r="CK943" s="52"/>
      <c r="CL943" s="52"/>
      <c r="CM943" s="52"/>
      <c r="CN943" s="52"/>
      <c r="CO943" s="52"/>
      <c r="CP943" s="52"/>
      <c r="CQ943" s="52">
        <v>59059739</v>
      </c>
      <c r="CR943" s="52"/>
      <c r="CS943" s="52">
        <f t="shared" si="145"/>
        <v>906768314</v>
      </c>
      <c r="CT943" s="53">
        <v>472477912</v>
      </c>
      <c r="CU943" s="53">
        <f t="shared" si="146"/>
        <v>434290402</v>
      </c>
      <c r="CV943" s="54">
        <f t="shared" si="149"/>
        <v>906768314</v>
      </c>
      <c r="CW943" s="55">
        <f t="shared" si="150"/>
        <v>0</v>
      </c>
      <c r="CX943" s="16"/>
      <c r="CY943" s="16"/>
      <c r="CZ943" s="16"/>
    </row>
    <row r="944" spans="1:108" ht="15" customHeight="1" x14ac:dyDescent="0.2">
      <c r="A944" s="1">
        <v>8918019115</v>
      </c>
      <c r="B944" s="1">
        <v>891801911</v>
      </c>
      <c r="C944" s="9">
        <v>214015740</v>
      </c>
      <c r="D944" s="10" t="s">
        <v>307</v>
      </c>
      <c r="E944" s="46" t="s">
        <v>1339</v>
      </c>
      <c r="F944" s="21"/>
      <c r="G944" s="50"/>
      <c r="H944" s="21"/>
      <c r="I944" s="50"/>
      <c r="J944" s="21"/>
      <c r="K944" s="21"/>
      <c r="L944" s="50"/>
      <c r="M944" s="51"/>
      <c r="N944" s="21"/>
      <c r="O944" s="50"/>
      <c r="P944" s="21"/>
      <c r="Q944" s="50"/>
      <c r="R944" s="21"/>
      <c r="S944" s="21"/>
      <c r="T944" s="50"/>
      <c r="U944" s="51">
        <f t="shared" si="144"/>
        <v>0</v>
      </c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>
        <v>22127094</v>
      </c>
      <c r="AN944" s="51">
        <f t="shared" si="151"/>
        <v>22127094</v>
      </c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>
        <v>75745700</v>
      </c>
      <c r="AZ944" s="51"/>
      <c r="BA944" s="51">
        <f>VLOOKUP(B944,[1]Hoja3!J$3:K$674,2,0)</f>
        <v>118751760</v>
      </c>
      <c r="BB944" s="51"/>
      <c r="BC944" s="52">
        <f t="shared" si="147"/>
        <v>216624554</v>
      </c>
      <c r="BD944" s="51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>
        <v>15149140</v>
      </c>
      <c r="BO944" s="51"/>
      <c r="BP944" s="52">
        <v>231773694</v>
      </c>
      <c r="BQ944" s="52"/>
      <c r="BR944" s="52"/>
      <c r="BS944" s="52"/>
      <c r="BT944" s="52"/>
      <c r="BU944" s="52"/>
      <c r="BV944" s="52"/>
      <c r="BW944" s="52"/>
      <c r="BX944" s="52"/>
      <c r="BY944" s="52"/>
      <c r="BZ944" s="52"/>
      <c r="CA944" s="52"/>
      <c r="CB944" s="52"/>
      <c r="CC944" s="52">
        <v>15149140</v>
      </c>
      <c r="CD944" s="52"/>
      <c r="CE944" s="52"/>
      <c r="CF944" s="52"/>
      <c r="CG944" s="52">
        <f t="shared" si="148"/>
        <v>246922834</v>
      </c>
      <c r="CH944" s="52"/>
      <c r="CI944" s="52"/>
      <c r="CJ944" s="52"/>
      <c r="CK944" s="52"/>
      <c r="CL944" s="52"/>
      <c r="CM944" s="52"/>
      <c r="CN944" s="52"/>
      <c r="CO944" s="52"/>
      <c r="CP944" s="52"/>
      <c r="CQ944" s="52">
        <v>15149140</v>
      </c>
      <c r="CR944" s="52"/>
      <c r="CS944" s="52">
        <f t="shared" si="145"/>
        <v>262071974</v>
      </c>
      <c r="CT944" s="53">
        <v>121193120</v>
      </c>
      <c r="CU944" s="53">
        <f t="shared" si="146"/>
        <v>140878854</v>
      </c>
      <c r="CV944" s="54">
        <f t="shared" si="149"/>
        <v>262071974</v>
      </c>
      <c r="CW944" s="55">
        <f t="shared" si="150"/>
        <v>0</v>
      </c>
      <c r="CX944" s="16"/>
      <c r="CY944" s="8"/>
      <c r="CZ944" s="8"/>
      <c r="DA944" s="8"/>
      <c r="DB944" s="8"/>
      <c r="DC944" s="8"/>
      <c r="DD944" s="8"/>
    </row>
    <row r="945" spans="1:108" ht="15" customHeight="1" x14ac:dyDescent="0.2">
      <c r="A945" s="1">
        <v>8999993724</v>
      </c>
      <c r="B945" s="1">
        <v>899999372</v>
      </c>
      <c r="C945" s="9">
        <v>214025740</v>
      </c>
      <c r="D945" s="10" t="s">
        <v>536</v>
      </c>
      <c r="E945" s="46" t="s">
        <v>1562</v>
      </c>
      <c r="F945" s="21"/>
      <c r="G945" s="50"/>
      <c r="H945" s="21"/>
      <c r="I945" s="50"/>
      <c r="J945" s="21"/>
      <c r="K945" s="21"/>
      <c r="L945" s="50"/>
      <c r="M945" s="51"/>
      <c r="N945" s="21"/>
      <c r="O945" s="50"/>
      <c r="P945" s="21"/>
      <c r="Q945" s="50"/>
      <c r="R945" s="21"/>
      <c r="S945" s="21"/>
      <c r="T945" s="50"/>
      <c r="U945" s="51">
        <f t="shared" si="144"/>
        <v>0</v>
      </c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>
        <v>361674615</v>
      </c>
      <c r="AN945" s="51">
        <f t="shared" si="151"/>
        <v>361674615</v>
      </c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  <c r="BC945" s="52">
        <f t="shared" si="147"/>
        <v>361674615</v>
      </c>
      <c r="BD945" s="51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>
        <v>0</v>
      </c>
      <c r="BO945" s="51"/>
      <c r="BP945" s="52">
        <v>361674615</v>
      </c>
      <c r="BQ945" s="52"/>
      <c r="BR945" s="52"/>
      <c r="BS945" s="52"/>
      <c r="BT945" s="52"/>
      <c r="BU945" s="52"/>
      <c r="BV945" s="52"/>
      <c r="BW945" s="52"/>
      <c r="BX945" s="52"/>
      <c r="BY945" s="52"/>
      <c r="BZ945" s="52"/>
      <c r="CA945" s="52"/>
      <c r="CB945" s="52"/>
      <c r="CC945" s="52">
        <v>0</v>
      </c>
      <c r="CD945" s="52"/>
      <c r="CE945" s="52"/>
      <c r="CF945" s="52"/>
      <c r="CG945" s="52">
        <f t="shared" si="148"/>
        <v>361674615</v>
      </c>
      <c r="CH945" s="52"/>
      <c r="CI945" s="52"/>
      <c r="CJ945" s="52"/>
      <c r="CK945" s="52"/>
      <c r="CL945" s="52"/>
      <c r="CM945" s="52"/>
      <c r="CN945" s="52"/>
      <c r="CO945" s="52"/>
      <c r="CP945" s="52"/>
      <c r="CQ945" s="52">
        <v>267975608</v>
      </c>
      <c r="CR945" s="52"/>
      <c r="CS945" s="52">
        <f t="shared" si="145"/>
        <v>629650223</v>
      </c>
      <c r="CT945" s="53">
        <v>267975608</v>
      </c>
      <c r="CU945" s="53">
        <f t="shared" si="146"/>
        <v>361674615</v>
      </c>
      <c r="CV945" s="54">
        <f t="shared" si="149"/>
        <v>629650223</v>
      </c>
      <c r="CW945" s="55">
        <f t="shared" si="150"/>
        <v>0</v>
      </c>
      <c r="CX945" s="16"/>
      <c r="CY945" s="16"/>
      <c r="CZ945" s="16"/>
    </row>
    <row r="946" spans="1:108" ht="15" customHeight="1" x14ac:dyDescent="0.2">
      <c r="A946" s="1">
        <v>8912016456</v>
      </c>
      <c r="B946" s="1">
        <v>891201645</v>
      </c>
      <c r="C946" s="9">
        <v>214986749</v>
      </c>
      <c r="D946" s="10" t="s">
        <v>981</v>
      </c>
      <c r="E946" s="46" t="s">
        <v>2038</v>
      </c>
      <c r="F946" s="21"/>
      <c r="G946" s="50"/>
      <c r="H946" s="21"/>
      <c r="I946" s="50"/>
      <c r="J946" s="21"/>
      <c r="K946" s="21"/>
      <c r="L946" s="50"/>
      <c r="M946" s="51"/>
      <c r="N946" s="21"/>
      <c r="O946" s="50"/>
      <c r="P946" s="21"/>
      <c r="Q946" s="50"/>
      <c r="R946" s="21"/>
      <c r="S946" s="21"/>
      <c r="T946" s="50"/>
      <c r="U946" s="51">
        <f t="shared" si="144"/>
        <v>0</v>
      </c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>
        <v>257597742</v>
      </c>
      <c r="AN946" s="51">
        <f t="shared" si="151"/>
        <v>257597742</v>
      </c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>
        <v>113161110</v>
      </c>
      <c r="AZ946" s="51"/>
      <c r="BA946" s="51"/>
      <c r="BB946" s="51"/>
      <c r="BC946" s="52">
        <f t="shared" si="147"/>
        <v>370758852</v>
      </c>
      <c r="BD946" s="51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>
        <v>22632222</v>
      </c>
      <c r="BO946" s="51"/>
      <c r="BP946" s="52">
        <v>393391074</v>
      </c>
      <c r="BQ946" s="52"/>
      <c r="BR946" s="52"/>
      <c r="BS946" s="52"/>
      <c r="BT946" s="52"/>
      <c r="BU946" s="52"/>
      <c r="BV946" s="52"/>
      <c r="BW946" s="52"/>
      <c r="BX946" s="52"/>
      <c r="BY946" s="52"/>
      <c r="BZ946" s="52"/>
      <c r="CA946" s="52"/>
      <c r="CB946" s="52"/>
      <c r="CC946" s="52">
        <v>22632222</v>
      </c>
      <c r="CD946" s="52"/>
      <c r="CE946" s="52"/>
      <c r="CF946" s="52"/>
      <c r="CG946" s="52">
        <f t="shared" si="148"/>
        <v>416023296</v>
      </c>
      <c r="CH946" s="52"/>
      <c r="CI946" s="52"/>
      <c r="CJ946" s="52"/>
      <c r="CK946" s="52"/>
      <c r="CL946" s="52"/>
      <c r="CM946" s="52"/>
      <c r="CN946" s="52"/>
      <c r="CO946" s="52"/>
      <c r="CP946" s="52"/>
      <c r="CQ946" s="52">
        <v>22632222</v>
      </c>
      <c r="CR946" s="52"/>
      <c r="CS946" s="52">
        <f t="shared" si="145"/>
        <v>438655518</v>
      </c>
      <c r="CT946" s="53">
        <v>181057776</v>
      </c>
      <c r="CU946" s="53">
        <f t="shared" si="146"/>
        <v>257597742</v>
      </c>
      <c r="CV946" s="54">
        <f t="shared" si="149"/>
        <v>438655518</v>
      </c>
      <c r="CW946" s="55">
        <f t="shared" si="150"/>
        <v>0</v>
      </c>
      <c r="CX946" s="16"/>
      <c r="CY946" s="16"/>
      <c r="CZ946" s="16"/>
    </row>
    <row r="947" spans="1:108" ht="15" customHeight="1" x14ac:dyDescent="0.2">
      <c r="A947" s="1">
        <v>8905061286</v>
      </c>
      <c r="B947" s="1">
        <v>890506128</v>
      </c>
      <c r="C947" s="9">
        <v>214354743</v>
      </c>
      <c r="D947" s="10" t="s">
        <v>784</v>
      </c>
      <c r="E947" s="46" t="s">
        <v>1800</v>
      </c>
      <c r="F947" s="21"/>
      <c r="G947" s="50"/>
      <c r="H947" s="21"/>
      <c r="I947" s="50"/>
      <c r="J947" s="21"/>
      <c r="K947" s="21"/>
      <c r="L947" s="50"/>
      <c r="M947" s="51"/>
      <c r="N947" s="21"/>
      <c r="O947" s="50"/>
      <c r="P947" s="21"/>
      <c r="Q947" s="50"/>
      <c r="R947" s="21"/>
      <c r="S947" s="21"/>
      <c r="T947" s="50"/>
      <c r="U947" s="51">
        <f t="shared" si="144"/>
        <v>0</v>
      </c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>
        <v>24340853</v>
      </c>
      <c r="AN947" s="51">
        <f t="shared" si="151"/>
        <v>24340853</v>
      </c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>
        <v>44710940</v>
      </c>
      <c r="AZ947" s="51"/>
      <c r="BA947" s="51">
        <f>VLOOKUP(B947,[1]Hoja3!J$3:K$674,2,0)</f>
        <v>67584600</v>
      </c>
      <c r="BB947" s="51"/>
      <c r="BC947" s="52">
        <f t="shared" si="147"/>
        <v>136636393</v>
      </c>
      <c r="BD947" s="51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>
        <v>8942188</v>
      </c>
      <c r="BO947" s="51"/>
      <c r="BP947" s="52">
        <v>145578581</v>
      </c>
      <c r="BQ947" s="52"/>
      <c r="BR947" s="52"/>
      <c r="BS947" s="52"/>
      <c r="BT947" s="52"/>
      <c r="BU947" s="52"/>
      <c r="BV947" s="52"/>
      <c r="BW947" s="52"/>
      <c r="BX947" s="52"/>
      <c r="BY947" s="52"/>
      <c r="BZ947" s="52"/>
      <c r="CA947" s="52"/>
      <c r="CB947" s="52"/>
      <c r="CC947" s="52">
        <v>8942188</v>
      </c>
      <c r="CD947" s="52"/>
      <c r="CE947" s="52"/>
      <c r="CF947" s="52"/>
      <c r="CG947" s="52">
        <f t="shared" si="148"/>
        <v>154520769</v>
      </c>
      <c r="CH947" s="52"/>
      <c r="CI947" s="52"/>
      <c r="CJ947" s="52"/>
      <c r="CK947" s="52"/>
      <c r="CL947" s="52"/>
      <c r="CM947" s="52"/>
      <c r="CN947" s="52"/>
      <c r="CO947" s="52"/>
      <c r="CP947" s="52"/>
      <c r="CQ947" s="52">
        <v>8942188</v>
      </c>
      <c r="CR947" s="52"/>
      <c r="CS947" s="52">
        <f t="shared" si="145"/>
        <v>163462957</v>
      </c>
      <c r="CT947" s="53">
        <v>71537504</v>
      </c>
      <c r="CU947" s="53">
        <f t="shared" si="146"/>
        <v>91925453</v>
      </c>
      <c r="CV947" s="54">
        <f t="shared" si="149"/>
        <v>163462957</v>
      </c>
      <c r="CW947" s="55">
        <f t="shared" si="150"/>
        <v>0</v>
      </c>
      <c r="CX947" s="16"/>
      <c r="CY947" s="16"/>
      <c r="CZ947" s="16"/>
    </row>
    <row r="948" spans="1:108" ht="15" customHeight="1" x14ac:dyDescent="0.2">
      <c r="A948" s="1">
        <v>8906804370</v>
      </c>
      <c r="B948" s="1">
        <v>890680437</v>
      </c>
      <c r="C948" s="9">
        <v>214325743</v>
      </c>
      <c r="D948" s="10" t="s">
        <v>537</v>
      </c>
      <c r="E948" s="46" t="s">
        <v>1563</v>
      </c>
      <c r="F948" s="21"/>
      <c r="G948" s="50"/>
      <c r="H948" s="21"/>
      <c r="I948" s="50"/>
      <c r="J948" s="21"/>
      <c r="K948" s="21"/>
      <c r="L948" s="50"/>
      <c r="M948" s="51"/>
      <c r="N948" s="21"/>
      <c r="O948" s="50"/>
      <c r="P948" s="21"/>
      <c r="Q948" s="50"/>
      <c r="R948" s="21"/>
      <c r="S948" s="21"/>
      <c r="T948" s="50"/>
      <c r="U948" s="51">
        <f t="shared" si="144"/>
        <v>0</v>
      </c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>
        <v>311915386</v>
      </c>
      <c r="AN948" s="51">
        <f t="shared" si="151"/>
        <v>311915386</v>
      </c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>
        <v>138186500</v>
      </c>
      <c r="AZ948" s="51"/>
      <c r="BA948" s="51"/>
      <c r="BB948" s="51"/>
      <c r="BC948" s="52">
        <f t="shared" si="147"/>
        <v>450101886</v>
      </c>
      <c r="BD948" s="51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>
        <v>27637300</v>
      </c>
      <c r="BO948" s="51"/>
      <c r="BP948" s="52">
        <v>477739186</v>
      </c>
      <c r="BQ948" s="52"/>
      <c r="BR948" s="52"/>
      <c r="BS948" s="52"/>
      <c r="BT948" s="52"/>
      <c r="BU948" s="52"/>
      <c r="BV948" s="52"/>
      <c r="BW948" s="52"/>
      <c r="BX948" s="52"/>
      <c r="BY948" s="52"/>
      <c r="BZ948" s="52"/>
      <c r="CA948" s="52"/>
      <c r="CB948" s="52"/>
      <c r="CC948" s="52">
        <v>27637300</v>
      </c>
      <c r="CD948" s="52"/>
      <c r="CE948" s="52"/>
      <c r="CF948" s="52"/>
      <c r="CG948" s="52">
        <f t="shared" si="148"/>
        <v>505376486</v>
      </c>
      <c r="CH948" s="52"/>
      <c r="CI948" s="52"/>
      <c r="CJ948" s="52"/>
      <c r="CK948" s="52"/>
      <c r="CL948" s="52"/>
      <c r="CM948" s="52"/>
      <c r="CN948" s="52"/>
      <c r="CO948" s="52"/>
      <c r="CP948" s="52"/>
      <c r="CQ948" s="52">
        <v>27637300</v>
      </c>
      <c r="CR948" s="52"/>
      <c r="CS948" s="52">
        <f t="shared" si="145"/>
        <v>533013786</v>
      </c>
      <c r="CT948" s="53">
        <v>221098400</v>
      </c>
      <c r="CU948" s="53">
        <f t="shared" si="146"/>
        <v>311915386</v>
      </c>
      <c r="CV948" s="54">
        <f t="shared" si="149"/>
        <v>533013786</v>
      </c>
      <c r="CW948" s="55">
        <f t="shared" si="150"/>
        <v>0</v>
      </c>
      <c r="CX948" s="16"/>
      <c r="CY948" s="16"/>
      <c r="CZ948" s="16"/>
    </row>
    <row r="949" spans="1:108" ht="15" customHeight="1" x14ac:dyDescent="0.2">
      <c r="A949" s="1">
        <v>8000959866</v>
      </c>
      <c r="B949" s="1">
        <v>800095986</v>
      </c>
      <c r="C949" s="9">
        <v>214319743</v>
      </c>
      <c r="D949" s="10" t="s">
        <v>404</v>
      </c>
      <c r="E949" s="46" t="s">
        <v>1433</v>
      </c>
      <c r="F949" s="21"/>
      <c r="G949" s="50"/>
      <c r="H949" s="21"/>
      <c r="I949" s="50"/>
      <c r="J949" s="21"/>
      <c r="K949" s="21"/>
      <c r="L949" s="50"/>
      <c r="M949" s="51"/>
      <c r="N949" s="21"/>
      <c r="O949" s="50"/>
      <c r="P949" s="21"/>
      <c r="Q949" s="50"/>
      <c r="R949" s="21"/>
      <c r="S949" s="21"/>
      <c r="T949" s="50"/>
      <c r="U949" s="51">
        <f t="shared" si="144"/>
        <v>0</v>
      </c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>
        <v>37389652</v>
      </c>
      <c r="AN949" s="51">
        <f t="shared" si="151"/>
        <v>37389652</v>
      </c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>
        <f>VLOOKUP(B949,[1]Hoja3!J$3:K$674,2,0)</f>
        <v>138980967</v>
      </c>
      <c r="BB949" s="51"/>
      <c r="BC949" s="52">
        <f t="shared" si="147"/>
        <v>176370619</v>
      </c>
      <c r="BD949" s="51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>
        <v>0</v>
      </c>
      <c r="BO949" s="51"/>
      <c r="BP949" s="52">
        <v>176370619</v>
      </c>
      <c r="BQ949" s="52"/>
      <c r="BR949" s="52"/>
      <c r="BS949" s="52"/>
      <c r="BT949" s="52"/>
      <c r="BU949" s="52"/>
      <c r="BV949" s="52"/>
      <c r="BW949" s="52"/>
      <c r="BX949" s="52"/>
      <c r="BY949" s="52"/>
      <c r="BZ949" s="52"/>
      <c r="CA949" s="52"/>
      <c r="CB949" s="52"/>
      <c r="CC949" s="52">
        <v>0</v>
      </c>
      <c r="CD949" s="52"/>
      <c r="CE949" s="52"/>
      <c r="CF949" s="52"/>
      <c r="CG949" s="52">
        <f t="shared" si="148"/>
        <v>176370619</v>
      </c>
      <c r="CH949" s="52"/>
      <c r="CI949" s="52"/>
      <c r="CJ949" s="52"/>
      <c r="CK949" s="52"/>
      <c r="CL949" s="52"/>
      <c r="CM949" s="52"/>
      <c r="CN949" s="52"/>
      <c r="CO949" s="52"/>
      <c r="CP949" s="52"/>
      <c r="CQ949" s="52">
        <v>0</v>
      </c>
      <c r="CR949" s="52"/>
      <c r="CS949" s="52">
        <f t="shared" si="145"/>
        <v>176370619</v>
      </c>
      <c r="CT949" s="53"/>
      <c r="CU949" s="53">
        <f t="shared" si="146"/>
        <v>176370619</v>
      </c>
      <c r="CV949" s="54">
        <f t="shared" si="149"/>
        <v>176370619</v>
      </c>
      <c r="CW949" s="55">
        <f t="shared" si="150"/>
        <v>0</v>
      </c>
      <c r="CX949" s="16"/>
      <c r="CY949" s="16"/>
      <c r="CZ949" s="16"/>
    </row>
    <row r="950" spans="1:108" ht="15" customHeight="1" x14ac:dyDescent="0.2">
      <c r="A950" s="1">
        <v>8902088070</v>
      </c>
      <c r="B950" s="1">
        <v>890208807</v>
      </c>
      <c r="C950" s="9">
        <v>214568745</v>
      </c>
      <c r="D950" s="10" t="s">
        <v>880</v>
      </c>
      <c r="E950" s="46" t="s">
        <v>1893</v>
      </c>
      <c r="F950" s="21"/>
      <c r="G950" s="50"/>
      <c r="H950" s="21"/>
      <c r="I950" s="50"/>
      <c r="J950" s="21"/>
      <c r="K950" s="21"/>
      <c r="L950" s="50"/>
      <c r="M950" s="51"/>
      <c r="N950" s="21"/>
      <c r="O950" s="50"/>
      <c r="P950" s="21"/>
      <c r="Q950" s="50"/>
      <c r="R950" s="21"/>
      <c r="S950" s="21"/>
      <c r="T950" s="50"/>
      <c r="U950" s="51">
        <f t="shared" si="144"/>
        <v>0</v>
      </c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>
        <v>67821210</v>
      </c>
      <c r="AZ950" s="51"/>
      <c r="BA950" s="51">
        <f>VLOOKUP(B950,[1]Hoja3!J$3:K$674,2,0)</f>
        <v>154090801</v>
      </c>
      <c r="BB950" s="51"/>
      <c r="BC950" s="52">
        <f t="shared" si="147"/>
        <v>221912011</v>
      </c>
      <c r="BD950" s="51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>
        <v>13564242</v>
      </c>
      <c r="BO950" s="51"/>
      <c r="BP950" s="52">
        <v>235476253</v>
      </c>
      <c r="BQ950" s="52"/>
      <c r="BR950" s="52"/>
      <c r="BS950" s="52"/>
      <c r="BT950" s="52"/>
      <c r="BU950" s="52"/>
      <c r="BV950" s="52"/>
      <c r="BW950" s="52"/>
      <c r="BX950" s="52"/>
      <c r="BY950" s="52"/>
      <c r="BZ950" s="52"/>
      <c r="CA950" s="52"/>
      <c r="CB950" s="52"/>
      <c r="CC950" s="52">
        <v>13564242</v>
      </c>
      <c r="CD950" s="52"/>
      <c r="CE950" s="52"/>
      <c r="CF950" s="52"/>
      <c r="CG950" s="52">
        <f t="shared" si="148"/>
        <v>249040495</v>
      </c>
      <c r="CH950" s="52"/>
      <c r="CI950" s="52"/>
      <c r="CJ950" s="52"/>
      <c r="CK950" s="52"/>
      <c r="CL950" s="52"/>
      <c r="CM950" s="52"/>
      <c r="CN950" s="52"/>
      <c r="CO950" s="52"/>
      <c r="CP950" s="52"/>
      <c r="CQ950" s="52">
        <v>13564242</v>
      </c>
      <c r="CR950" s="52"/>
      <c r="CS950" s="52">
        <f t="shared" si="145"/>
        <v>262604737</v>
      </c>
      <c r="CT950" s="53">
        <v>108513936</v>
      </c>
      <c r="CU950" s="53">
        <f t="shared" si="146"/>
        <v>154090801</v>
      </c>
      <c r="CV950" s="54">
        <f t="shared" si="149"/>
        <v>262604737</v>
      </c>
      <c r="CW950" s="55">
        <f t="shared" si="150"/>
        <v>0</v>
      </c>
      <c r="CX950" s="16"/>
      <c r="CY950" s="16"/>
      <c r="CZ950" s="16"/>
    </row>
    <row r="951" spans="1:108" ht="15" customHeight="1" x14ac:dyDescent="0.2">
      <c r="A951" s="1">
        <v>8999993842</v>
      </c>
      <c r="B951" s="1">
        <v>899999384</v>
      </c>
      <c r="C951" s="9">
        <v>214525745</v>
      </c>
      <c r="D951" s="10" t="s">
        <v>538</v>
      </c>
      <c r="E951" s="48" t="s">
        <v>2104</v>
      </c>
      <c r="F951" s="21"/>
      <c r="G951" s="50"/>
      <c r="H951" s="21"/>
      <c r="I951" s="50"/>
      <c r="J951" s="21"/>
      <c r="K951" s="21"/>
      <c r="L951" s="50"/>
      <c r="M951" s="51"/>
      <c r="N951" s="21"/>
      <c r="O951" s="50"/>
      <c r="P951" s="21"/>
      <c r="Q951" s="50"/>
      <c r="R951" s="21"/>
      <c r="S951" s="21"/>
      <c r="T951" s="50"/>
      <c r="U951" s="51">
        <f t="shared" si="144"/>
        <v>0</v>
      </c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>
        <v>195255486</v>
      </c>
      <c r="AN951" s="51">
        <f>SUBTOTAL(9,AC951:AM951)</f>
        <v>195255486</v>
      </c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>
        <v>79834025</v>
      </c>
      <c r="AZ951" s="51"/>
      <c r="BA951" s="51"/>
      <c r="BB951" s="51"/>
      <c r="BC951" s="52">
        <f t="shared" si="147"/>
        <v>275089511</v>
      </c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>
        <v>15966805</v>
      </c>
      <c r="BO951" s="51"/>
      <c r="BP951" s="52">
        <v>291056316</v>
      </c>
      <c r="BQ951" s="52"/>
      <c r="BR951" s="52"/>
      <c r="BS951" s="52"/>
      <c r="BT951" s="52"/>
      <c r="BU951" s="52"/>
      <c r="BV951" s="52"/>
      <c r="BW951" s="52"/>
      <c r="BX951" s="52"/>
      <c r="BY951" s="52"/>
      <c r="BZ951" s="52"/>
      <c r="CA951" s="52"/>
      <c r="CB951" s="52"/>
      <c r="CC951" s="52">
        <v>15966805</v>
      </c>
      <c r="CD951" s="52"/>
      <c r="CE951" s="52"/>
      <c r="CF951" s="52"/>
      <c r="CG951" s="52">
        <f t="shared" si="148"/>
        <v>307023121</v>
      </c>
      <c r="CH951" s="52"/>
      <c r="CI951" s="52"/>
      <c r="CJ951" s="52"/>
      <c r="CK951" s="52"/>
      <c r="CL951" s="52"/>
      <c r="CM951" s="52"/>
      <c r="CN951" s="52"/>
      <c r="CO951" s="52"/>
      <c r="CP951" s="52"/>
      <c r="CQ951" s="52">
        <v>15966805</v>
      </c>
      <c r="CR951" s="52"/>
      <c r="CS951" s="52">
        <f t="shared" si="145"/>
        <v>322989926</v>
      </c>
      <c r="CT951" s="53">
        <v>127734440</v>
      </c>
      <c r="CU951" s="53">
        <f t="shared" si="146"/>
        <v>195255486</v>
      </c>
      <c r="CV951" s="54">
        <f t="shared" si="149"/>
        <v>322989926</v>
      </c>
      <c r="CW951" s="55">
        <f t="shared" si="150"/>
        <v>0</v>
      </c>
      <c r="CX951" s="16"/>
      <c r="CY951" s="16"/>
      <c r="CZ951" s="16"/>
    </row>
    <row r="952" spans="1:108" ht="15" customHeight="1" x14ac:dyDescent="0.2">
      <c r="A952" s="1">
        <v>8904800061</v>
      </c>
      <c r="B952" s="1">
        <v>890480006</v>
      </c>
      <c r="C952" s="9">
        <v>214413744</v>
      </c>
      <c r="D952" s="10" t="s">
        <v>209</v>
      </c>
      <c r="E952" s="46" t="s">
        <v>1244</v>
      </c>
      <c r="F952" s="21"/>
      <c r="G952" s="50"/>
      <c r="H952" s="21"/>
      <c r="I952" s="50"/>
      <c r="J952" s="21"/>
      <c r="K952" s="21"/>
      <c r="L952" s="50"/>
      <c r="M952" s="51"/>
      <c r="N952" s="21"/>
      <c r="O952" s="50"/>
      <c r="P952" s="21"/>
      <c r="Q952" s="50"/>
      <c r="R952" s="21"/>
      <c r="S952" s="21"/>
      <c r="T952" s="50"/>
      <c r="U952" s="51">
        <f t="shared" si="144"/>
        <v>0</v>
      </c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>
        <v>212349950</v>
      </c>
      <c r="AZ952" s="51"/>
      <c r="BA952" s="51">
        <f>VLOOKUP(B952,[1]Hoja3!J$3:K$674,2,0)</f>
        <v>333440823</v>
      </c>
      <c r="BB952" s="51"/>
      <c r="BC952" s="52">
        <f t="shared" si="147"/>
        <v>545790773</v>
      </c>
      <c r="BD952" s="51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>
        <v>42469990</v>
      </c>
      <c r="BO952" s="51"/>
      <c r="BP952" s="52">
        <v>588260763</v>
      </c>
      <c r="BQ952" s="52"/>
      <c r="BR952" s="52"/>
      <c r="BS952" s="52"/>
      <c r="BT952" s="52"/>
      <c r="BU952" s="52"/>
      <c r="BV952" s="52"/>
      <c r="BW952" s="52"/>
      <c r="BX952" s="52"/>
      <c r="BY952" s="52"/>
      <c r="BZ952" s="52"/>
      <c r="CA952" s="52"/>
      <c r="CB952" s="52"/>
      <c r="CC952" s="52">
        <v>42469990</v>
      </c>
      <c r="CD952" s="52"/>
      <c r="CE952" s="52"/>
      <c r="CF952" s="52"/>
      <c r="CG952" s="52">
        <f t="shared" si="148"/>
        <v>630730753</v>
      </c>
      <c r="CH952" s="52"/>
      <c r="CI952" s="52"/>
      <c r="CJ952" s="52"/>
      <c r="CK952" s="52"/>
      <c r="CL952" s="52"/>
      <c r="CM952" s="52"/>
      <c r="CN952" s="52"/>
      <c r="CO952" s="52"/>
      <c r="CP952" s="52"/>
      <c r="CQ952" s="52">
        <v>42469990</v>
      </c>
      <c r="CR952" s="52"/>
      <c r="CS952" s="52">
        <f t="shared" si="145"/>
        <v>673200743</v>
      </c>
      <c r="CT952" s="53">
        <v>339759920</v>
      </c>
      <c r="CU952" s="53">
        <f t="shared" si="146"/>
        <v>333440823</v>
      </c>
      <c r="CV952" s="54">
        <f t="shared" si="149"/>
        <v>673200743</v>
      </c>
      <c r="CW952" s="55">
        <f t="shared" si="150"/>
        <v>0</v>
      </c>
      <c r="CX952" s="16"/>
      <c r="CY952" s="8"/>
      <c r="CZ952" s="8"/>
      <c r="DA952" s="8"/>
      <c r="DB952" s="8"/>
      <c r="DC952" s="8"/>
      <c r="DD952" s="8"/>
    </row>
    <row r="953" spans="1:108" ht="15" customHeight="1" x14ac:dyDescent="0.2">
      <c r="A953" s="1">
        <v>8001040626</v>
      </c>
      <c r="B953" s="1">
        <v>800104062</v>
      </c>
      <c r="C953" s="9">
        <v>210170001</v>
      </c>
      <c r="D953" s="10" t="s">
        <v>2183</v>
      </c>
      <c r="E953" s="47" t="s">
        <v>1028</v>
      </c>
      <c r="F953" s="21"/>
      <c r="G953" s="50"/>
      <c r="H953" s="21"/>
      <c r="I953" s="50">
        <f>7984619151+135364006</f>
        <v>8119983157</v>
      </c>
      <c r="J953" s="21">
        <v>538215964</v>
      </c>
      <c r="K953" s="21">
        <v>1067352655</v>
      </c>
      <c r="L953" s="50"/>
      <c r="M953" s="52">
        <f>SUM(F953:L953)</f>
        <v>9725551776</v>
      </c>
      <c r="N953" s="21"/>
      <c r="O953" s="50"/>
      <c r="P953" s="21"/>
      <c r="Q953" s="50">
        <f>7625898871+61529094</f>
        <v>7687427965</v>
      </c>
      <c r="R953" s="21">
        <v>538302868</v>
      </c>
      <c r="S953" s="21">
        <f>529136691+538302868</f>
        <v>1067439559</v>
      </c>
      <c r="T953" s="50"/>
      <c r="U953" s="51">
        <f t="shared" si="144"/>
        <v>19018722168</v>
      </c>
      <c r="V953" s="51"/>
      <c r="W953" s="51"/>
      <c r="X953" s="51"/>
      <c r="Y953" s="51">
        <v>10777976911</v>
      </c>
      <c r="Z953" s="51">
        <v>473064168</v>
      </c>
      <c r="AA953" s="51">
        <v>1106833051</v>
      </c>
      <c r="AB953" s="51"/>
      <c r="AC953" s="51">
        <f t="shared" ref="AC953:AC963" si="152">SUM(U953:AB953)</f>
        <v>31376596298</v>
      </c>
      <c r="AD953" s="51"/>
      <c r="AE953" s="51"/>
      <c r="AF953" s="51"/>
      <c r="AG953" s="51"/>
      <c r="AH953" s="51">
        <v>8058149094</v>
      </c>
      <c r="AI953" s="51">
        <v>753105073</v>
      </c>
      <c r="AJ953" s="51">
        <v>538842801</v>
      </c>
      <c r="AK953" s="51">
        <v>1358330284</v>
      </c>
      <c r="AL953" s="51"/>
      <c r="AM953" s="51">
        <v>3610643178</v>
      </c>
      <c r="AN953" s="51">
        <f>SUBTOTAL(9,AC953:AM953)</f>
        <v>45695666728</v>
      </c>
      <c r="AO953" s="51"/>
      <c r="AP953" s="51"/>
      <c r="AQ953" s="51">
        <v>1860934215</v>
      </c>
      <c r="AR953" s="51"/>
      <c r="AS953" s="51"/>
      <c r="AT953" s="51">
        <v>8058149094</v>
      </c>
      <c r="AU953" s="51"/>
      <c r="AV953" s="51">
        <v>538842801</v>
      </c>
      <c r="AW953" s="51">
        <v>920013442</v>
      </c>
      <c r="AX953" s="51"/>
      <c r="AY953" s="51"/>
      <c r="AZ953" s="51">
        <v>1403866439</v>
      </c>
      <c r="BA953" s="51">
        <f>VLOOKUP(B953,[1]Hoja3!J$3:K$674,2,0)</f>
        <v>79514134</v>
      </c>
      <c r="BB953" s="51"/>
      <c r="BC953" s="52">
        <f t="shared" si="147"/>
        <v>58556986853</v>
      </c>
      <c r="BD953" s="51"/>
      <c r="BE953" s="51"/>
      <c r="BF953" s="51">
        <v>372186843</v>
      </c>
      <c r="BG953" s="51"/>
      <c r="BH953" s="51"/>
      <c r="BI953" s="51">
        <v>8268106263</v>
      </c>
      <c r="BJ953" s="51">
        <v>287007534</v>
      </c>
      <c r="BK953" s="51">
        <v>512825011</v>
      </c>
      <c r="BL953" s="51">
        <v>1036689478</v>
      </c>
      <c r="BM953" s="51"/>
      <c r="BN953" s="51"/>
      <c r="BO953" s="51"/>
      <c r="BP953" s="52">
        <v>69033801982</v>
      </c>
      <c r="BQ953" s="52"/>
      <c r="BR953" s="52"/>
      <c r="BS953" s="52">
        <v>372186843</v>
      </c>
      <c r="BT953" s="52"/>
      <c r="BU953" s="52"/>
      <c r="BV953" s="52"/>
      <c r="BW953" s="52">
        <v>8054015061</v>
      </c>
      <c r="BX953" s="52"/>
      <c r="BY953" s="52">
        <v>3528311409</v>
      </c>
      <c r="BZ953" s="52">
        <v>572874747</v>
      </c>
      <c r="CA953" s="52">
        <v>1435555738</v>
      </c>
      <c r="CB953" s="52"/>
      <c r="CC953" s="52"/>
      <c r="CD953" s="52"/>
      <c r="CE953" s="52"/>
      <c r="CF953" s="52"/>
      <c r="CG953" s="52">
        <f t="shared" si="148"/>
        <v>82996745780</v>
      </c>
      <c r="CH953" s="52"/>
      <c r="CI953" s="52"/>
      <c r="CJ953" s="52">
        <v>372186843</v>
      </c>
      <c r="CK953" s="52"/>
      <c r="CL953" s="52">
        <v>8279123092</v>
      </c>
      <c r="CM953" s="52">
        <v>0</v>
      </c>
      <c r="CN953" s="52">
        <v>563139892</v>
      </c>
      <c r="CO953" s="52">
        <v>1003724727</v>
      </c>
      <c r="CP953" s="52"/>
      <c r="CQ953" s="52"/>
      <c r="CR953" s="52"/>
      <c r="CS953" s="52">
        <f t="shared" si="145"/>
        <v>93214920334</v>
      </c>
      <c r="CT953" s="53">
        <v>89524763022</v>
      </c>
      <c r="CU953" s="53">
        <f t="shared" si="146"/>
        <v>3690157312</v>
      </c>
      <c r="CV953" s="54">
        <f t="shared" si="149"/>
        <v>93214920334</v>
      </c>
      <c r="CW953" s="55">
        <f t="shared" si="150"/>
        <v>0</v>
      </c>
      <c r="CX953" s="16"/>
      <c r="CY953" s="16"/>
      <c r="CZ953" s="16"/>
    </row>
    <row r="954" spans="1:108" ht="15" customHeight="1" x14ac:dyDescent="0.2">
      <c r="A954" s="1">
        <v>8001007474</v>
      </c>
      <c r="B954" s="1">
        <v>800100747</v>
      </c>
      <c r="C954" s="9">
        <v>214270742</v>
      </c>
      <c r="D954" s="10" t="s">
        <v>2138</v>
      </c>
      <c r="E954" s="46" t="s">
        <v>1924</v>
      </c>
      <c r="F954" s="21"/>
      <c r="G954" s="50"/>
      <c r="H954" s="21"/>
      <c r="I954" s="50"/>
      <c r="J954" s="21"/>
      <c r="K954" s="21"/>
      <c r="L954" s="50"/>
      <c r="M954" s="51"/>
      <c r="N954" s="21"/>
      <c r="O954" s="50"/>
      <c r="P954" s="21"/>
      <c r="Q954" s="50"/>
      <c r="R954" s="21"/>
      <c r="S954" s="21"/>
      <c r="T954" s="50"/>
      <c r="U954" s="51">
        <f t="shared" si="144"/>
        <v>0</v>
      </c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>
        <f>VLOOKUP(B954,[1]Hoja3!J$3:K$674,2,0)</f>
        <v>423216012</v>
      </c>
      <c r="BB954" s="51"/>
      <c r="BC954" s="52">
        <f t="shared" si="147"/>
        <v>423216012</v>
      </c>
      <c r="BD954" s="51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>
        <v>0</v>
      </c>
      <c r="BO954" s="51"/>
      <c r="BP954" s="52">
        <v>423216012</v>
      </c>
      <c r="BQ954" s="52"/>
      <c r="BR954" s="52"/>
      <c r="BS954" s="52"/>
      <c r="BT954" s="52"/>
      <c r="BU954" s="52"/>
      <c r="BV954" s="52"/>
      <c r="BW954" s="52"/>
      <c r="BX954" s="52"/>
      <c r="BY954" s="52"/>
      <c r="BZ954" s="52"/>
      <c r="CA954" s="52"/>
      <c r="CB954" s="52"/>
      <c r="CC954" s="52">
        <v>325549301</v>
      </c>
      <c r="CD954" s="52"/>
      <c r="CE954" s="52"/>
      <c r="CF954" s="52"/>
      <c r="CG954" s="52">
        <f t="shared" si="148"/>
        <v>748765313</v>
      </c>
      <c r="CH954" s="52"/>
      <c r="CI954" s="52"/>
      <c r="CJ954" s="52"/>
      <c r="CK954" s="52"/>
      <c r="CL954" s="52"/>
      <c r="CM954" s="52"/>
      <c r="CN954" s="52"/>
      <c r="CO954" s="52"/>
      <c r="CP954" s="52"/>
      <c r="CQ954" s="52">
        <v>46507043</v>
      </c>
      <c r="CR954" s="52"/>
      <c r="CS954" s="52">
        <f t="shared" si="145"/>
        <v>795272356</v>
      </c>
      <c r="CT954" s="53">
        <v>372056344</v>
      </c>
      <c r="CU954" s="53">
        <f t="shared" si="146"/>
        <v>423216012</v>
      </c>
      <c r="CV954" s="54">
        <f t="shared" si="149"/>
        <v>795272356</v>
      </c>
      <c r="CW954" s="55">
        <f t="shared" si="150"/>
        <v>0</v>
      </c>
      <c r="CX954" s="16"/>
      <c r="CY954" s="16"/>
      <c r="CZ954" s="16"/>
    </row>
    <row r="955" spans="1:108" ht="15" customHeight="1" x14ac:dyDescent="0.2">
      <c r="A955" s="1">
        <v>8000956134</v>
      </c>
      <c r="B955" s="1">
        <v>800095613</v>
      </c>
      <c r="C955" s="9">
        <v>214527745</v>
      </c>
      <c r="D955" s="10" t="s">
        <v>589</v>
      </c>
      <c r="E955" s="46" t="s">
        <v>1599</v>
      </c>
      <c r="F955" s="21"/>
      <c r="G955" s="50"/>
      <c r="H955" s="21"/>
      <c r="I955" s="50"/>
      <c r="J955" s="21"/>
      <c r="K955" s="21"/>
      <c r="L955" s="50"/>
      <c r="M955" s="51"/>
      <c r="N955" s="21"/>
      <c r="O955" s="50"/>
      <c r="P955" s="21"/>
      <c r="Q955" s="50"/>
      <c r="R955" s="21"/>
      <c r="S955" s="21"/>
      <c r="T955" s="50"/>
      <c r="U955" s="51">
        <f t="shared" si="144"/>
        <v>0</v>
      </c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>
        <v>67253716</v>
      </c>
      <c r="AN955" s="51">
        <f>SUBTOTAL(9,AC955:AM955)</f>
        <v>67253716</v>
      </c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>
        <v>38236095</v>
      </c>
      <c r="AZ955" s="51"/>
      <c r="BA955" s="51"/>
      <c r="BB955" s="51"/>
      <c r="BC955" s="52">
        <f t="shared" si="147"/>
        <v>105489811</v>
      </c>
      <c r="BD955" s="51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>
        <v>7647219</v>
      </c>
      <c r="BO955" s="51"/>
      <c r="BP955" s="52">
        <v>113137030</v>
      </c>
      <c r="BQ955" s="52"/>
      <c r="BR955" s="52"/>
      <c r="BS955" s="52"/>
      <c r="BT955" s="52"/>
      <c r="BU955" s="52"/>
      <c r="BV955" s="52"/>
      <c r="BW955" s="52"/>
      <c r="BX955" s="52"/>
      <c r="BY955" s="52"/>
      <c r="BZ955" s="52"/>
      <c r="CA955" s="52"/>
      <c r="CB955" s="52"/>
      <c r="CC955" s="52">
        <v>7647219</v>
      </c>
      <c r="CD955" s="52"/>
      <c r="CE955" s="52"/>
      <c r="CF955" s="52"/>
      <c r="CG955" s="52">
        <f t="shared" si="148"/>
        <v>120784249</v>
      </c>
      <c r="CH955" s="52"/>
      <c r="CI955" s="52"/>
      <c r="CJ955" s="52"/>
      <c r="CK955" s="52"/>
      <c r="CL955" s="52"/>
      <c r="CM955" s="52"/>
      <c r="CN955" s="52"/>
      <c r="CO955" s="52"/>
      <c r="CP955" s="52"/>
      <c r="CQ955" s="52">
        <v>7647219</v>
      </c>
      <c r="CR955" s="52"/>
      <c r="CS955" s="52">
        <f t="shared" si="145"/>
        <v>128431468</v>
      </c>
      <c r="CT955" s="53">
        <v>61177752</v>
      </c>
      <c r="CU955" s="53">
        <f t="shared" si="146"/>
        <v>67253716</v>
      </c>
      <c r="CV955" s="54">
        <f t="shared" si="149"/>
        <v>128431468</v>
      </c>
      <c r="CW955" s="55">
        <f t="shared" si="150"/>
        <v>0</v>
      </c>
      <c r="CX955" s="16"/>
      <c r="CY955" s="16"/>
      <c r="CZ955" s="16"/>
    </row>
    <row r="956" spans="1:108" ht="15" customHeight="1" x14ac:dyDescent="0.2">
      <c r="A956" s="1">
        <v>8917801039</v>
      </c>
      <c r="B956" s="1">
        <v>891780103</v>
      </c>
      <c r="C956" s="9">
        <v>214547745</v>
      </c>
      <c r="D956" s="10" t="s">
        <v>662</v>
      </c>
      <c r="E956" s="46" t="s">
        <v>1682</v>
      </c>
      <c r="F956" s="21"/>
      <c r="G956" s="50"/>
      <c r="H956" s="21"/>
      <c r="I956" s="50"/>
      <c r="J956" s="21"/>
      <c r="K956" s="21"/>
      <c r="L956" s="50"/>
      <c r="M956" s="51"/>
      <c r="N956" s="21"/>
      <c r="O956" s="50"/>
      <c r="P956" s="21"/>
      <c r="Q956" s="50"/>
      <c r="R956" s="21"/>
      <c r="S956" s="21"/>
      <c r="T956" s="50"/>
      <c r="U956" s="51">
        <f t="shared" si="144"/>
        <v>0</v>
      </c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>
        <v>172486315</v>
      </c>
      <c r="AN956" s="51">
        <f>SUBTOTAL(9,AC956:AM956)</f>
        <v>172486315</v>
      </c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>
        <f>VLOOKUP(B956,[1]Hoja3!J$3:K$674,2,0)</f>
        <v>271301680</v>
      </c>
      <c r="BB956" s="51"/>
      <c r="BC956" s="52">
        <f t="shared" si="147"/>
        <v>443787995</v>
      </c>
      <c r="BD956" s="51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>
        <v>0</v>
      </c>
      <c r="BO956" s="51"/>
      <c r="BP956" s="52">
        <v>443787995</v>
      </c>
      <c r="BQ956" s="52"/>
      <c r="BR956" s="52"/>
      <c r="BS956" s="52"/>
      <c r="BT956" s="52"/>
      <c r="BU956" s="52"/>
      <c r="BV956" s="52"/>
      <c r="BW956" s="52"/>
      <c r="BX956" s="52"/>
      <c r="BY956" s="52"/>
      <c r="BZ956" s="52"/>
      <c r="CA956" s="52"/>
      <c r="CB956" s="52"/>
      <c r="CC956" s="52">
        <v>0</v>
      </c>
      <c r="CD956" s="52"/>
      <c r="CE956" s="52"/>
      <c r="CF956" s="52"/>
      <c r="CG956" s="52">
        <f t="shared" si="148"/>
        <v>443787995</v>
      </c>
      <c r="CH956" s="52"/>
      <c r="CI956" s="52"/>
      <c r="CJ956" s="52"/>
      <c r="CK956" s="52"/>
      <c r="CL956" s="52"/>
      <c r="CM956" s="52"/>
      <c r="CN956" s="52"/>
      <c r="CO956" s="52"/>
      <c r="CP956" s="52"/>
      <c r="CQ956" s="52">
        <v>413475400</v>
      </c>
      <c r="CR956" s="52"/>
      <c r="CS956" s="52">
        <f t="shared" si="145"/>
        <v>857263395</v>
      </c>
      <c r="CT956" s="53">
        <v>413475400</v>
      </c>
      <c r="CU956" s="53">
        <f t="shared" si="146"/>
        <v>443787995</v>
      </c>
      <c r="CV956" s="54">
        <f t="shared" si="149"/>
        <v>857263395</v>
      </c>
      <c r="CW956" s="55">
        <f t="shared" si="150"/>
        <v>0</v>
      </c>
      <c r="CX956" s="16"/>
      <c r="CY956" s="16"/>
      <c r="CZ956" s="16"/>
    </row>
    <row r="957" spans="1:108" ht="15" customHeight="1" x14ac:dyDescent="0.2">
      <c r="A957" s="1">
        <v>8000226188</v>
      </c>
      <c r="B957" s="1">
        <v>800022618</v>
      </c>
      <c r="C957" s="9">
        <v>215805658</v>
      </c>
      <c r="D957" s="10" t="s">
        <v>2128</v>
      </c>
      <c r="E957" s="46" t="s">
        <v>1159</v>
      </c>
      <c r="F957" s="21"/>
      <c r="G957" s="50"/>
      <c r="H957" s="21"/>
      <c r="I957" s="50"/>
      <c r="J957" s="21"/>
      <c r="K957" s="21"/>
      <c r="L957" s="50"/>
      <c r="M957" s="51"/>
      <c r="N957" s="21"/>
      <c r="O957" s="50"/>
      <c r="P957" s="21"/>
      <c r="Q957" s="50"/>
      <c r="R957" s="21"/>
      <c r="S957" s="21"/>
      <c r="T957" s="50"/>
      <c r="U957" s="51">
        <f t="shared" si="144"/>
        <v>0</v>
      </c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>
        <v>20634310</v>
      </c>
      <c r="AZ957" s="51"/>
      <c r="BA957" s="51">
        <f>VLOOKUP(B957,[1]Hoja3!J$3:K$674,2,0)</f>
        <v>52273659</v>
      </c>
      <c r="BB957" s="51"/>
      <c r="BC957" s="52">
        <f t="shared" si="147"/>
        <v>72907969</v>
      </c>
      <c r="BD957" s="51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>
        <v>4126862</v>
      </c>
      <c r="BO957" s="51"/>
      <c r="BP957" s="52">
        <v>77034831</v>
      </c>
      <c r="BQ957" s="52"/>
      <c r="BR957" s="52"/>
      <c r="BS957" s="52"/>
      <c r="BT957" s="52"/>
      <c r="BU957" s="52"/>
      <c r="BV957" s="52"/>
      <c r="BW957" s="52"/>
      <c r="BX957" s="52"/>
      <c r="BY957" s="52"/>
      <c r="BZ957" s="52"/>
      <c r="CA957" s="52"/>
      <c r="CB957" s="52"/>
      <c r="CC957" s="52">
        <v>4126862</v>
      </c>
      <c r="CD957" s="52"/>
      <c r="CE957" s="52"/>
      <c r="CF957" s="52"/>
      <c r="CG957" s="52">
        <f t="shared" si="148"/>
        <v>81161693</v>
      </c>
      <c r="CH957" s="52"/>
      <c r="CI957" s="52"/>
      <c r="CJ957" s="52"/>
      <c r="CK957" s="52"/>
      <c r="CL957" s="52"/>
      <c r="CM957" s="52"/>
      <c r="CN957" s="52"/>
      <c r="CO957" s="52"/>
      <c r="CP957" s="52"/>
      <c r="CQ957" s="52">
        <v>4126862</v>
      </c>
      <c r="CR957" s="52"/>
      <c r="CS957" s="52">
        <f t="shared" si="145"/>
        <v>85288555</v>
      </c>
      <c r="CT957" s="53">
        <v>33014896</v>
      </c>
      <c r="CU957" s="53">
        <f t="shared" si="146"/>
        <v>52273659</v>
      </c>
      <c r="CV957" s="54">
        <f t="shared" si="149"/>
        <v>85288555</v>
      </c>
      <c r="CW957" s="55">
        <f t="shared" si="150"/>
        <v>0</v>
      </c>
      <c r="CX957" s="16"/>
      <c r="CY957" s="8"/>
      <c r="CZ957" s="8"/>
      <c r="DA957" s="8"/>
      <c r="DB957" s="8"/>
      <c r="DC957" s="8"/>
      <c r="DD957" s="8"/>
    </row>
    <row r="958" spans="1:108" ht="15" customHeight="1" x14ac:dyDescent="0.2">
      <c r="A958" s="1">
        <v>8000947557</v>
      </c>
      <c r="B958" s="1">
        <v>800094755</v>
      </c>
      <c r="C958" s="9">
        <v>215425754</v>
      </c>
      <c r="D958" s="10" t="s">
        <v>2184</v>
      </c>
      <c r="E958" s="47" t="s">
        <v>1014</v>
      </c>
      <c r="F958" s="21"/>
      <c r="G958" s="50"/>
      <c r="H958" s="21"/>
      <c r="I958" s="50">
        <f>6330919151+228950213</f>
        <v>6559869364</v>
      </c>
      <c r="J958" s="21">
        <v>469607441</v>
      </c>
      <c r="K958" s="21">
        <v>930475857</v>
      </c>
      <c r="L958" s="50"/>
      <c r="M958" s="52">
        <f>SUM(F958:L958)</f>
        <v>7959952662</v>
      </c>
      <c r="N958" s="21"/>
      <c r="O958" s="50"/>
      <c r="P958" s="21"/>
      <c r="Q958" s="50">
        <f>6117634961+104068279</f>
        <v>6221703240</v>
      </c>
      <c r="R958" s="21">
        <v>469927492</v>
      </c>
      <c r="S958" s="21">
        <f>460868416+469927492</f>
        <v>930795908</v>
      </c>
      <c r="T958" s="50"/>
      <c r="U958" s="51">
        <f t="shared" si="144"/>
        <v>15582379302</v>
      </c>
      <c r="V958" s="51"/>
      <c r="W958" s="51"/>
      <c r="X958" s="51"/>
      <c r="Y958" s="51">
        <v>10692865256</v>
      </c>
      <c r="Z958" s="51">
        <v>506756110</v>
      </c>
      <c r="AA958" s="51">
        <v>1042431764</v>
      </c>
      <c r="AB958" s="51"/>
      <c r="AC958" s="51">
        <f t="shared" si="152"/>
        <v>27824432432</v>
      </c>
      <c r="AD958" s="51"/>
      <c r="AE958" s="51"/>
      <c r="AF958" s="51"/>
      <c r="AG958" s="51"/>
      <c r="AH958" s="51">
        <v>6286459886</v>
      </c>
      <c r="AI958" s="51">
        <v>995913447</v>
      </c>
      <c r="AJ958" s="51">
        <v>479753829</v>
      </c>
      <c r="AK958" s="51">
        <v>1208697620</v>
      </c>
      <c r="AL958" s="51"/>
      <c r="AM958" s="51">
        <v>4095933813</v>
      </c>
      <c r="AN958" s="51">
        <f>SUBTOTAL(9,AC958:AM958)</f>
        <v>40891191027</v>
      </c>
      <c r="AO958" s="51"/>
      <c r="AP958" s="51"/>
      <c r="AQ958" s="51">
        <v>1301302935</v>
      </c>
      <c r="AR958" s="51"/>
      <c r="AS958" s="51"/>
      <c r="AT958" s="51">
        <v>6832451544</v>
      </c>
      <c r="AU958" s="51">
        <v>10000000000</v>
      </c>
      <c r="AV958" s="51">
        <v>506756110</v>
      </c>
      <c r="AW958" s="51">
        <v>939456766</v>
      </c>
      <c r="AX958" s="51"/>
      <c r="AY958" s="51"/>
      <c r="AZ958" s="51">
        <v>0</v>
      </c>
      <c r="BA958" s="51"/>
      <c r="BB958" s="51"/>
      <c r="BC958" s="52">
        <f t="shared" si="147"/>
        <v>60471158382</v>
      </c>
      <c r="BD958" s="51"/>
      <c r="BE958" s="51"/>
      <c r="BF958" s="51">
        <v>260260587</v>
      </c>
      <c r="BG958" s="51"/>
      <c r="BH958" s="51"/>
      <c r="BI958" s="51">
        <v>6517896076</v>
      </c>
      <c r="BJ958" s="51">
        <v>1484945280</v>
      </c>
      <c r="BK958" s="51">
        <v>469467740</v>
      </c>
      <c r="BL958" s="51">
        <v>1272970922</v>
      </c>
      <c r="BM958" s="51"/>
      <c r="BN958" s="51"/>
      <c r="BO958" s="51"/>
      <c r="BP958" s="52">
        <v>70476698987</v>
      </c>
      <c r="BQ958" s="52"/>
      <c r="BR958" s="52"/>
      <c r="BS958" s="52">
        <v>260260587</v>
      </c>
      <c r="BT958" s="52"/>
      <c r="BU958" s="52"/>
      <c r="BV958" s="52"/>
      <c r="BW958" s="52">
        <v>6582502500</v>
      </c>
      <c r="BX958" s="52">
        <v>7285600000</v>
      </c>
      <c r="BY958" s="52">
        <v>2968282683</v>
      </c>
      <c r="BZ958" s="52">
        <v>503835485</v>
      </c>
      <c r="CA958" s="52">
        <v>1295066795</v>
      </c>
      <c r="CB958" s="52"/>
      <c r="CC958" s="52"/>
      <c r="CD958" s="52"/>
      <c r="CE958" s="52"/>
      <c r="CF958" s="52"/>
      <c r="CG958" s="52">
        <f t="shared" si="148"/>
        <v>89372247037</v>
      </c>
      <c r="CH958" s="52"/>
      <c r="CI958" s="52"/>
      <c r="CJ958" s="52">
        <v>260260587</v>
      </c>
      <c r="CK958" s="52"/>
      <c r="CL958" s="52">
        <v>6508986568</v>
      </c>
      <c r="CM958" s="52">
        <v>2409912630</v>
      </c>
      <c r="CN958" s="52">
        <v>489128110</v>
      </c>
      <c r="CO958" s="52">
        <v>882169866</v>
      </c>
      <c r="CP958" s="52"/>
      <c r="CQ958" s="52"/>
      <c r="CR958" s="52">
        <v>135087864</v>
      </c>
      <c r="CS958" s="52">
        <f t="shared" si="145"/>
        <v>100057792662</v>
      </c>
      <c r="CT958" s="53">
        <v>95826770985</v>
      </c>
      <c r="CU958" s="53">
        <f t="shared" si="146"/>
        <v>4231021677</v>
      </c>
      <c r="CV958" s="54">
        <f t="shared" si="149"/>
        <v>100057792662</v>
      </c>
      <c r="CW958" s="55">
        <f t="shared" si="150"/>
        <v>0</v>
      </c>
      <c r="CX958" s="16"/>
      <c r="CY958" s="16"/>
      <c r="CZ958" s="16"/>
    </row>
    <row r="959" spans="1:108" ht="15" customHeight="1" x14ac:dyDescent="0.2">
      <c r="A959" s="1">
        <v>8918550161</v>
      </c>
      <c r="B959" s="1">
        <v>891855016</v>
      </c>
      <c r="C959" s="9">
        <v>215315753</v>
      </c>
      <c r="D959" s="10" t="s">
        <v>308</v>
      </c>
      <c r="E959" s="46" t="s">
        <v>1340</v>
      </c>
      <c r="F959" s="21"/>
      <c r="G959" s="50"/>
      <c r="H959" s="21"/>
      <c r="I959" s="50"/>
      <c r="J959" s="21"/>
      <c r="K959" s="21"/>
      <c r="L959" s="50"/>
      <c r="M959" s="51"/>
      <c r="N959" s="21"/>
      <c r="O959" s="50"/>
      <c r="P959" s="21"/>
      <c r="Q959" s="50"/>
      <c r="R959" s="21"/>
      <c r="S959" s="21"/>
      <c r="T959" s="50"/>
      <c r="U959" s="51">
        <f t="shared" si="144"/>
        <v>0</v>
      </c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>
        <v>68554605</v>
      </c>
      <c r="AZ959" s="51"/>
      <c r="BA959" s="51">
        <f>VLOOKUP(B959,[1]Hoja3!J$3:K$674,2,0)</f>
        <v>120536277</v>
      </c>
      <c r="BB959" s="51"/>
      <c r="BC959" s="52">
        <f t="shared" si="147"/>
        <v>189090882</v>
      </c>
      <c r="BD959" s="51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>
        <v>13710921</v>
      </c>
      <c r="BO959" s="51"/>
      <c r="BP959" s="52">
        <v>202801803</v>
      </c>
      <c r="BQ959" s="52"/>
      <c r="BR959" s="52"/>
      <c r="BS959" s="52"/>
      <c r="BT959" s="52"/>
      <c r="BU959" s="52"/>
      <c r="BV959" s="52"/>
      <c r="BW959" s="52"/>
      <c r="BX959" s="52"/>
      <c r="BY959" s="52"/>
      <c r="BZ959" s="52"/>
      <c r="CA959" s="52"/>
      <c r="CB959" s="52"/>
      <c r="CC959" s="52">
        <v>13710921</v>
      </c>
      <c r="CD959" s="52"/>
      <c r="CE959" s="52"/>
      <c r="CF959" s="52"/>
      <c r="CG959" s="52">
        <f t="shared" si="148"/>
        <v>216512724</v>
      </c>
      <c r="CH959" s="52"/>
      <c r="CI959" s="52"/>
      <c r="CJ959" s="52"/>
      <c r="CK959" s="52"/>
      <c r="CL959" s="52"/>
      <c r="CM959" s="52"/>
      <c r="CN959" s="52"/>
      <c r="CO959" s="52"/>
      <c r="CP959" s="52"/>
      <c r="CQ959" s="52">
        <v>13710921</v>
      </c>
      <c r="CR959" s="52"/>
      <c r="CS959" s="52">
        <f t="shared" si="145"/>
        <v>230223645</v>
      </c>
      <c r="CT959" s="53">
        <v>109687368</v>
      </c>
      <c r="CU959" s="53">
        <f t="shared" si="146"/>
        <v>120536277</v>
      </c>
      <c r="CV959" s="54">
        <f t="shared" si="149"/>
        <v>230223645</v>
      </c>
      <c r="CW959" s="55">
        <f t="shared" si="150"/>
        <v>0</v>
      </c>
      <c r="CX959" s="16"/>
      <c r="CY959" s="8"/>
      <c r="CZ959" s="8"/>
      <c r="DA959" s="8"/>
      <c r="DB959" s="8"/>
      <c r="DC959" s="8"/>
      <c r="DD959" s="8"/>
    </row>
    <row r="960" spans="1:108" ht="15" customHeight="1" x14ac:dyDescent="0.2">
      <c r="A960" s="1">
        <v>8000992108</v>
      </c>
      <c r="B960" s="1">
        <v>800099210</v>
      </c>
      <c r="C960" s="9">
        <v>215715757</v>
      </c>
      <c r="D960" s="10" t="s">
        <v>310</v>
      </c>
      <c r="E960" s="46" t="s">
        <v>1342</v>
      </c>
      <c r="F960" s="21"/>
      <c r="G960" s="50"/>
      <c r="H960" s="21"/>
      <c r="I960" s="50"/>
      <c r="J960" s="21"/>
      <c r="K960" s="21"/>
      <c r="L960" s="50"/>
      <c r="M960" s="51"/>
      <c r="N960" s="21"/>
      <c r="O960" s="50"/>
      <c r="P960" s="21"/>
      <c r="Q960" s="50"/>
      <c r="R960" s="21"/>
      <c r="S960" s="21"/>
      <c r="T960" s="50"/>
      <c r="U960" s="51">
        <f t="shared" si="144"/>
        <v>0</v>
      </c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>
        <v>50885995</v>
      </c>
      <c r="AZ960" s="51"/>
      <c r="BA960" s="51">
        <f>VLOOKUP(B960,[1]Hoja3!J$3:K$674,2,0)</f>
        <v>118865226</v>
      </c>
      <c r="BB960" s="51"/>
      <c r="BC960" s="52">
        <f t="shared" si="147"/>
        <v>169751221</v>
      </c>
      <c r="BD960" s="51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>
        <v>10177199</v>
      </c>
      <c r="BO960" s="51"/>
      <c r="BP960" s="52">
        <v>179928420</v>
      </c>
      <c r="BQ960" s="52"/>
      <c r="BR960" s="52"/>
      <c r="BS960" s="52"/>
      <c r="BT960" s="52"/>
      <c r="BU960" s="52"/>
      <c r="BV960" s="52"/>
      <c r="BW960" s="52"/>
      <c r="BX960" s="52"/>
      <c r="BY960" s="52"/>
      <c r="BZ960" s="52"/>
      <c r="CA960" s="52"/>
      <c r="CB960" s="52"/>
      <c r="CC960" s="52">
        <v>10177199</v>
      </c>
      <c r="CD960" s="52"/>
      <c r="CE960" s="52"/>
      <c r="CF960" s="52"/>
      <c r="CG960" s="52">
        <f t="shared" si="148"/>
        <v>190105619</v>
      </c>
      <c r="CH960" s="52"/>
      <c r="CI960" s="52"/>
      <c r="CJ960" s="52"/>
      <c r="CK960" s="52"/>
      <c r="CL960" s="52"/>
      <c r="CM960" s="52"/>
      <c r="CN960" s="52"/>
      <c r="CO960" s="52"/>
      <c r="CP960" s="52"/>
      <c r="CQ960" s="52">
        <v>10177199</v>
      </c>
      <c r="CR960" s="52"/>
      <c r="CS960" s="52">
        <f t="shared" si="145"/>
        <v>200282818</v>
      </c>
      <c r="CT960" s="53">
        <v>81417592</v>
      </c>
      <c r="CU960" s="53">
        <f t="shared" si="146"/>
        <v>118865226</v>
      </c>
      <c r="CV960" s="54">
        <f t="shared" si="149"/>
        <v>200282818</v>
      </c>
      <c r="CW960" s="55">
        <f t="shared" si="150"/>
        <v>0</v>
      </c>
      <c r="CX960" s="16"/>
      <c r="CY960" s="8"/>
      <c r="CZ960" s="8"/>
      <c r="DA960" s="8"/>
      <c r="DB960" s="8"/>
      <c r="DC960" s="8"/>
      <c r="DD960" s="8"/>
    </row>
    <row r="961" spans="1:108" ht="15" customHeight="1" x14ac:dyDescent="0.2">
      <c r="A961" s="1">
        <v>8902036888</v>
      </c>
      <c r="B961" s="1">
        <v>890203688</v>
      </c>
      <c r="C961" s="9">
        <v>215568755</v>
      </c>
      <c r="D961" s="10" t="s">
        <v>881</v>
      </c>
      <c r="E961" s="46" t="s">
        <v>1894</v>
      </c>
      <c r="F961" s="21"/>
      <c r="G961" s="50"/>
      <c r="H961" s="21"/>
      <c r="I961" s="50"/>
      <c r="J961" s="21"/>
      <c r="K961" s="21"/>
      <c r="L961" s="50"/>
      <c r="M961" s="51"/>
      <c r="N961" s="21"/>
      <c r="O961" s="50"/>
      <c r="P961" s="21"/>
      <c r="Q961" s="50"/>
      <c r="R961" s="21"/>
      <c r="S961" s="21"/>
      <c r="T961" s="50"/>
      <c r="U961" s="51">
        <f t="shared" si="144"/>
        <v>0</v>
      </c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>
        <v>183831566</v>
      </c>
      <c r="AN961" s="51">
        <f>SUBTOTAL(9,AC961:AM961)</f>
        <v>183831566</v>
      </c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>
        <v>174549180</v>
      </c>
      <c r="AZ961" s="51"/>
      <c r="BA961" s="51">
        <f>VLOOKUP(B961,[1]Hoja3!J$3:K$674,2,0)</f>
        <v>183250926</v>
      </c>
      <c r="BB961" s="51"/>
      <c r="BC961" s="52">
        <f t="shared" si="147"/>
        <v>541631672</v>
      </c>
      <c r="BD961" s="51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>
        <v>34909836</v>
      </c>
      <c r="BO961" s="51"/>
      <c r="BP961" s="52">
        <v>576541508</v>
      </c>
      <c r="BQ961" s="52"/>
      <c r="BR961" s="52"/>
      <c r="BS961" s="52"/>
      <c r="BT961" s="52"/>
      <c r="BU961" s="52"/>
      <c r="BV961" s="52"/>
      <c r="BW961" s="52"/>
      <c r="BX961" s="52"/>
      <c r="BY961" s="52"/>
      <c r="BZ961" s="52"/>
      <c r="CA961" s="52"/>
      <c r="CB961" s="52"/>
      <c r="CC961" s="52">
        <v>34909836</v>
      </c>
      <c r="CD961" s="52"/>
      <c r="CE961" s="52"/>
      <c r="CF961" s="52"/>
      <c r="CG961" s="52">
        <f t="shared" si="148"/>
        <v>611451344</v>
      </c>
      <c r="CH961" s="52"/>
      <c r="CI961" s="52"/>
      <c r="CJ961" s="52"/>
      <c r="CK961" s="52"/>
      <c r="CL961" s="52"/>
      <c r="CM961" s="52"/>
      <c r="CN961" s="52"/>
      <c r="CO961" s="52"/>
      <c r="CP961" s="52"/>
      <c r="CQ961" s="52">
        <v>34909836</v>
      </c>
      <c r="CR961" s="52"/>
      <c r="CS961" s="52">
        <f t="shared" si="145"/>
        <v>646361180</v>
      </c>
      <c r="CT961" s="53">
        <v>279278688</v>
      </c>
      <c r="CU961" s="53">
        <f t="shared" si="146"/>
        <v>367082492</v>
      </c>
      <c r="CV961" s="54">
        <f t="shared" si="149"/>
        <v>646361180</v>
      </c>
      <c r="CW961" s="55">
        <f t="shared" si="150"/>
        <v>0</v>
      </c>
      <c r="CX961" s="16"/>
      <c r="CY961" s="16"/>
      <c r="CZ961" s="16"/>
    </row>
    <row r="962" spans="1:108" ht="15" customHeight="1" x14ac:dyDescent="0.2">
      <c r="A962" s="1">
        <v>8000269111</v>
      </c>
      <c r="B962" s="1">
        <v>800026911</v>
      </c>
      <c r="C962" s="9">
        <v>215515755</v>
      </c>
      <c r="D962" s="10" t="s">
        <v>309</v>
      </c>
      <c r="E962" s="46" t="s">
        <v>1341</v>
      </c>
      <c r="F962" s="21"/>
      <c r="G962" s="50"/>
      <c r="H962" s="21"/>
      <c r="I962" s="50"/>
      <c r="J962" s="21"/>
      <c r="K962" s="21"/>
      <c r="L962" s="50"/>
      <c r="M962" s="51"/>
      <c r="N962" s="21"/>
      <c r="O962" s="50"/>
      <c r="P962" s="21"/>
      <c r="Q962" s="50"/>
      <c r="R962" s="21"/>
      <c r="S962" s="21"/>
      <c r="T962" s="50"/>
      <c r="U962" s="51">
        <f t="shared" si="144"/>
        <v>0</v>
      </c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>
        <f>VLOOKUP(B962,[1]Hoja3!J$3:K$674,2,0)</f>
        <v>112777521</v>
      </c>
      <c r="BB962" s="51"/>
      <c r="BC962" s="52">
        <f t="shared" si="147"/>
        <v>112777521</v>
      </c>
      <c r="BD962" s="51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>
        <v>0</v>
      </c>
      <c r="BO962" s="51"/>
      <c r="BP962" s="52">
        <v>112777521</v>
      </c>
      <c r="BQ962" s="52"/>
      <c r="BR962" s="52"/>
      <c r="BS962" s="52"/>
      <c r="BT962" s="52"/>
      <c r="BU962" s="52"/>
      <c r="BV962" s="52"/>
      <c r="BW962" s="52"/>
      <c r="BX962" s="52"/>
      <c r="BY962" s="52"/>
      <c r="BZ962" s="52"/>
      <c r="CA962" s="52"/>
      <c r="CB962" s="52"/>
      <c r="CC962" s="52">
        <v>0</v>
      </c>
      <c r="CD962" s="52"/>
      <c r="CE962" s="52"/>
      <c r="CF962" s="52"/>
      <c r="CG962" s="52">
        <f t="shared" si="148"/>
        <v>112777521</v>
      </c>
      <c r="CH962" s="52"/>
      <c r="CI962" s="52"/>
      <c r="CJ962" s="52"/>
      <c r="CK962" s="52"/>
      <c r="CL962" s="52"/>
      <c r="CM962" s="52"/>
      <c r="CN962" s="52"/>
      <c r="CO962" s="52"/>
      <c r="CP962" s="52"/>
      <c r="CQ962" s="52">
        <v>0</v>
      </c>
      <c r="CR962" s="52"/>
      <c r="CS962" s="52">
        <f t="shared" si="145"/>
        <v>112777521</v>
      </c>
      <c r="CT962" s="53"/>
      <c r="CU962" s="53">
        <f t="shared" si="146"/>
        <v>112777521</v>
      </c>
      <c r="CV962" s="54">
        <f t="shared" si="149"/>
        <v>112777521</v>
      </c>
      <c r="CW962" s="55">
        <f t="shared" si="150"/>
        <v>0</v>
      </c>
      <c r="CX962" s="16"/>
      <c r="CY962" s="8"/>
      <c r="CZ962" s="8"/>
      <c r="DA962" s="8"/>
      <c r="DB962" s="8"/>
      <c r="DC962" s="8"/>
      <c r="DD962" s="8"/>
    </row>
    <row r="963" spans="1:108" ht="15" customHeight="1" x14ac:dyDescent="0.2">
      <c r="A963" s="1">
        <v>8918551301</v>
      </c>
      <c r="B963" s="1">
        <v>891855130</v>
      </c>
      <c r="C963" s="9">
        <v>215915759</v>
      </c>
      <c r="D963" s="10" t="s">
        <v>2185</v>
      </c>
      <c r="E963" s="47" t="s">
        <v>1063</v>
      </c>
      <c r="F963" s="21"/>
      <c r="G963" s="50"/>
      <c r="H963" s="21"/>
      <c r="I963" s="50">
        <f>2853621076+44684580</f>
        <v>2898305656</v>
      </c>
      <c r="J963" s="21">
        <v>204294630</v>
      </c>
      <c r="K963" s="21">
        <v>406268276</v>
      </c>
      <c r="L963" s="50"/>
      <c r="M963" s="52">
        <f>SUM(F963:L963)</f>
        <v>3508868562</v>
      </c>
      <c r="N963" s="21"/>
      <c r="O963" s="50"/>
      <c r="P963" s="21"/>
      <c r="Q963" s="50">
        <f>2742820510+20311173</f>
        <v>2763131683</v>
      </c>
      <c r="R963" s="21">
        <v>204623351</v>
      </c>
      <c r="S963" s="21">
        <f>201973646+204623351</f>
        <v>406596997</v>
      </c>
      <c r="T963" s="50"/>
      <c r="U963" s="51">
        <f t="shared" ref="U963:U1026" si="153">SUM(M963:T963)</f>
        <v>6883220593</v>
      </c>
      <c r="V963" s="51"/>
      <c r="W963" s="51"/>
      <c r="X963" s="51"/>
      <c r="Y963" s="51">
        <v>3845579392</v>
      </c>
      <c r="Z963" s="51">
        <v>212076827</v>
      </c>
      <c r="AA963" s="51">
        <v>484713484</v>
      </c>
      <c r="AB963" s="51"/>
      <c r="AC963" s="51">
        <f t="shared" si="152"/>
        <v>11425590296</v>
      </c>
      <c r="AD963" s="51"/>
      <c r="AE963" s="51"/>
      <c r="AF963" s="51"/>
      <c r="AG963" s="51"/>
      <c r="AH963" s="51">
        <v>2867525112</v>
      </c>
      <c r="AI963" s="51">
        <v>278294787</v>
      </c>
      <c r="AJ963" s="51">
        <v>210727410</v>
      </c>
      <c r="AK963" s="51">
        <v>530916012</v>
      </c>
      <c r="AL963" s="51"/>
      <c r="AM963" s="51">
        <v>1140320104</v>
      </c>
      <c r="AN963" s="51">
        <f>SUBTOTAL(9,AC963:AM963)</f>
        <v>16453373721</v>
      </c>
      <c r="AO963" s="51"/>
      <c r="AP963" s="51"/>
      <c r="AQ963" s="51">
        <v>459622205</v>
      </c>
      <c r="AR963" s="51"/>
      <c r="AS963" s="51"/>
      <c r="AT963" s="51">
        <v>2867525112</v>
      </c>
      <c r="AU963" s="51">
        <v>75000000</v>
      </c>
      <c r="AV963" s="51">
        <v>210727410</v>
      </c>
      <c r="AW963" s="51">
        <v>359532800</v>
      </c>
      <c r="AX963" s="51"/>
      <c r="AY963" s="51"/>
      <c r="AZ963" s="51">
        <v>465254945</v>
      </c>
      <c r="BA963" s="51">
        <f>VLOOKUP(B963,[1]Hoja3!J$3:K$674,2,0)</f>
        <v>339157139</v>
      </c>
      <c r="BB963" s="51"/>
      <c r="BC963" s="52">
        <f t="shared" si="147"/>
        <v>21230193332</v>
      </c>
      <c r="BD963" s="51"/>
      <c r="BE963" s="51"/>
      <c r="BF963" s="51">
        <v>91924441</v>
      </c>
      <c r="BG963" s="51"/>
      <c r="BH963" s="51"/>
      <c r="BI963" s="51">
        <v>2961994324</v>
      </c>
      <c r="BJ963" s="51">
        <v>297961902</v>
      </c>
      <c r="BK963" s="51">
        <v>215885287</v>
      </c>
      <c r="BL963" s="51">
        <v>558949688</v>
      </c>
      <c r="BM963" s="51"/>
      <c r="BN963" s="51"/>
      <c r="BO963" s="51"/>
      <c r="BP963" s="52">
        <v>25356908974</v>
      </c>
      <c r="BQ963" s="52"/>
      <c r="BR963" s="52"/>
      <c r="BS963" s="52">
        <v>91924441</v>
      </c>
      <c r="BT963" s="52"/>
      <c r="BU963" s="52"/>
      <c r="BV963" s="52"/>
      <c r="BW963" s="52">
        <v>2961836893</v>
      </c>
      <c r="BX963" s="52"/>
      <c r="BY963" s="52">
        <v>1297000000</v>
      </c>
      <c r="BZ963" s="52">
        <v>212908953</v>
      </c>
      <c r="CA963" s="52">
        <v>560051991</v>
      </c>
      <c r="CB963" s="52"/>
      <c r="CC963" s="52"/>
      <c r="CD963" s="52"/>
      <c r="CE963" s="52"/>
      <c r="CF963" s="52"/>
      <c r="CG963" s="52">
        <f t="shared" si="148"/>
        <v>30480631252</v>
      </c>
      <c r="CH963" s="52"/>
      <c r="CI963" s="52"/>
      <c r="CJ963" s="52">
        <v>91924441</v>
      </c>
      <c r="CK963" s="52"/>
      <c r="CL963" s="52">
        <v>2928875232</v>
      </c>
      <c r="CM963" s="52">
        <v>294415992</v>
      </c>
      <c r="CN963" s="52">
        <v>214361010</v>
      </c>
      <c r="CO963" s="52">
        <v>387621937</v>
      </c>
      <c r="CP963" s="52"/>
      <c r="CQ963" s="52"/>
      <c r="CR963" s="52"/>
      <c r="CS963" s="52">
        <f t="shared" ref="CS963:CS1026" si="154">SUM(CG963:CR963)</f>
        <v>34397829864</v>
      </c>
      <c r="CT963" s="53">
        <v>32918352621</v>
      </c>
      <c r="CU963" s="53">
        <f t="shared" ref="CU963:CU1026" si="155">+AM963+BA963-BB963+BO963+CE963+CF963+CR963</f>
        <v>1479477243</v>
      </c>
      <c r="CV963" s="54">
        <f t="shared" si="149"/>
        <v>34397829864</v>
      </c>
      <c r="CW963" s="55">
        <f t="shared" si="150"/>
        <v>0</v>
      </c>
      <c r="CX963" s="16"/>
      <c r="CY963" s="16"/>
      <c r="CZ963" s="16"/>
    </row>
    <row r="964" spans="1:108" ht="15" customHeight="1" x14ac:dyDescent="0.2">
      <c r="A964" s="1">
        <v>8000957861</v>
      </c>
      <c r="B964" s="1">
        <v>800095786</v>
      </c>
      <c r="C964" s="9">
        <v>215618756</v>
      </c>
      <c r="D964" s="10" t="s">
        <v>370</v>
      </c>
      <c r="E964" s="46" t="s">
        <v>1402</v>
      </c>
      <c r="F964" s="21"/>
      <c r="G964" s="50"/>
      <c r="H964" s="21"/>
      <c r="I964" s="50"/>
      <c r="J964" s="21"/>
      <c r="K964" s="21"/>
      <c r="L964" s="50"/>
      <c r="M964" s="51"/>
      <c r="N964" s="21"/>
      <c r="O964" s="50"/>
      <c r="P964" s="21"/>
      <c r="Q964" s="50"/>
      <c r="R964" s="21"/>
      <c r="S964" s="21"/>
      <c r="T964" s="50"/>
      <c r="U964" s="51">
        <f t="shared" si="153"/>
        <v>0</v>
      </c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>
        <v>123961232</v>
      </c>
      <c r="AN964" s="51">
        <f>SUBTOTAL(9,AC964:AM964)</f>
        <v>123961232</v>
      </c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>
        <v>160876635</v>
      </c>
      <c r="AZ964" s="51"/>
      <c r="BA964" s="51">
        <f>VLOOKUP(B964,[1]Hoja3!J$3:K$674,2,0)</f>
        <v>62811637</v>
      </c>
      <c r="BB964" s="51"/>
      <c r="BC964" s="52">
        <f t="shared" ref="BC964:BC1027" si="156">SUM(AN964:BA964)-BB964</f>
        <v>347649504</v>
      </c>
      <c r="BD964" s="51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>
        <v>32175327</v>
      </c>
      <c r="BO964" s="51"/>
      <c r="BP964" s="52">
        <v>379824831</v>
      </c>
      <c r="BQ964" s="52"/>
      <c r="BR964" s="52"/>
      <c r="BS964" s="52"/>
      <c r="BT964" s="52"/>
      <c r="BU964" s="52"/>
      <c r="BV964" s="52"/>
      <c r="BW964" s="52"/>
      <c r="BX964" s="52"/>
      <c r="BY964" s="52"/>
      <c r="BZ964" s="52"/>
      <c r="CA964" s="52"/>
      <c r="CB964" s="52"/>
      <c r="CC964" s="52">
        <v>32175327</v>
      </c>
      <c r="CD964" s="52"/>
      <c r="CE964" s="52"/>
      <c r="CF964" s="52"/>
      <c r="CG964" s="52">
        <f t="shared" ref="CG964:CG1027" si="157">SUM(BP964:CF964)</f>
        <v>412000158</v>
      </c>
      <c r="CH964" s="52"/>
      <c r="CI964" s="52"/>
      <c r="CJ964" s="52"/>
      <c r="CK964" s="52"/>
      <c r="CL964" s="52"/>
      <c r="CM964" s="52"/>
      <c r="CN964" s="52"/>
      <c r="CO964" s="52"/>
      <c r="CP964" s="52"/>
      <c r="CQ964" s="52">
        <v>32175327</v>
      </c>
      <c r="CR964" s="52"/>
      <c r="CS964" s="52">
        <f t="shared" si="154"/>
        <v>444175485</v>
      </c>
      <c r="CT964" s="53">
        <v>257402616</v>
      </c>
      <c r="CU964" s="53">
        <f t="shared" si="155"/>
        <v>186772869</v>
      </c>
      <c r="CV964" s="54">
        <f t="shared" ref="CV964:CV1027" si="158">+CT964+CU964</f>
        <v>444175485</v>
      </c>
      <c r="CW964" s="55">
        <f t="shared" ref="CW964:CW1027" si="159">+CS964-CV964</f>
        <v>0</v>
      </c>
      <c r="CX964" s="16"/>
      <c r="CY964" s="16"/>
      <c r="CZ964" s="16"/>
    </row>
    <row r="965" spans="1:108" ht="15" customHeight="1" x14ac:dyDescent="0.2">
      <c r="A965" s="1">
        <v>8901062912</v>
      </c>
      <c r="B965" s="1">
        <v>890106291</v>
      </c>
      <c r="C965" s="9">
        <v>215808758</v>
      </c>
      <c r="D965" s="10" t="s">
        <v>2186</v>
      </c>
      <c r="E965" s="47" t="s">
        <v>1035</v>
      </c>
      <c r="F965" s="21"/>
      <c r="G965" s="50"/>
      <c r="H965" s="21"/>
      <c r="I965" s="57">
        <f>5828123907+147685723</f>
        <v>5975809630</v>
      </c>
      <c r="J965" s="21">
        <v>420755978</v>
      </c>
      <c r="K965" s="21">
        <v>834074405</v>
      </c>
      <c r="L965" s="50"/>
      <c r="M965" s="52">
        <f>SUM(F965:L965)</f>
        <v>7230640013</v>
      </c>
      <c r="N965" s="21"/>
      <c r="O965" s="50"/>
      <c r="P965" s="21"/>
      <c r="Q965" s="50">
        <f>5586957602+812000000+67129874</f>
        <v>6466087476</v>
      </c>
      <c r="R965" s="21">
        <v>420755978</v>
      </c>
      <c r="S965" s="21">
        <f>413318427+420755978</f>
        <v>834074405</v>
      </c>
      <c r="T965" s="50"/>
      <c r="U965" s="51">
        <f t="shared" si="153"/>
        <v>14951557872</v>
      </c>
      <c r="V965" s="51"/>
      <c r="W965" s="51"/>
      <c r="X965" s="51"/>
      <c r="Y965" s="51">
        <v>20398828198</v>
      </c>
      <c r="Z965" s="51">
        <v>575561191</v>
      </c>
      <c r="AA965" s="51">
        <v>953785657</v>
      </c>
      <c r="AB965" s="51"/>
      <c r="AC965" s="51">
        <f t="shared" ref="AC965" si="160">SUM(U965:AB965)</f>
        <v>36879732918</v>
      </c>
      <c r="AD965" s="51"/>
      <c r="AE965" s="51"/>
      <c r="AF965" s="51"/>
      <c r="AG965" s="51"/>
      <c r="AH965" s="51">
        <v>6938985297</v>
      </c>
      <c r="AI965" s="51">
        <v>11846378831</v>
      </c>
      <c r="AJ965" s="51">
        <v>428063875</v>
      </c>
      <c r="AK965" s="51">
        <v>1078972770</v>
      </c>
      <c r="AL965" s="51"/>
      <c r="AM965" s="51">
        <v>3388208311</v>
      </c>
      <c r="AN965" s="51">
        <f>SUBTOTAL(9,AC965:AM965)</f>
        <v>60560342002</v>
      </c>
      <c r="AO965" s="51"/>
      <c r="AP965" s="51"/>
      <c r="AQ965" s="51">
        <v>1350656185</v>
      </c>
      <c r="AR965" s="51"/>
      <c r="AS965" s="51"/>
      <c r="AT965" s="51">
        <v>6938985297</v>
      </c>
      <c r="AU965" s="51">
        <v>2012303031</v>
      </c>
      <c r="AV965" s="51">
        <v>428063875</v>
      </c>
      <c r="AW965" s="51">
        <v>730933668</v>
      </c>
      <c r="AX965" s="51"/>
      <c r="AY965" s="51"/>
      <c r="AZ965" s="51"/>
      <c r="BA965" s="51">
        <f>VLOOKUP(B965,[1]Hoja3!J$3:K$674,2,0)</f>
        <v>275099035</v>
      </c>
      <c r="BB965" s="51"/>
      <c r="BC965" s="52">
        <f t="shared" si="156"/>
        <v>72296383093</v>
      </c>
      <c r="BD965" s="51"/>
      <c r="BE965" s="51"/>
      <c r="BF965" s="51">
        <v>270131237</v>
      </c>
      <c r="BG965" s="51"/>
      <c r="BH965" s="51"/>
      <c r="BI965" s="51">
        <v>6763275296</v>
      </c>
      <c r="BJ965" s="51">
        <v>8463253860</v>
      </c>
      <c r="BK965" s="51">
        <v>459465413</v>
      </c>
      <c r="BL965" s="51">
        <v>1620379492</v>
      </c>
      <c r="BM965" s="51"/>
      <c r="BN965" s="51"/>
      <c r="BO965" s="51"/>
      <c r="BP965" s="52">
        <v>89872888391</v>
      </c>
      <c r="BQ965" s="52"/>
      <c r="BR965" s="52"/>
      <c r="BS965" s="52">
        <v>270131237</v>
      </c>
      <c r="BT965" s="52"/>
      <c r="BU965" s="52"/>
      <c r="BV965" s="52"/>
      <c r="BW965" s="52">
        <v>7264938261</v>
      </c>
      <c r="BX965" s="52"/>
      <c r="BY965" s="52">
        <v>2880431385</v>
      </c>
      <c r="BZ965" s="52">
        <v>482197248</v>
      </c>
      <c r="CA965" s="52">
        <v>1229059666</v>
      </c>
      <c r="CB965" s="52"/>
      <c r="CC965" s="52"/>
      <c r="CD965" s="52"/>
      <c r="CE965" s="52">
        <v>104600257</v>
      </c>
      <c r="CF965" s="52"/>
      <c r="CG965" s="52">
        <f t="shared" si="157"/>
        <v>102104246445</v>
      </c>
      <c r="CH965" s="52"/>
      <c r="CI965" s="52"/>
      <c r="CJ965" s="52">
        <v>270131237</v>
      </c>
      <c r="CK965" s="52"/>
      <c r="CL965" s="52">
        <v>6818557543</v>
      </c>
      <c r="CM965" s="52">
        <v>1630829581</v>
      </c>
      <c r="CN965" s="52">
        <v>480217218</v>
      </c>
      <c r="CO965" s="52">
        <v>863234860</v>
      </c>
      <c r="CP965" s="52"/>
      <c r="CQ965" s="52"/>
      <c r="CR965" s="52"/>
      <c r="CS965" s="52">
        <f t="shared" si="154"/>
        <v>112167216884</v>
      </c>
      <c r="CT965" s="53">
        <v>108399309281</v>
      </c>
      <c r="CU965" s="53">
        <f t="shared" si="155"/>
        <v>3767907603</v>
      </c>
      <c r="CV965" s="54">
        <f t="shared" si="158"/>
        <v>112167216884</v>
      </c>
      <c r="CW965" s="55">
        <f t="shared" si="159"/>
        <v>0</v>
      </c>
      <c r="CX965" s="16"/>
      <c r="CY965" s="16"/>
      <c r="CZ965" s="16"/>
    </row>
    <row r="966" spans="1:108" ht="15" customHeight="1" x14ac:dyDescent="0.2">
      <c r="A966" s="1">
        <v>8000957884</v>
      </c>
      <c r="B966" s="1">
        <v>800095788</v>
      </c>
      <c r="C966" s="9">
        <v>218518785</v>
      </c>
      <c r="D966" s="10" t="s">
        <v>371</v>
      </c>
      <c r="E966" s="46" t="s">
        <v>1403</v>
      </c>
      <c r="F966" s="21"/>
      <c r="G966" s="50"/>
      <c r="H966" s="21"/>
      <c r="I966" s="50"/>
      <c r="J966" s="21"/>
      <c r="K966" s="21"/>
      <c r="L966" s="50"/>
      <c r="M966" s="51"/>
      <c r="N966" s="21"/>
      <c r="O966" s="50"/>
      <c r="P966" s="21"/>
      <c r="Q966" s="50"/>
      <c r="R966" s="21"/>
      <c r="S966" s="21"/>
      <c r="T966" s="50"/>
      <c r="U966" s="51">
        <f t="shared" si="153"/>
        <v>0</v>
      </c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>
        <v>90471055</v>
      </c>
      <c r="AN966" s="51">
        <f>SUBTOTAL(9,AC966:AM966)</f>
        <v>90471055</v>
      </c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>
        <v>74040705</v>
      </c>
      <c r="AZ966" s="51"/>
      <c r="BA966" s="51">
        <f>VLOOKUP(B966,[1]Hoja3!J$3:K$674,2,0)</f>
        <v>41823330</v>
      </c>
      <c r="BB966" s="51"/>
      <c r="BC966" s="52">
        <f t="shared" si="156"/>
        <v>206335090</v>
      </c>
      <c r="BD966" s="51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>
        <v>14808141</v>
      </c>
      <c r="BO966" s="51"/>
      <c r="BP966" s="52">
        <v>221143231</v>
      </c>
      <c r="BQ966" s="52"/>
      <c r="BR966" s="52"/>
      <c r="BS966" s="52"/>
      <c r="BT966" s="52"/>
      <c r="BU966" s="52"/>
      <c r="BV966" s="52"/>
      <c r="BW966" s="52"/>
      <c r="BX966" s="52"/>
      <c r="BY966" s="52"/>
      <c r="BZ966" s="52"/>
      <c r="CA966" s="52"/>
      <c r="CB966" s="52"/>
      <c r="CC966" s="52">
        <v>14808141</v>
      </c>
      <c r="CD966" s="52"/>
      <c r="CE966" s="52"/>
      <c r="CF966" s="52"/>
      <c r="CG966" s="52">
        <f t="shared" si="157"/>
        <v>235951372</v>
      </c>
      <c r="CH966" s="52"/>
      <c r="CI966" s="52"/>
      <c r="CJ966" s="52"/>
      <c r="CK966" s="52"/>
      <c r="CL966" s="52"/>
      <c r="CM966" s="52"/>
      <c r="CN966" s="52"/>
      <c r="CO966" s="52"/>
      <c r="CP966" s="52"/>
      <c r="CQ966" s="52">
        <v>14808141</v>
      </c>
      <c r="CR966" s="52"/>
      <c r="CS966" s="52">
        <f t="shared" si="154"/>
        <v>250759513</v>
      </c>
      <c r="CT966" s="53">
        <v>118465128</v>
      </c>
      <c r="CU966" s="53">
        <f t="shared" si="155"/>
        <v>132294385</v>
      </c>
      <c r="CV966" s="54">
        <f t="shared" si="158"/>
        <v>250759513</v>
      </c>
      <c r="CW966" s="55">
        <f t="shared" si="159"/>
        <v>0</v>
      </c>
      <c r="CX966" s="16"/>
      <c r="CY966" s="16"/>
      <c r="CZ966" s="16"/>
    </row>
    <row r="967" spans="1:108" ht="15" customHeight="1" x14ac:dyDescent="0.2">
      <c r="A967" s="1">
        <v>8000298265</v>
      </c>
      <c r="B967" s="1">
        <v>800029826</v>
      </c>
      <c r="C967" s="9">
        <v>216115761</v>
      </c>
      <c r="D967" s="10" t="s">
        <v>311</v>
      </c>
      <c r="E967" s="46" t="s">
        <v>1343</v>
      </c>
      <c r="F967" s="21"/>
      <c r="G967" s="50"/>
      <c r="H967" s="21"/>
      <c r="I967" s="50"/>
      <c r="J967" s="21"/>
      <c r="K967" s="21"/>
      <c r="L967" s="50"/>
      <c r="M967" s="51"/>
      <c r="N967" s="21"/>
      <c r="O967" s="50"/>
      <c r="P967" s="21"/>
      <c r="Q967" s="50"/>
      <c r="R967" s="21"/>
      <c r="S967" s="21"/>
      <c r="T967" s="50"/>
      <c r="U967" s="51">
        <f t="shared" si="153"/>
        <v>0</v>
      </c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>
        <v>25373480</v>
      </c>
      <c r="AZ967" s="51"/>
      <c r="BA967" s="51">
        <f>VLOOKUP(B967,[1]Hoja3!J$3:K$674,2,0)</f>
        <v>42597415</v>
      </c>
      <c r="BB967" s="51"/>
      <c r="BC967" s="52">
        <f t="shared" si="156"/>
        <v>67970895</v>
      </c>
      <c r="BD967" s="51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>
        <v>5074696</v>
      </c>
      <c r="BO967" s="51"/>
      <c r="BP967" s="52">
        <v>73045591</v>
      </c>
      <c r="BQ967" s="52"/>
      <c r="BR967" s="52"/>
      <c r="BS967" s="52"/>
      <c r="BT967" s="52"/>
      <c r="BU967" s="52"/>
      <c r="BV967" s="52"/>
      <c r="BW967" s="52"/>
      <c r="BX967" s="52"/>
      <c r="BY967" s="52"/>
      <c r="BZ967" s="52"/>
      <c r="CA967" s="52"/>
      <c r="CB967" s="52"/>
      <c r="CC967" s="52">
        <v>5074696</v>
      </c>
      <c r="CD967" s="52"/>
      <c r="CE967" s="52"/>
      <c r="CF967" s="52"/>
      <c r="CG967" s="52">
        <f t="shared" si="157"/>
        <v>78120287</v>
      </c>
      <c r="CH967" s="52"/>
      <c r="CI967" s="52"/>
      <c r="CJ967" s="52"/>
      <c r="CK967" s="52"/>
      <c r="CL967" s="52"/>
      <c r="CM967" s="52"/>
      <c r="CN967" s="52"/>
      <c r="CO967" s="52"/>
      <c r="CP967" s="52"/>
      <c r="CQ967" s="52">
        <v>5074696</v>
      </c>
      <c r="CR967" s="52"/>
      <c r="CS967" s="52">
        <f t="shared" si="154"/>
        <v>83194983</v>
      </c>
      <c r="CT967" s="53">
        <v>40597568</v>
      </c>
      <c r="CU967" s="53">
        <f t="shared" si="155"/>
        <v>42597415</v>
      </c>
      <c r="CV967" s="54">
        <f t="shared" si="158"/>
        <v>83194983</v>
      </c>
      <c r="CW967" s="55">
        <f t="shared" si="159"/>
        <v>0</v>
      </c>
      <c r="CX967" s="16"/>
      <c r="CY967" s="8"/>
      <c r="CZ967" s="8"/>
      <c r="DA967" s="8"/>
      <c r="DB967" s="8"/>
      <c r="DC967" s="8"/>
      <c r="DD967" s="8"/>
    </row>
    <row r="968" spans="1:108" ht="15" customHeight="1" x14ac:dyDescent="0.2">
      <c r="A968" s="1">
        <v>8909803577</v>
      </c>
      <c r="B968" s="1">
        <v>890980357</v>
      </c>
      <c r="C968" s="9">
        <v>215605756</v>
      </c>
      <c r="D968" s="10" t="s">
        <v>142</v>
      </c>
      <c r="E968" s="46" t="s">
        <v>1171</v>
      </c>
      <c r="F968" s="21"/>
      <c r="G968" s="50"/>
      <c r="H968" s="21"/>
      <c r="I968" s="50"/>
      <c r="J968" s="21"/>
      <c r="K968" s="21"/>
      <c r="L968" s="50"/>
      <c r="M968" s="51"/>
      <c r="N968" s="21"/>
      <c r="O968" s="50"/>
      <c r="P968" s="21"/>
      <c r="Q968" s="50"/>
      <c r="R968" s="21"/>
      <c r="S968" s="21"/>
      <c r="T968" s="50"/>
      <c r="U968" s="51">
        <f t="shared" si="153"/>
        <v>0</v>
      </c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>
        <v>497433131</v>
      </c>
      <c r="AN968" s="51">
        <f>SUBTOTAL(9,AC968:AM968)</f>
        <v>497433131</v>
      </c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>
        <v>231226575</v>
      </c>
      <c r="AZ968" s="51"/>
      <c r="BA968" s="51"/>
      <c r="BB968" s="51"/>
      <c r="BC968" s="52">
        <f t="shared" si="156"/>
        <v>728659706</v>
      </c>
      <c r="BD968" s="51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>
        <v>46245315</v>
      </c>
      <c r="BO968" s="51"/>
      <c r="BP968" s="52">
        <v>774905021</v>
      </c>
      <c r="BQ968" s="52"/>
      <c r="BR968" s="52"/>
      <c r="BS968" s="52"/>
      <c r="BT968" s="52"/>
      <c r="BU968" s="52"/>
      <c r="BV968" s="52"/>
      <c r="BW968" s="52"/>
      <c r="BX968" s="52"/>
      <c r="BY968" s="52"/>
      <c r="BZ968" s="52"/>
      <c r="CA968" s="52"/>
      <c r="CB968" s="52"/>
      <c r="CC968" s="52">
        <v>46245315</v>
      </c>
      <c r="CD968" s="52"/>
      <c r="CE968" s="52"/>
      <c r="CF968" s="52"/>
      <c r="CG968" s="52">
        <f t="shared" si="157"/>
        <v>821150336</v>
      </c>
      <c r="CH968" s="52"/>
      <c r="CI968" s="52"/>
      <c r="CJ968" s="52"/>
      <c r="CK968" s="52"/>
      <c r="CL968" s="52"/>
      <c r="CM968" s="52"/>
      <c r="CN968" s="52"/>
      <c r="CO968" s="52"/>
      <c r="CP968" s="52"/>
      <c r="CQ968" s="52">
        <v>46245315</v>
      </c>
      <c r="CR968" s="52"/>
      <c r="CS968" s="52">
        <f t="shared" si="154"/>
        <v>867395651</v>
      </c>
      <c r="CT968" s="53">
        <v>369962520</v>
      </c>
      <c r="CU968" s="53">
        <f t="shared" si="155"/>
        <v>497433131</v>
      </c>
      <c r="CV968" s="54">
        <f t="shared" si="158"/>
        <v>867395651</v>
      </c>
      <c r="CW968" s="55">
        <f t="shared" si="159"/>
        <v>0</v>
      </c>
      <c r="CX968" s="16"/>
      <c r="CY968" s="16"/>
      <c r="CZ968" s="16"/>
    </row>
    <row r="969" spans="1:108" ht="15" customHeight="1" x14ac:dyDescent="0.2">
      <c r="A969" s="1">
        <v>8909810807</v>
      </c>
      <c r="B969" s="1">
        <v>890981080</v>
      </c>
      <c r="C969" s="9">
        <v>216105761</v>
      </c>
      <c r="D969" s="10" t="s">
        <v>143</v>
      </c>
      <c r="E969" s="46" t="s">
        <v>1172</v>
      </c>
      <c r="F969" s="21"/>
      <c r="G969" s="50"/>
      <c r="H969" s="21"/>
      <c r="I969" s="50"/>
      <c r="J969" s="21"/>
      <c r="K969" s="21"/>
      <c r="L969" s="50"/>
      <c r="M969" s="51"/>
      <c r="N969" s="21"/>
      <c r="O969" s="50"/>
      <c r="P969" s="21"/>
      <c r="Q969" s="50"/>
      <c r="R969" s="21"/>
      <c r="S969" s="21"/>
      <c r="T969" s="50"/>
      <c r="U969" s="51">
        <f t="shared" si="153"/>
        <v>0</v>
      </c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>
        <f>VLOOKUP(B969,[1]Hoja3!J$3:K$674,2,0)</f>
        <v>200743627</v>
      </c>
      <c r="BB969" s="51"/>
      <c r="BC969" s="52">
        <f t="shared" si="156"/>
        <v>200743627</v>
      </c>
      <c r="BD969" s="51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>
        <v>0</v>
      </c>
      <c r="BO969" s="51"/>
      <c r="BP969" s="52">
        <v>200743627</v>
      </c>
      <c r="BQ969" s="52"/>
      <c r="BR969" s="52"/>
      <c r="BS969" s="52"/>
      <c r="BT969" s="52"/>
      <c r="BU969" s="52"/>
      <c r="BV969" s="52"/>
      <c r="BW969" s="52"/>
      <c r="BX969" s="52"/>
      <c r="BY969" s="52"/>
      <c r="BZ969" s="52"/>
      <c r="CA969" s="52"/>
      <c r="CB969" s="52"/>
      <c r="CC969" s="52">
        <v>0</v>
      </c>
      <c r="CD969" s="52"/>
      <c r="CE969" s="52"/>
      <c r="CF969" s="52"/>
      <c r="CG969" s="52">
        <f t="shared" si="157"/>
        <v>200743627</v>
      </c>
      <c r="CH969" s="52"/>
      <c r="CI969" s="52"/>
      <c r="CJ969" s="52"/>
      <c r="CK969" s="52"/>
      <c r="CL969" s="52"/>
      <c r="CM969" s="52"/>
      <c r="CN969" s="52"/>
      <c r="CO969" s="52"/>
      <c r="CP969" s="52"/>
      <c r="CQ969" s="52">
        <v>157875176</v>
      </c>
      <c r="CR969" s="52"/>
      <c r="CS969" s="52">
        <f t="shared" si="154"/>
        <v>358618803</v>
      </c>
      <c r="CT969" s="53">
        <v>157875176</v>
      </c>
      <c r="CU969" s="53">
        <f t="shared" si="155"/>
        <v>200743627</v>
      </c>
      <c r="CV969" s="54">
        <f t="shared" si="158"/>
        <v>358618803</v>
      </c>
      <c r="CW969" s="55">
        <f t="shared" si="159"/>
        <v>0</v>
      </c>
      <c r="CX969" s="16"/>
      <c r="CY969" s="16"/>
      <c r="CZ969" s="16"/>
    </row>
    <row r="970" spans="1:108" ht="15" customHeight="1" x14ac:dyDescent="0.2">
      <c r="A970" s="1">
        <v>8000356779</v>
      </c>
      <c r="B970" s="1">
        <v>800035677</v>
      </c>
      <c r="C970" s="9">
        <v>216013760</v>
      </c>
      <c r="D970" s="10" t="s">
        <v>210</v>
      </c>
      <c r="E970" s="46" t="s">
        <v>1245</v>
      </c>
      <c r="F970" s="21"/>
      <c r="G970" s="50"/>
      <c r="H970" s="21"/>
      <c r="I970" s="50"/>
      <c r="J970" s="21"/>
      <c r="K970" s="21"/>
      <c r="L970" s="50"/>
      <c r="M970" s="51"/>
      <c r="N970" s="21"/>
      <c r="O970" s="50"/>
      <c r="P970" s="21"/>
      <c r="Q970" s="50"/>
      <c r="R970" s="21"/>
      <c r="S970" s="21"/>
      <c r="T970" s="50"/>
      <c r="U970" s="51">
        <f t="shared" si="153"/>
        <v>0</v>
      </c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>
        <v>123655308</v>
      </c>
      <c r="AN970" s="51">
        <f>SUBTOTAL(9,AC970:AM970)</f>
        <v>123655308</v>
      </c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>
        <v>75254565</v>
      </c>
      <c r="AZ970" s="51"/>
      <c r="BA970" s="51"/>
      <c r="BB970" s="51"/>
      <c r="BC970" s="52">
        <f t="shared" si="156"/>
        <v>198909873</v>
      </c>
      <c r="BD970" s="51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>
        <v>15050913</v>
      </c>
      <c r="BO970" s="51"/>
      <c r="BP970" s="52">
        <v>213960786</v>
      </c>
      <c r="BQ970" s="52"/>
      <c r="BR970" s="52"/>
      <c r="BS970" s="52"/>
      <c r="BT970" s="52"/>
      <c r="BU970" s="52"/>
      <c r="BV970" s="52"/>
      <c r="BW970" s="52"/>
      <c r="BX970" s="52"/>
      <c r="BY970" s="52"/>
      <c r="BZ970" s="52"/>
      <c r="CA970" s="52"/>
      <c r="CB970" s="52"/>
      <c r="CC970" s="52">
        <v>15050913</v>
      </c>
      <c r="CD970" s="52"/>
      <c r="CE970" s="52"/>
      <c r="CF970" s="52"/>
      <c r="CG970" s="52">
        <f t="shared" si="157"/>
        <v>229011699</v>
      </c>
      <c r="CH970" s="52"/>
      <c r="CI970" s="52"/>
      <c r="CJ970" s="52"/>
      <c r="CK970" s="52"/>
      <c r="CL970" s="52"/>
      <c r="CM970" s="52"/>
      <c r="CN970" s="52"/>
      <c r="CO970" s="52"/>
      <c r="CP970" s="52"/>
      <c r="CQ970" s="52">
        <v>15050913</v>
      </c>
      <c r="CR970" s="52"/>
      <c r="CS970" s="52">
        <f t="shared" si="154"/>
        <v>244062612</v>
      </c>
      <c r="CT970" s="53">
        <v>120407304</v>
      </c>
      <c r="CU970" s="53">
        <f t="shared" si="155"/>
        <v>123655308</v>
      </c>
      <c r="CV970" s="54">
        <f t="shared" si="158"/>
        <v>244062612</v>
      </c>
      <c r="CW970" s="55">
        <f t="shared" si="159"/>
        <v>0</v>
      </c>
      <c r="CX970" s="16"/>
      <c r="CY970" s="8"/>
      <c r="CZ970" s="8"/>
      <c r="DA970" s="8"/>
      <c r="DB970" s="8"/>
      <c r="DC970" s="8"/>
      <c r="DD970" s="8"/>
    </row>
    <row r="971" spans="1:108" ht="15" customHeight="1" x14ac:dyDescent="0.2">
      <c r="A971" s="1">
        <v>8999994682</v>
      </c>
      <c r="B971" s="1">
        <v>899999468</v>
      </c>
      <c r="C971" s="9">
        <v>215825758</v>
      </c>
      <c r="D971" s="10" t="s">
        <v>539</v>
      </c>
      <c r="E971" s="46" t="s">
        <v>1564</v>
      </c>
      <c r="F971" s="21"/>
      <c r="G971" s="50"/>
      <c r="H971" s="21"/>
      <c r="I971" s="50"/>
      <c r="J971" s="21"/>
      <c r="K971" s="21"/>
      <c r="L971" s="50"/>
      <c r="M971" s="51"/>
      <c r="N971" s="21"/>
      <c r="O971" s="50"/>
      <c r="P971" s="21"/>
      <c r="Q971" s="50"/>
      <c r="R971" s="21"/>
      <c r="S971" s="21"/>
      <c r="T971" s="50"/>
      <c r="U971" s="51">
        <f t="shared" si="153"/>
        <v>0</v>
      </c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>
        <v>336029249</v>
      </c>
      <c r="AN971" s="51">
        <f>SUBTOTAL(9,AC971:AM971)</f>
        <v>336029249</v>
      </c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2">
        <f t="shared" si="156"/>
        <v>336029249</v>
      </c>
      <c r="BD971" s="51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>
        <v>0</v>
      </c>
      <c r="BO971" s="51"/>
      <c r="BP971" s="52">
        <v>336029249</v>
      </c>
      <c r="BQ971" s="52"/>
      <c r="BR971" s="52"/>
      <c r="BS971" s="52"/>
      <c r="BT971" s="52"/>
      <c r="BU971" s="52"/>
      <c r="BV971" s="52"/>
      <c r="BW971" s="52"/>
      <c r="BX971" s="52"/>
      <c r="BY971" s="52"/>
      <c r="BZ971" s="52"/>
      <c r="CA971" s="52"/>
      <c r="CB971" s="52"/>
      <c r="CC971" s="52">
        <v>0</v>
      </c>
      <c r="CD971" s="52"/>
      <c r="CE971" s="52"/>
      <c r="CF971" s="52"/>
      <c r="CG971" s="52">
        <f t="shared" si="157"/>
        <v>336029249</v>
      </c>
      <c r="CH971" s="52"/>
      <c r="CI971" s="52"/>
      <c r="CJ971" s="52"/>
      <c r="CK971" s="52"/>
      <c r="CL971" s="52"/>
      <c r="CM971" s="52"/>
      <c r="CN971" s="52"/>
      <c r="CO971" s="52"/>
      <c r="CP971" s="52"/>
      <c r="CQ971" s="52">
        <v>183791288</v>
      </c>
      <c r="CR971" s="52"/>
      <c r="CS971" s="52">
        <f t="shared" si="154"/>
        <v>519820537</v>
      </c>
      <c r="CT971" s="53">
        <v>183791288</v>
      </c>
      <c r="CU971" s="53">
        <f t="shared" si="155"/>
        <v>336029249</v>
      </c>
      <c r="CV971" s="54">
        <f t="shared" si="158"/>
        <v>519820537</v>
      </c>
      <c r="CW971" s="55">
        <f t="shared" si="159"/>
        <v>0</v>
      </c>
      <c r="CX971" s="16"/>
      <c r="CY971" s="16"/>
      <c r="CZ971" s="16"/>
    </row>
    <row r="972" spans="1:108" ht="15" customHeight="1" x14ac:dyDescent="0.2">
      <c r="A972" s="1">
        <v>8000192779</v>
      </c>
      <c r="B972" s="1">
        <v>800019277</v>
      </c>
      <c r="C972" s="9">
        <v>216215762</v>
      </c>
      <c r="D972" s="10" t="s">
        <v>312</v>
      </c>
      <c r="E972" s="46" t="s">
        <v>1344</v>
      </c>
      <c r="F972" s="21"/>
      <c r="G972" s="50"/>
      <c r="H972" s="21"/>
      <c r="I972" s="50"/>
      <c r="J972" s="21"/>
      <c r="K972" s="21"/>
      <c r="L972" s="50"/>
      <c r="M972" s="51"/>
      <c r="N972" s="21"/>
      <c r="O972" s="50"/>
      <c r="P972" s="21"/>
      <c r="Q972" s="50"/>
      <c r="R972" s="21"/>
      <c r="S972" s="21"/>
      <c r="T972" s="50"/>
      <c r="U972" s="51">
        <f t="shared" si="153"/>
        <v>0</v>
      </c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>
        <v>46277223</v>
      </c>
      <c r="AN972" s="51">
        <f>SUBTOTAL(9,AC972:AM972)</f>
        <v>46277223</v>
      </c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>
        <v>24319755</v>
      </c>
      <c r="AZ972" s="51"/>
      <c r="BA972" s="51"/>
      <c r="BB972" s="51"/>
      <c r="BC972" s="52">
        <f t="shared" si="156"/>
        <v>70596978</v>
      </c>
      <c r="BD972" s="51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>
        <v>4863951</v>
      </c>
      <c r="BO972" s="51"/>
      <c r="BP972" s="52">
        <v>75460929</v>
      </c>
      <c r="BQ972" s="52"/>
      <c r="BR972" s="52"/>
      <c r="BS972" s="52"/>
      <c r="BT972" s="52"/>
      <c r="BU972" s="52"/>
      <c r="BV972" s="52"/>
      <c r="BW972" s="52"/>
      <c r="BX972" s="52"/>
      <c r="BY972" s="52"/>
      <c r="BZ972" s="52"/>
      <c r="CA972" s="52"/>
      <c r="CB972" s="52"/>
      <c r="CC972" s="52">
        <v>4863951</v>
      </c>
      <c r="CD972" s="52"/>
      <c r="CE972" s="52"/>
      <c r="CF972" s="52"/>
      <c r="CG972" s="52">
        <f t="shared" si="157"/>
        <v>80324880</v>
      </c>
      <c r="CH972" s="52"/>
      <c r="CI972" s="52"/>
      <c r="CJ972" s="52"/>
      <c r="CK972" s="52"/>
      <c r="CL972" s="52"/>
      <c r="CM972" s="52"/>
      <c r="CN972" s="52"/>
      <c r="CO972" s="52"/>
      <c r="CP972" s="52"/>
      <c r="CQ972" s="52">
        <v>4863951</v>
      </c>
      <c r="CR972" s="52"/>
      <c r="CS972" s="52">
        <f t="shared" si="154"/>
        <v>85188831</v>
      </c>
      <c r="CT972" s="53">
        <v>38911608</v>
      </c>
      <c r="CU972" s="53">
        <f t="shared" si="155"/>
        <v>46277223</v>
      </c>
      <c r="CV972" s="54">
        <f t="shared" si="158"/>
        <v>85188831</v>
      </c>
      <c r="CW972" s="55">
        <f t="shared" si="159"/>
        <v>0</v>
      </c>
      <c r="CX972" s="16"/>
      <c r="CY972" s="8"/>
      <c r="CZ972" s="8"/>
      <c r="DA972" s="8"/>
      <c r="DB972" s="8"/>
      <c r="DC972" s="8"/>
      <c r="DD972" s="8"/>
    </row>
    <row r="973" spans="1:108" ht="15" customHeight="1" x14ac:dyDescent="0.2">
      <c r="A973" s="1">
        <v>8000159097</v>
      </c>
      <c r="B973" s="1">
        <v>800015909</v>
      </c>
      <c r="C973" s="9">
        <v>216415764</v>
      </c>
      <c r="D973" s="10" t="s">
        <v>314</v>
      </c>
      <c r="E973" s="46" t="s">
        <v>1346</v>
      </c>
      <c r="F973" s="21"/>
      <c r="G973" s="50"/>
      <c r="H973" s="21"/>
      <c r="I973" s="50"/>
      <c r="J973" s="21"/>
      <c r="K973" s="21"/>
      <c r="L973" s="50"/>
      <c r="M973" s="51"/>
      <c r="N973" s="21"/>
      <c r="O973" s="50"/>
      <c r="P973" s="21"/>
      <c r="Q973" s="50"/>
      <c r="R973" s="21"/>
      <c r="S973" s="21"/>
      <c r="T973" s="50"/>
      <c r="U973" s="51">
        <f t="shared" si="153"/>
        <v>0</v>
      </c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>
        <v>147922536</v>
      </c>
      <c r="AN973" s="51">
        <f>SUBTOTAL(9,AC973:AM973)</f>
        <v>147922536</v>
      </c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>
        <v>53670730</v>
      </c>
      <c r="AZ973" s="51"/>
      <c r="BA973" s="51"/>
      <c r="BB973" s="51"/>
      <c r="BC973" s="52">
        <f t="shared" si="156"/>
        <v>201593266</v>
      </c>
      <c r="BD973" s="51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>
        <v>10734146</v>
      </c>
      <c r="BO973" s="51"/>
      <c r="BP973" s="52">
        <v>212327412</v>
      </c>
      <c r="BQ973" s="52"/>
      <c r="BR973" s="52"/>
      <c r="BS973" s="52"/>
      <c r="BT973" s="52"/>
      <c r="BU973" s="52"/>
      <c r="BV973" s="52"/>
      <c r="BW973" s="52"/>
      <c r="BX973" s="52"/>
      <c r="BY973" s="52"/>
      <c r="BZ973" s="52"/>
      <c r="CA973" s="52"/>
      <c r="CB973" s="52"/>
      <c r="CC973" s="52">
        <v>10734146</v>
      </c>
      <c r="CD973" s="52"/>
      <c r="CE973" s="52"/>
      <c r="CF973" s="52"/>
      <c r="CG973" s="52">
        <f t="shared" si="157"/>
        <v>223061558</v>
      </c>
      <c r="CH973" s="52"/>
      <c r="CI973" s="52"/>
      <c r="CJ973" s="52"/>
      <c r="CK973" s="52"/>
      <c r="CL973" s="52"/>
      <c r="CM973" s="52"/>
      <c r="CN973" s="52"/>
      <c r="CO973" s="52"/>
      <c r="CP973" s="52"/>
      <c r="CQ973" s="52">
        <v>10734146</v>
      </c>
      <c r="CR973" s="52"/>
      <c r="CS973" s="52">
        <f t="shared" si="154"/>
        <v>233795704</v>
      </c>
      <c r="CT973" s="53">
        <v>85873168</v>
      </c>
      <c r="CU973" s="53">
        <f t="shared" si="155"/>
        <v>147922536</v>
      </c>
      <c r="CV973" s="54">
        <f t="shared" si="158"/>
        <v>233795704</v>
      </c>
      <c r="CW973" s="55">
        <f t="shared" si="159"/>
        <v>0</v>
      </c>
      <c r="CX973" s="16"/>
      <c r="CY973" s="8"/>
      <c r="CZ973" s="8"/>
      <c r="DA973" s="8"/>
      <c r="DB973" s="8"/>
      <c r="DC973" s="8"/>
      <c r="DD973" s="8"/>
    </row>
    <row r="974" spans="1:108" ht="15" customHeight="1" x14ac:dyDescent="0.2">
      <c r="A974" s="1">
        <v>8918010611</v>
      </c>
      <c r="B974" s="1">
        <v>891801061</v>
      </c>
      <c r="C974" s="9">
        <v>216315763</v>
      </c>
      <c r="D974" s="10" t="s">
        <v>313</v>
      </c>
      <c r="E974" s="46" t="s">
        <v>1345</v>
      </c>
      <c r="F974" s="21"/>
      <c r="G974" s="50"/>
      <c r="H974" s="21"/>
      <c r="I974" s="50"/>
      <c r="J974" s="21"/>
      <c r="K974" s="21"/>
      <c r="L974" s="50"/>
      <c r="M974" s="51"/>
      <c r="N974" s="21"/>
      <c r="O974" s="50"/>
      <c r="P974" s="21"/>
      <c r="Q974" s="50"/>
      <c r="R974" s="21"/>
      <c r="S974" s="21"/>
      <c r="T974" s="50"/>
      <c r="U974" s="51">
        <f t="shared" si="153"/>
        <v>0</v>
      </c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>
        <v>52125680</v>
      </c>
      <c r="AZ974" s="51"/>
      <c r="BA974" s="51">
        <f>VLOOKUP(B974,[1]Hoja3!J$3:K$674,2,0)</f>
        <v>122178622</v>
      </c>
      <c r="BB974" s="51"/>
      <c r="BC974" s="52">
        <f t="shared" si="156"/>
        <v>174304302</v>
      </c>
      <c r="BD974" s="51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>
        <v>10425136</v>
      </c>
      <c r="BO974" s="51"/>
      <c r="BP974" s="52">
        <v>184729438</v>
      </c>
      <c r="BQ974" s="52"/>
      <c r="BR974" s="52"/>
      <c r="BS974" s="52"/>
      <c r="BT974" s="52"/>
      <c r="BU974" s="52"/>
      <c r="BV974" s="52"/>
      <c r="BW974" s="52"/>
      <c r="BX974" s="52"/>
      <c r="BY974" s="52"/>
      <c r="BZ974" s="52"/>
      <c r="CA974" s="52"/>
      <c r="CB974" s="52"/>
      <c r="CC974" s="52">
        <v>10425136</v>
      </c>
      <c r="CD974" s="52"/>
      <c r="CE974" s="52"/>
      <c r="CF974" s="52"/>
      <c r="CG974" s="52">
        <f t="shared" si="157"/>
        <v>195154574</v>
      </c>
      <c r="CH974" s="52"/>
      <c r="CI974" s="52"/>
      <c r="CJ974" s="52"/>
      <c r="CK974" s="52"/>
      <c r="CL974" s="52"/>
      <c r="CM974" s="52"/>
      <c r="CN974" s="52"/>
      <c r="CO974" s="52"/>
      <c r="CP974" s="52"/>
      <c r="CQ974" s="52">
        <v>10425136</v>
      </c>
      <c r="CR974" s="52"/>
      <c r="CS974" s="52">
        <f t="shared" si="154"/>
        <v>205579710</v>
      </c>
      <c r="CT974" s="53">
        <v>83401088</v>
      </c>
      <c r="CU974" s="53">
        <f t="shared" si="155"/>
        <v>122178622</v>
      </c>
      <c r="CV974" s="54">
        <f t="shared" si="158"/>
        <v>205579710</v>
      </c>
      <c r="CW974" s="55">
        <f t="shared" si="159"/>
        <v>0</v>
      </c>
      <c r="CX974" s="16"/>
      <c r="CY974" s="8"/>
      <c r="CZ974" s="8"/>
      <c r="DA974" s="8"/>
      <c r="DB974" s="8"/>
      <c r="DC974" s="8"/>
      <c r="DD974" s="8"/>
    </row>
    <row r="975" spans="1:108" ht="15" customHeight="1" x14ac:dyDescent="0.2">
      <c r="A975" s="1">
        <v>8915012776</v>
      </c>
      <c r="B975" s="1">
        <v>891501277</v>
      </c>
      <c r="C975" s="9">
        <v>216019760</v>
      </c>
      <c r="D975" s="10" t="s">
        <v>405</v>
      </c>
      <c r="E975" s="46" t="s">
        <v>1434</v>
      </c>
      <c r="F975" s="21"/>
      <c r="G975" s="50"/>
      <c r="H975" s="21"/>
      <c r="I975" s="50"/>
      <c r="J975" s="21"/>
      <c r="K975" s="21"/>
      <c r="L975" s="50"/>
      <c r="M975" s="51"/>
      <c r="N975" s="21"/>
      <c r="O975" s="50"/>
      <c r="P975" s="21"/>
      <c r="Q975" s="50"/>
      <c r="R975" s="21"/>
      <c r="S975" s="21"/>
      <c r="T975" s="50"/>
      <c r="U975" s="51">
        <f t="shared" si="153"/>
        <v>0</v>
      </c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>
        <v>116370732</v>
      </c>
      <c r="AN975" s="51">
        <f>SUBTOTAL(9,AC975:AM975)</f>
        <v>116370732</v>
      </c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>
        <f>VLOOKUP(B975,[1]Hoja3!J$3:K$674,2,0)</f>
        <v>10568277</v>
      </c>
      <c r="BB975" s="51"/>
      <c r="BC975" s="52">
        <f t="shared" si="156"/>
        <v>126939009</v>
      </c>
      <c r="BD975" s="51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>
        <v>16589710</v>
      </c>
      <c r="BO975" s="51"/>
      <c r="BP975" s="52">
        <v>143528719</v>
      </c>
      <c r="BQ975" s="52"/>
      <c r="BR975" s="52"/>
      <c r="BS975" s="52"/>
      <c r="BT975" s="52"/>
      <c r="BU975" s="52"/>
      <c r="BV975" s="52"/>
      <c r="BW975" s="52"/>
      <c r="BX975" s="52"/>
      <c r="BY975" s="52"/>
      <c r="BZ975" s="52"/>
      <c r="CA975" s="52"/>
      <c r="CB975" s="52"/>
      <c r="CC975" s="52">
        <v>16589710</v>
      </c>
      <c r="CD975" s="52">
        <v>82948550</v>
      </c>
      <c r="CE975" s="52"/>
      <c r="CF975" s="52"/>
      <c r="CG975" s="52">
        <f t="shared" si="157"/>
        <v>243066979</v>
      </c>
      <c r="CH975" s="52"/>
      <c r="CI975" s="52"/>
      <c r="CJ975" s="52"/>
      <c r="CK975" s="52"/>
      <c r="CL975" s="52"/>
      <c r="CM975" s="52"/>
      <c r="CN975" s="52"/>
      <c r="CO975" s="52"/>
      <c r="CP975" s="52"/>
      <c r="CQ975" s="52">
        <v>16589710</v>
      </c>
      <c r="CR975" s="52"/>
      <c r="CS975" s="52">
        <f t="shared" si="154"/>
        <v>259656689</v>
      </c>
      <c r="CT975" s="53">
        <v>132717680</v>
      </c>
      <c r="CU975" s="53">
        <f t="shared" si="155"/>
        <v>126939009</v>
      </c>
      <c r="CV975" s="54">
        <f t="shared" si="158"/>
        <v>259656689</v>
      </c>
      <c r="CW975" s="55">
        <f t="shared" si="159"/>
        <v>0</v>
      </c>
      <c r="CX975" s="16"/>
      <c r="CY975" s="16"/>
      <c r="CZ975" s="16"/>
    </row>
    <row r="976" spans="1:108" ht="15" customHeight="1" x14ac:dyDescent="0.2">
      <c r="A976" s="1">
        <v>8902049855</v>
      </c>
      <c r="B976" s="1">
        <v>890204985</v>
      </c>
      <c r="C976" s="9">
        <v>217068770</v>
      </c>
      <c r="D976" s="10" t="s">
        <v>882</v>
      </c>
      <c r="E976" s="46" t="s">
        <v>1895</v>
      </c>
      <c r="F976" s="21"/>
      <c r="G976" s="50"/>
      <c r="H976" s="21"/>
      <c r="I976" s="50"/>
      <c r="J976" s="21"/>
      <c r="K976" s="21"/>
      <c r="L976" s="50"/>
      <c r="M976" s="51"/>
      <c r="N976" s="21"/>
      <c r="O976" s="50"/>
      <c r="P976" s="21"/>
      <c r="Q976" s="50"/>
      <c r="R976" s="21"/>
      <c r="S976" s="21"/>
      <c r="T976" s="50"/>
      <c r="U976" s="51">
        <f t="shared" si="153"/>
        <v>0</v>
      </c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>
        <v>186409978</v>
      </c>
      <c r="AN976" s="51">
        <f>SUBTOTAL(9,AC976:AM976)</f>
        <v>186409978</v>
      </c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>
        <v>66032560</v>
      </c>
      <c r="AZ976" s="51"/>
      <c r="BA976" s="51"/>
      <c r="BB976" s="51"/>
      <c r="BC976" s="52">
        <f t="shared" si="156"/>
        <v>252442538</v>
      </c>
      <c r="BD976" s="51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>
        <v>13206512</v>
      </c>
      <c r="BO976" s="51"/>
      <c r="BP976" s="52">
        <v>265649050</v>
      </c>
      <c r="BQ976" s="52"/>
      <c r="BR976" s="52"/>
      <c r="BS976" s="52"/>
      <c r="BT976" s="52"/>
      <c r="BU976" s="52"/>
      <c r="BV976" s="52"/>
      <c r="BW976" s="52"/>
      <c r="BX976" s="52"/>
      <c r="BY976" s="52"/>
      <c r="BZ976" s="52"/>
      <c r="CA976" s="52"/>
      <c r="CB976" s="52"/>
      <c r="CC976" s="52">
        <v>13206512</v>
      </c>
      <c r="CD976" s="52"/>
      <c r="CE976" s="52"/>
      <c r="CF976" s="52"/>
      <c r="CG976" s="52">
        <f t="shared" si="157"/>
        <v>278855562</v>
      </c>
      <c r="CH976" s="52"/>
      <c r="CI976" s="52"/>
      <c r="CJ976" s="52"/>
      <c r="CK976" s="52"/>
      <c r="CL976" s="52"/>
      <c r="CM976" s="52"/>
      <c r="CN976" s="52"/>
      <c r="CO976" s="52"/>
      <c r="CP976" s="52"/>
      <c r="CQ976" s="52">
        <v>13206512</v>
      </c>
      <c r="CR976" s="52"/>
      <c r="CS976" s="52">
        <f t="shared" si="154"/>
        <v>292062074</v>
      </c>
      <c r="CT976" s="53">
        <v>105652096</v>
      </c>
      <c r="CU976" s="53">
        <f t="shared" si="155"/>
        <v>186409978</v>
      </c>
      <c r="CV976" s="54">
        <f t="shared" si="158"/>
        <v>292062074</v>
      </c>
      <c r="CW976" s="55">
        <f t="shared" si="159"/>
        <v>0</v>
      </c>
      <c r="CX976" s="16"/>
      <c r="CY976" s="16"/>
      <c r="CZ976" s="16"/>
    </row>
    <row r="977" spans="1:108" ht="15" customHeight="1" x14ac:dyDescent="0.2">
      <c r="A977" s="1">
        <v>8901161590</v>
      </c>
      <c r="B977" s="1">
        <v>890116159</v>
      </c>
      <c r="C977" s="9">
        <v>217008770</v>
      </c>
      <c r="D977" s="10" t="s">
        <v>178</v>
      </c>
      <c r="E977" s="46" t="s">
        <v>1207</v>
      </c>
      <c r="F977" s="21"/>
      <c r="G977" s="50"/>
      <c r="H977" s="21"/>
      <c r="I977" s="50"/>
      <c r="J977" s="21"/>
      <c r="K977" s="21"/>
      <c r="L977" s="50"/>
      <c r="M977" s="51"/>
      <c r="N977" s="21"/>
      <c r="O977" s="50"/>
      <c r="P977" s="21"/>
      <c r="Q977" s="50"/>
      <c r="R977" s="21"/>
      <c r="S977" s="21"/>
      <c r="T977" s="50"/>
      <c r="U977" s="51">
        <f t="shared" si="153"/>
        <v>0</v>
      </c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>
        <v>98230200</v>
      </c>
      <c r="AZ977" s="51"/>
      <c r="BA977" s="51">
        <f>VLOOKUP(B977,[1]Hoja3!J$3:K$674,2,0)</f>
        <v>178410922</v>
      </c>
      <c r="BB977" s="51"/>
      <c r="BC977" s="52">
        <f t="shared" si="156"/>
        <v>276641122</v>
      </c>
      <c r="BD977" s="51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>
        <v>19646040</v>
      </c>
      <c r="BO977" s="51"/>
      <c r="BP977" s="52">
        <v>296287162</v>
      </c>
      <c r="BQ977" s="52"/>
      <c r="BR977" s="52"/>
      <c r="BS977" s="52"/>
      <c r="BT977" s="52"/>
      <c r="BU977" s="52"/>
      <c r="BV977" s="52"/>
      <c r="BW977" s="52"/>
      <c r="BX977" s="52"/>
      <c r="BY977" s="52"/>
      <c r="BZ977" s="52"/>
      <c r="CA977" s="52"/>
      <c r="CB977" s="52"/>
      <c r="CC977" s="52">
        <v>19646040</v>
      </c>
      <c r="CD977" s="52"/>
      <c r="CE977" s="52"/>
      <c r="CF977" s="52"/>
      <c r="CG977" s="52">
        <f t="shared" si="157"/>
        <v>315933202</v>
      </c>
      <c r="CH977" s="52"/>
      <c r="CI977" s="52"/>
      <c r="CJ977" s="52"/>
      <c r="CK977" s="52"/>
      <c r="CL977" s="52"/>
      <c r="CM977" s="52"/>
      <c r="CN977" s="52"/>
      <c r="CO977" s="52"/>
      <c r="CP977" s="52"/>
      <c r="CQ977" s="52">
        <v>19646040</v>
      </c>
      <c r="CR977" s="52"/>
      <c r="CS977" s="52">
        <f t="shared" si="154"/>
        <v>335579242</v>
      </c>
      <c r="CT977" s="53">
        <v>157168320</v>
      </c>
      <c r="CU977" s="53">
        <f t="shared" si="155"/>
        <v>178410922</v>
      </c>
      <c r="CV977" s="54">
        <f t="shared" si="158"/>
        <v>335579242</v>
      </c>
      <c r="CW977" s="55">
        <f t="shared" si="159"/>
        <v>0</v>
      </c>
      <c r="CX977" s="16"/>
      <c r="CY977" s="16"/>
      <c r="CZ977" s="16"/>
    </row>
    <row r="978" spans="1:108" ht="15" customHeight="1" x14ac:dyDescent="0.2">
      <c r="A978" s="1">
        <v>8001176875</v>
      </c>
      <c r="B978" s="1">
        <v>800117687</v>
      </c>
      <c r="C978" s="9">
        <v>218019780</v>
      </c>
      <c r="D978" s="10" t="s">
        <v>406</v>
      </c>
      <c r="E978" s="46" t="s">
        <v>1435</v>
      </c>
      <c r="F978" s="21"/>
      <c r="G978" s="50"/>
      <c r="H978" s="21"/>
      <c r="I978" s="50"/>
      <c r="J978" s="21"/>
      <c r="K978" s="21"/>
      <c r="L978" s="50"/>
      <c r="M978" s="51"/>
      <c r="N978" s="21"/>
      <c r="O978" s="50"/>
      <c r="P978" s="21"/>
      <c r="Q978" s="50"/>
      <c r="R978" s="21"/>
      <c r="S978" s="21"/>
      <c r="T978" s="50"/>
      <c r="U978" s="51">
        <f t="shared" si="153"/>
        <v>0</v>
      </c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>
        <v>23458546</v>
      </c>
      <c r="AN978" s="51">
        <f>SUBTOTAL(9,AC978:AM978)</f>
        <v>23458546</v>
      </c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>
        <f>VLOOKUP(B978,[1]Hoja3!J$3:K$674,2,0)</f>
        <v>284016236</v>
      </c>
      <c r="BB978" s="51"/>
      <c r="BC978" s="52">
        <f t="shared" si="156"/>
        <v>307474782</v>
      </c>
      <c r="BD978" s="51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>
        <v>0</v>
      </c>
      <c r="BO978" s="51"/>
      <c r="BP978" s="52">
        <v>307474782</v>
      </c>
      <c r="BQ978" s="52"/>
      <c r="BR978" s="52"/>
      <c r="BS978" s="52"/>
      <c r="BT978" s="52"/>
      <c r="BU978" s="52"/>
      <c r="BV978" s="52"/>
      <c r="BW978" s="52"/>
      <c r="BX978" s="52"/>
      <c r="BY978" s="52"/>
      <c r="BZ978" s="52"/>
      <c r="CA978" s="52"/>
      <c r="CB978" s="52"/>
      <c r="CC978" s="52">
        <v>0</v>
      </c>
      <c r="CD978" s="52"/>
      <c r="CE978" s="52"/>
      <c r="CF978" s="52"/>
      <c r="CG978" s="52">
        <f t="shared" si="157"/>
        <v>307474782</v>
      </c>
      <c r="CH978" s="52"/>
      <c r="CI978" s="52"/>
      <c r="CJ978" s="52"/>
      <c r="CK978" s="52"/>
      <c r="CL978" s="52"/>
      <c r="CM978" s="52"/>
      <c r="CN978" s="52"/>
      <c r="CO978" s="52"/>
      <c r="CP978" s="52"/>
      <c r="CQ978" s="52">
        <v>299136904</v>
      </c>
      <c r="CR978" s="52">
        <v>77921139</v>
      </c>
      <c r="CS978" s="52">
        <f t="shared" si="154"/>
        <v>684532825</v>
      </c>
      <c r="CT978" s="53">
        <v>299136904</v>
      </c>
      <c r="CU978" s="53">
        <f t="shared" si="155"/>
        <v>385395921</v>
      </c>
      <c r="CV978" s="54">
        <f t="shared" si="158"/>
        <v>684532825</v>
      </c>
      <c r="CW978" s="55">
        <f t="shared" si="159"/>
        <v>0</v>
      </c>
      <c r="CX978" s="16"/>
      <c r="CY978" s="16"/>
      <c r="CZ978" s="16"/>
    </row>
    <row r="979" spans="1:108" ht="15" customHeight="1" x14ac:dyDescent="0.2">
      <c r="A979" s="1">
        <v>8907009780</v>
      </c>
      <c r="B979" s="1">
        <v>890700978</v>
      </c>
      <c r="C979" s="9">
        <v>217073770</v>
      </c>
      <c r="D979" s="10" t="s">
        <v>2240</v>
      </c>
      <c r="E979" s="46" t="s">
        <v>1968</v>
      </c>
      <c r="F979" s="21"/>
      <c r="G979" s="50"/>
      <c r="H979" s="21"/>
      <c r="I979" s="50"/>
      <c r="J979" s="21"/>
      <c r="K979" s="21"/>
      <c r="L979" s="50"/>
      <c r="M979" s="51"/>
      <c r="N979" s="21"/>
      <c r="O979" s="50"/>
      <c r="P979" s="21"/>
      <c r="Q979" s="50"/>
      <c r="R979" s="21"/>
      <c r="S979" s="21"/>
      <c r="T979" s="50"/>
      <c r="U979" s="51">
        <f t="shared" si="153"/>
        <v>0</v>
      </c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>
        <f>VLOOKUP(B979,[1]Hoja3!J$3:K$674,2,0)</f>
        <v>49181326</v>
      </c>
      <c r="BB979" s="51"/>
      <c r="BC979" s="52">
        <f t="shared" si="156"/>
        <v>49181326</v>
      </c>
      <c r="BD979" s="51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>
        <v>39882414</v>
      </c>
      <c r="BO979" s="51"/>
      <c r="BP979" s="52">
        <v>89063740</v>
      </c>
      <c r="BQ979" s="52"/>
      <c r="BR979" s="52"/>
      <c r="BS979" s="52"/>
      <c r="BT979" s="52"/>
      <c r="BU979" s="52"/>
      <c r="BV979" s="52"/>
      <c r="BW979" s="52"/>
      <c r="BX979" s="52"/>
      <c r="BY979" s="52"/>
      <c r="BZ979" s="52"/>
      <c r="CA979" s="52"/>
      <c r="CB979" s="52"/>
      <c r="CC979" s="52">
        <v>6647069</v>
      </c>
      <c r="CD979" s="52"/>
      <c r="CE979" s="52"/>
      <c r="CF979" s="52"/>
      <c r="CG979" s="52">
        <f t="shared" si="157"/>
        <v>95710809</v>
      </c>
      <c r="CH979" s="52"/>
      <c r="CI979" s="52"/>
      <c r="CJ979" s="52"/>
      <c r="CK979" s="52"/>
      <c r="CL979" s="52"/>
      <c r="CM979" s="52"/>
      <c r="CN979" s="52"/>
      <c r="CO979" s="52"/>
      <c r="CP979" s="52"/>
      <c r="CQ979" s="52">
        <v>6647069</v>
      </c>
      <c r="CR979" s="52"/>
      <c r="CS979" s="52">
        <f t="shared" si="154"/>
        <v>102357878</v>
      </c>
      <c r="CT979" s="53">
        <v>53176552</v>
      </c>
      <c r="CU979" s="53">
        <f t="shared" si="155"/>
        <v>49181326</v>
      </c>
      <c r="CV979" s="54">
        <f t="shared" si="158"/>
        <v>102357878</v>
      </c>
      <c r="CW979" s="55">
        <f t="shared" si="159"/>
        <v>0</v>
      </c>
      <c r="CX979" s="16"/>
      <c r="CY979" s="16"/>
      <c r="CZ979" s="16"/>
    </row>
    <row r="980" spans="1:108" ht="15" customHeight="1" x14ac:dyDescent="0.2">
      <c r="A980" s="1">
        <v>8911801912</v>
      </c>
      <c r="B980" s="1">
        <v>891180191</v>
      </c>
      <c r="C980" s="9">
        <v>217041770</v>
      </c>
      <c r="D980" s="10" t="s">
        <v>621</v>
      </c>
      <c r="E980" s="46" t="s">
        <v>1640</v>
      </c>
      <c r="F980" s="21"/>
      <c r="G980" s="50"/>
      <c r="H980" s="21"/>
      <c r="I980" s="50"/>
      <c r="J980" s="21"/>
      <c r="K980" s="21"/>
      <c r="L980" s="50"/>
      <c r="M980" s="51"/>
      <c r="N980" s="21"/>
      <c r="O980" s="50"/>
      <c r="P980" s="21"/>
      <c r="Q980" s="50"/>
      <c r="R980" s="21"/>
      <c r="S980" s="21"/>
      <c r="T980" s="50"/>
      <c r="U980" s="51">
        <f t="shared" si="153"/>
        <v>0</v>
      </c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>
        <v>177353945</v>
      </c>
      <c r="AZ980" s="51"/>
      <c r="BA980" s="51">
        <f>VLOOKUP(B980,[1]Hoja3!J$3:K$674,2,0)</f>
        <v>372119955</v>
      </c>
      <c r="BB980" s="51"/>
      <c r="BC980" s="52">
        <f t="shared" si="156"/>
        <v>549473900</v>
      </c>
      <c r="BD980" s="51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>
        <v>35470789</v>
      </c>
      <c r="BO980" s="51"/>
      <c r="BP980" s="52">
        <v>584944689</v>
      </c>
      <c r="BQ980" s="52"/>
      <c r="BR980" s="52"/>
      <c r="BS980" s="52"/>
      <c r="BT980" s="52"/>
      <c r="BU980" s="52"/>
      <c r="BV980" s="52"/>
      <c r="BW980" s="52"/>
      <c r="BX980" s="52"/>
      <c r="BY980" s="52"/>
      <c r="BZ980" s="52"/>
      <c r="CA980" s="52"/>
      <c r="CB980" s="52"/>
      <c r="CC980" s="52">
        <v>35470789</v>
      </c>
      <c r="CD980" s="52"/>
      <c r="CE980" s="52"/>
      <c r="CF980" s="52"/>
      <c r="CG980" s="52">
        <f t="shared" si="157"/>
        <v>620415478</v>
      </c>
      <c r="CH980" s="52"/>
      <c r="CI980" s="52"/>
      <c r="CJ980" s="52"/>
      <c r="CK980" s="52"/>
      <c r="CL980" s="52"/>
      <c r="CM980" s="52"/>
      <c r="CN980" s="52"/>
      <c r="CO980" s="52"/>
      <c r="CP980" s="52"/>
      <c r="CQ980" s="52">
        <v>35470789</v>
      </c>
      <c r="CR980" s="52"/>
      <c r="CS980" s="52">
        <f t="shared" si="154"/>
        <v>655886267</v>
      </c>
      <c r="CT980" s="53">
        <v>283766312</v>
      </c>
      <c r="CU980" s="53">
        <f t="shared" si="155"/>
        <v>372119955</v>
      </c>
      <c r="CV980" s="54">
        <f t="shared" si="158"/>
        <v>655886267</v>
      </c>
      <c r="CW980" s="55">
        <f t="shared" si="159"/>
        <v>0</v>
      </c>
      <c r="CX980" s="16"/>
      <c r="CY980" s="16"/>
      <c r="CZ980" s="16"/>
    </row>
    <row r="981" spans="1:108" ht="15" customHeight="1" x14ac:dyDescent="0.2">
      <c r="A981" s="1">
        <v>8999993147</v>
      </c>
      <c r="B981" s="1">
        <v>899999314</v>
      </c>
      <c r="C981" s="9">
        <v>216925769</v>
      </c>
      <c r="D981" s="10" t="s">
        <v>540</v>
      </c>
      <c r="E981" s="46" t="s">
        <v>1565</v>
      </c>
      <c r="F981" s="21"/>
      <c r="G981" s="50"/>
      <c r="H981" s="21"/>
      <c r="I981" s="50"/>
      <c r="J981" s="21"/>
      <c r="K981" s="21"/>
      <c r="L981" s="50"/>
      <c r="M981" s="51"/>
      <c r="N981" s="21"/>
      <c r="O981" s="50"/>
      <c r="P981" s="21"/>
      <c r="Q981" s="50"/>
      <c r="R981" s="21"/>
      <c r="S981" s="21"/>
      <c r="T981" s="50"/>
      <c r="U981" s="51">
        <f t="shared" si="153"/>
        <v>0</v>
      </c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>
        <v>170484789</v>
      </c>
      <c r="AN981" s="51">
        <f>SUBTOTAL(9,AC981:AM981)</f>
        <v>170484789</v>
      </c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>
        <v>78230415</v>
      </c>
      <c r="AZ981" s="51"/>
      <c r="BA981" s="51"/>
      <c r="BB981" s="51"/>
      <c r="BC981" s="52">
        <f t="shared" si="156"/>
        <v>248715204</v>
      </c>
      <c r="BD981" s="51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>
        <v>15646083</v>
      </c>
      <c r="BO981" s="51"/>
      <c r="BP981" s="52">
        <v>264361287</v>
      </c>
      <c r="BQ981" s="52"/>
      <c r="BR981" s="52"/>
      <c r="BS981" s="52"/>
      <c r="BT981" s="52"/>
      <c r="BU981" s="52"/>
      <c r="BV981" s="52"/>
      <c r="BW981" s="52"/>
      <c r="BX981" s="52"/>
      <c r="BY981" s="52"/>
      <c r="BZ981" s="52"/>
      <c r="CA981" s="52"/>
      <c r="CB981" s="52"/>
      <c r="CC981" s="52">
        <v>15646083</v>
      </c>
      <c r="CD981" s="52"/>
      <c r="CE981" s="52"/>
      <c r="CF981" s="52"/>
      <c r="CG981" s="52">
        <f t="shared" si="157"/>
        <v>280007370</v>
      </c>
      <c r="CH981" s="52"/>
      <c r="CI981" s="52"/>
      <c r="CJ981" s="52"/>
      <c r="CK981" s="52"/>
      <c r="CL981" s="52"/>
      <c r="CM981" s="52"/>
      <c r="CN981" s="52"/>
      <c r="CO981" s="52"/>
      <c r="CP981" s="52"/>
      <c r="CQ981" s="52">
        <v>15646083</v>
      </c>
      <c r="CR981" s="52"/>
      <c r="CS981" s="52">
        <f t="shared" si="154"/>
        <v>295653453</v>
      </c>
      <c r="CT981" s="53">
        <v>125168664</v>
      </c>
      <c r="CU981" s="53">
        <f t="shared" si="155"/>
        <v>170484789</v>
      </c>
      <c r="CV981" s="54">
        <f t="shared" si="158"/>
        <v>295653453</v>
      </c>
      <c r="CW981" s="55">
        <f t="shared" si="159"/>
        <v>0</v>
      </c>
      <c r="CX981" s="16"/>
      <c r="CY981" s="16"/>
      <c r="CZ981" s="16"/>
    </row>
    <row r="982" spans="1:108" ht="15" customHeight="1" x14ac:dyDescent="0.2">
      <c r="A982" s="1">
        <v>8170034405</v>
      </c>
      <c r="B982" s="1">
        <v>817003440</v>
      </c>
      <c r="C982" s="9">
        <v>218519785</v>
      </c>
      <c r="D982" s="10" t="s">
        <v>407</v>
      </c>
      <c r="E982" s="46" t="s">
        <v>1436</v>
      </c>
      <c r="F982" s="21"/>
      <c r="G982" s="50"/>
      <c r="H982" s="21"/>
      <c r="I982" s="50"/>
      <c r="J982" s="21"/>
      <c r="K982" s="21"/>
      <c r="L982" s="50"/>
      <c r="M982" s="51"/>
      <c r="N982" s="21"/>
      <c r="O982" s="50"/>
      <c r="P982" s="21"/>
      <c r="Q982" s="50"/>
      <c r="R982" s="21"/>
      <c r="S982" s="21"/>
      <c r="T982" s="50"/>
      <c r="U982" s="51">
        <f t="shared" si="153"/>
        <v>0</v>
      </c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>
        <v>60893477</v>
      </c>
      <c r="AN982" s="51">
        <f>SUBTOTAL(9,AC982:AM982)</f>
        <v>60893477</v>
      </c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2">
        <f t="shared" si="156"/>
        <v>60893477</v>
      </c>
      <c r="BD982" s="51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>
        <v>0</v>
      </c>
      <c r="BO982" s="51"/>
      <c r="BP982" s="52">
        <v>60893477</v>
      </c>
      <c r="BQ982" s="52"/>
      <c r="BR982" s="52"/>
      <c r="BS982" s="52"/>
      <c r="BT982" s="52"/>
      <c r="BU982" s="52"/>
      <c r="BV982" s="52"/>
      <c r="BW982" s="52"/>
      <c r="BX982" s="52"/>
      <c r="BY982" s="52"/>
      <c r="BZ982" s="52"/>
      <c r="CA982" s="52"/>
      <c r="CB982" s="52"/>
      <c r="CC982" s="52">
        <v>0</v>
      </c>
      <c r="CD982" s="52"/>
      <c r="CE982" s="52"/>
      <c r="CF982" s="52"/>
      <c r="CG982" s="52">
        <f t="shared" si="157"/>
        <v>60893477</v>
      </c>
      <c r="CH982" s="52"/>
      <c r="CI982" s="52"/>
      <c r="CJ982" s="52"/>
      <c r="CK982" s="52"/>
      <c r="CL982" s="52"/>
      <c r="CM982" s="52"/>
      <c r="CN982" s="52"/>
      <c r="CO982" s="52"/>
      <c r="CP982" s="52"/>
      <c r="CQ982" s="52">
        <v>0</v>
      </c>
      <c r="CR982" s="52"/>
      <c r="CS982" s="52">
        <f t="shared" si="154"/>
        <v>60893477</v>
      </c>
      <c r="CT982" s="53"/>
      <c r="CU982" s="53">
        <f t="shared" si="155"/>
        <v>60893477</v>
      </c>
      <c r="CV982" s="54">
        <f t="shared" si="158"/>
        <v>60893477</v>
      </c>
      <c r="CW982" s="55">
        <f t="shared" si="159"/>
        <v>0</v>
      </c>
      <c r="CX982" s="16"/>
      <c r="CY982" s="16"/>
      <c r="CZ982" s="16"/>
    </row>
    <row r="983" spans="1:108" ht="15" customHeight="1" x14ac:dyDescent="0.2">
      <c r="A983" s="1">
        <v>8902108837</v>
      </c>
      <c r="B983" s="1">
        <v>890210883</v>
      </c>
      <c r="C983" s="9">
        <v>217368773</v>
      </c>
      <c r="D983" s="10" t="s">
        <v>883</v>
      </c>
      <c r="E983" s="46" t="s">
        <v>1896</v>
      </c>
      <c r="F983" s="21"/>
      <c r="G983" s="50"/>
      <c r="H983" s="21"/>
      <c r="I983" s="50"/>
      <c r="J983" s="21"/>
      <c r="K983" s="21"/>
      <c r="L983" s="50"/>
      <c r="M983" s="51"/>
      <c r="N983" s="21"/>
      <c r="O983" s="50"/>
      <c r="P983" s="21"/>
      <c r="Q983" s="50"/>
      <c r="R983" s="21"/>
      <c r="S983" s="21"/>
      <c r="T983" s="50"/>
      <c r="U983" s="51">
        <f t="shared" si="153"/>
        <v>0</v>
      </c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>
        <v>22689146</v>
      </c>
      <c r="AN983" s="51">
        <f>SUBTOTAL(9,AC983:AM983)</f>
        <v>22689146</v>
      </c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>
        <v>54516360</v>
      </c>
      <c r="AZ983" s="51"/>
      <c r="BA983" s="51">
        <f>VLOOKUP(B983,[1]Hoja3!J$3:K$674,2,0)</f>
        <v>102806712</v>
      </c>
      <c r="BB983" s="51"/>
      <c r="BC983" s="52">
        <f t="shared" si="156"/>
        <v>180012218</v>
      </c>
      <c r="BD983" s="51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>
        <v>10903272</v>
      </c>
      <c r="BO983" s="51"/>
      <c r="BP983" s="52">
        <v>190915490</v>
      </c>
      <c r="BQ983" s="52"/>
      <c r="BR983" s="52"/>
      <c r="BS983" s="52"/>
      <c r="BT983" s="52"/>
      <c r="BU983" s="52"/>
      <c r="BV983" s="52"/>
      <c r="BW983" s="52"/>
      <c r="BX983" s="52"/>
      <c r="BY983" s="52"/>
      <c r="BZ983" s="52"/>
      <c r="CA983" s="52"/>
      <c r="CB983" s="52"/>
      <c r="CC983" s="52">
        <v>10903272</v>
      </c>
      <c r="CD983" s="52"/>
      <c r="CE983" s="52"/>
      <c r="CF983" s="52"/>
      <c r="CG983" s="52">
        <f t="shared" si="157"/>
        <v>201818762</v>
      </c>
      <c r="CH983" s="52"/>
      <c r="CI983" s="52"/>
      <c r="CJ983" s="52"/>
      <c r="CK983" s="52"/>
      <c r="CL983" s="52"/>
      <c r="CM983" s="52"/>
      <c r="CN983" s="52"/>
      <c r="CO983" s="52"/>
      <c r="CP983" s="52"/>
      <c r="CQ983" s="52">
        <v>10903272</v>
      </c>
      <c r="CR983" s="52"/>
      <c r="CS983" s="52">
        <f t="shared" si="154"/>
        <v>212722034</v>
      </c>
      <c r="CT983" s="53">
        <v>87226176</v>
      </c>
      <c r="CU983" s="53">
        <f t="shared" si="155"/>
        <v>125495858</v>
      </c>
      <c r="CV983" s="54">
        <f t="shared" si="158"/>
        <v>212722034</v>
      </c>
      <c r="CW983" s="55">
        <f t="shared" si="159"/>
        <v>0</v>
      </c>
      <c r="CX983" s="16"/>
      <c r="CY983" s="16"/>
      <c r="CZ983" s="16"/>
    </row>
    <row r="984" spans="1:108" ht="15" customHeight="1" x14ac:dyDescent="0.2">
      <c r="A984" s="1">
        <v>8922800616</v>
      </c>
      <c r="B984" s="1">
        <v>892280061</v>
      </c>
      <c r="C984" s="9">
        <v>217170771</v>
      </c>
      <c r="D984" s="10" t="s">
        <v>909</v>
      </c>
      <c r="E984" s="46" t="s">
        <v>1925</v>
      </c>
      <c r="F984" s="21"/>
      <c r="G984" s="50"/>
      <c r="H984" s="21"/>
      <c r="I984" s="50"/>
      <c r="J984" s="21"/>
      <c r="K984" s="21"/>
      <c r="L984" s="50"/>
      <c r="M984" s="51"/>
      <c r="N984" s="21"/>
      <c r="O984" s="50"/>
      <c r="P984" s="21"/>
      <c r="Q984" s="50"/>
      <c r="R984" s="21"/>
      <c r="S984" s="21"/>
      <c r="T984" s="50"/>
      <c r="U984" s="51">
        <f t="shared" si="153"/>
        <v>0</v>
      </c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>
        <v>364747885</v>
      </c>
      <c r="AZ984" s="51"/>
      <c r="BA984" s="51">
        <f>VLOOKUP(B984,[1]Hoja3!J$3:K$674,2,0)</f>
        <v>460379877</v>
      </c>
      <c r="BB984" s="51"/>
      <c r="BC984" s="52">
        <f t="shared" si="156"/>
        <v>825127762</v>
      </c>
      <c r="BD984" s="51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>
        <v>72949577</v>
      </c>
      <c r="BO984" s="51"/>
      <c r="BP984" s="52">
        <v>898077339</v>
      </c>
      <c r="BQ984" s="52"/>
      <c r="BR984" s="52"/>
      <c r="BS984" s="52"/>
      <c r="BT984" s="52"/>
      <c r="BU984" s="52"/>
      <c r="BV984" s="52"/>
      <c r="BW984" s="52"/>
      <c r="BX984" s="52"/>
      <c r="BY984" s="52"/>
      <c r="BZ984" s="52"/>
      <c r="CA984" s="52"/>
      <c r="CB984" s="52"/>
      <c r="CC984" s="52">
        <v>72949577</v>
      </c>
      <c r="CD984" s="52"/>
      <c r="CE984" s="52"/>
      <c r="CF984" s="52"/>
      <c r="CG984" s="52">
        <f t="shared" si="157"/>
        <v>971026916</v>
      </c>
      <c r="CH984" s="52"/>
      <c r="CI984" s="52"/>
      <c r="CJ984" s="52"/>
      <c r="CK984" s="52"/>
      <c r="CL984" s="52"/>
      <c r="CM984" s="52"/>
      <c r="CN984" s="52"/>
      <c r="CO984" s="52"/>
      <c r="CP984" s="52"/>
      <c r="CQ984" s="52">
        <v>72949577</v>
      </c>
      <c r="CR984" s="52"/>
      <c r="CS984" s="52">
        <f t="shared" si="154"/>
        <v>1043976493</v>
      </c>
      <c r="CT984" s="53">
        <v>583596616</v>
      </c>
      <c r="CU984" s="53">
        <f t="shared" si="155"/>
        <v>460379877</v>
      </c>
      <c r="CV984" s="54">
        <f t="shared" si="158"/>
        <v>1043976493</v>
      </c>
      <c r="CW984" s="55">
        <f t="shared" si="159"/>
        <v>0</v>
      </c>
      <c r="CX984" s="16"/>
      <c r="CY984" s="16"/>
      <c r="CZ984" s="16"/>
    </row>
    <row r="985" spans="1:108" ht="15" customHeight="1" x14ac:dyDescent="0.2">
      <c r="A985" s="1">
        <v>8999994303</v>
      </c>
      <c r="B985" s="1">
        <v>899999430</v>
      </c>
      <c r="C985" s="9">
        <v>217225772</v>
      </c>
      <c r="D985" s="10" t="s">
        <v>541</v>
      </c>
      <c r="E985" s="46" t="s">
        <v>1566</v>
      </c>
      <c r="F985" s="21"/>
      <c r="G985" s="50"/>
      <c r="H985" s="21"/>
      <c r="I985" s="50"/>
      <c r="J985" s="21"/>
      <c r="K985" s="21"/>
      <c r="L985" s="50"/>
      <c r="M985" s="51"/>
      <c r="N985" s="21"/>
      <c r="O985" s="50"/>
      <c r="P985" s="21"/>
      <c r="Q985" s="50"/>
      <c r="R985" s="21"/>
      <c r="S985" s="21"/>
      <c r="T985" s="50"/>
      <c r="U985" s="51">
        <f t="shared" si="153"/>
        <v>0</v>
      </c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>
        <v>248371398</v>
      </c>
      <c r="AN985" s="51">
        <f>SUBTOTAL(9,AC985:AM985)</f>
        <v>248371398</v>
      </c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>
        <f>VLOOKUP(B985,'[2]anuladas en mayo gratuidad}'!K$2:L$55,2,0)</f>
        <v>171918184</v>
      </c>
      <c r="BC985" s="52">
        <f t="shared" si="156"/>
        <v>76453214</v>
      </c>
      <c r="BD985" s="51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>
        <v>0</v>
      </c>
      <c r="BO985" s="51"/>
      <c r="BP985" s="52">
        <v>76453214</v>
      </c>
      <c r="BQ985" s="52"/>
      <c r="BR985" s="52"/>
      <c r="BS985" s="52"/>
      <c r="BT985" s="52"/>
      <c r="BU985" s="52"/>
      <c r="BV985" s="52"/>
      <c r="BW985" s="52"/>
      <c r="BX985" s="52"/>
      <c r="BY985" s="52"/>
      <c r="BZ985" s="52"/>
      <c r="CA985" s="52"/>
      <c r="CB985" s="52"/>
      <c r="CC985" s="52">
        <v>127962317</v>
      </c>
      <c r="CD985" s="52"/>
      <c r="CE985" s="52"/>
      <c r="CF985" s="52"/>
      <c r="CG985" s="52">
        <f t="shared" si="157"/>
        <v>204415531</v>
      </c>
      <c r="CH985" s="52"/>
      <c r="CI985" s="52"/>
      <c r="CJ985" s="52"/>
      <c r="CK985" s="52"/>
      <c r="CL985" s="52"/>
      <c r="CM985" s="52"/>
      <c r="CN985" s="52"/>
      <c r="CO985" s="52"/>
      <c r="CP985" s="52"/>
      <c r="CQ985" s="52">
        <v>18280331</v>
      </c>
      <c r="CR985" s="52">
        <v>171918184</v>
      </c>
      <c r="CS985" s="52">
        <f t="shared" si="154"/>
        <v>394614046</v>
      </c>
      <c r="CT985" s="53">
        <v>146242648</v>
      </c>
      <c r="CU985" s="53">
        <f t="shared" si="155"/>
        <v>248371398</v>
      </c>
      <c r="CV985" s="54">
        <f t="shared" si="158"/>
        <v>394614046</v>
      </c>
      <c r="CW985" s="55">
        <f t="shared" si="159"/>
        <v>0</v>
      </c>
      <c r="CX985" s="16"/>
      <c r="CY985" s="16"/>
      <c r="CZ985" s="16"/>
    </row>
    <row r="986" spans="1:108" ht="15" customHeight="1" x14ac:dyDescent="0.2">
      <c r="A986" s="1">
        <v>8999993985</v>
      </c>
      <c r="B986" s="1">
        <v>899999398</v>
      </c>
      <c r="C986" s="9">
        <v>217725777</v>
      </c>
      <c r="D986" s="10" t="s">
        <v>542</v>
      </c>
      <c r="E986" s="46" t="s">
        <v>1567</v>
      </c>
      <c r="F986" s="21"/>
      <c r="G986" s="50"/>
      <c r="H986" s="21"/>
      <c r="I986" s="50"/>
      <c r="J986" s="21"/>
      <c r="K986" s="21"/>
      <c r="L986" s="50"/>
      <c r="M986" s="51"/>
      <c r="N986" s="21"/>
      <c r="O986" s="50"/>
      <c r="P986" s="21"/>
      <c r="Q986" s="50"/>
      <c r="R986" s="21"/>
      <c r="S986" s="21"/>
      <c r="T986" s="50"/>
      <c r="U986" s="51">
        <f t="shared" si="153"/>
        <v>0</v>
      </c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>
        <v>87780158</v>
      </c>
      <c r="AN986" s="51">
        <f>SUBTOTAL(9,AC986:AM986)</f>
        <v>87780158</v>
      </c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>
        <f>VLOOKUP(B986,'[2]anuladas en mayo gratuidad}'!K$2:L$55,2,0)</f>
        <v>19847192</v>
      </c>
      <c r="BC986" s="52">
        <f t="shared" si="156"/>
        <v>67932966</v>
      </c>
      <c r="BD986" s="51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>
        <v>7172578</v>
      </c>
      <c r="BO986" s="51"/>
      <c r="BP986" s="52">
        <v>75105544</v>
      </c>
      <c r="BQ986" s="52"/>
      <c r="BR986" s="52"/>
      <c r="BS986" s="52"/>
      <c r="BT986" s="52"/>
      <c r="BU986" s="52"/>
      <c r="BV986" s="52"/>
      <c r="BW986" s="52"/>
      <c r="BX986" s="52"/>
      <c r="BY986" s="52"/>
      <c r="BZ986" s="52"/>
      <c r="CA986" s="52"/>
      <c r="CB986" s="52"/>
      <c r="CC986" s="52">
        <v>7172578</v>
      </c>
      <c r="CD986" s="52">
        <v>35862890</v>
      </c>
      <c r="CE986" s="52"/>
      <c r="CF986" s="52"/>
      <c r="CG986" s="52">
        <f t="shared" si="157"/>
        <v>118141012</v>
      </c>
      <c r="CH986" s="52"/>
      <c r="CI986" s="52"/>
      <c r="CJ986" s="52"/>
      <c r="CK986" s="52"/>
      <c r="CL986" s="52"/>
      <c r="CM986" s="52"/>
      <c r="CN986" s="52"/>
      <c r="CO986" s="52"/>
      <c r="CP986" s="52"/>
      <c r="CQ986" s="52">
        <v>7172578</v>
      </c>
      <c r="CR986" s="52">
        <v>19847192</v>
      </c>
      <c r="CS986" s="52">
        <f t="shared" si="154"/>
        <v>145160782</v>
      </c>
      <c r="CT986" s="53">
        <v>57380624</v>
      </c>
      <c r="CU986" s="53">
        <f t="shared" si="155"/>
        <v>87780158</v>
      </c>
      <c r="CV986" s="54">
        <f t="shared" si="158"/>
        <v>145160782</v>
      </c>
      <c r="CW986" s="55">
        <f t="shared" si="159"/>
        <v>0</v>
      </c>
      <c r="CX986" s="16"/>
      <c r="CY986" s="16"/>
      <c r="CZ986" s="16"/>
    </row>
    <row r="987" spans="1:108" ht="15" customHeight="1" x14ac:dyDescent="0.2">
      <c r="A987" s="1">
        <v>8908011503</v>
      </c>
      <c r="B987" s="1">
        <v>890801150</v>
      </c>
      <c r="C987" s="9">
        <v>217717777</v>
      </c>
      <c r="D987" s="10" t="s">
        <v>358</v>
      </c>
      <c r="E987" s="46" t="s">
        <v>1387</v>
      </c>
      <c r="F987" s="21"/>
      <c r="G987" s="50"/>
      <c r="H987" s="21"/>
      <c r="I987" s="50"/>
      <c r="J987" s="21"/>
      <c r="K987" s="21"/>
      <c r="L987" s="50"/>
      <c r="M987" s="51"/>
      <c r="N987" s="21"/>
      <c r="O987" s="50"/>
      <c r="P987" s="21"/>
      <c r="Q987" s="50"/>
      <c r="R987" s="21"/>
      <c r="S987" s="21"/>
      <c r="T987" s="50"/>
      <c r="U987" s="51">
        <f t="shared" si="153"/>
        <v>0</v>
      </c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>
        <v>375635715</v>
      </c>
      <c r="AN987" s="51">
        <f>SUBTOTAL(9,AC987:AM987)</f>
        <v>375635715</v>
      </c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>
        <v>174745325</v>
      </c>
      <c r="AZ987" s="51"/>
      <c r="BA987" s="51"/>
      <c r="BB987" s="51"/>
      <c r="BC987" s="52">
        <f t="shared" si="156"/>
        <v>550381040</v>
      </c>
      <c r="BD987" s="51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>
        <v>34949065</v>
      </c>
      <c r="BO987" s="51"/>
      <c r="BP987" s="52">
        <v>585330105</v>
      </c>
      <c r="BQ987" s="52"/>
      <c r="BR987" s="52"/>
      <c r="BS987" s="52"/>
      <c r="BT987" s="52"/>
      <c r="BU987" s="52"/>
      <c r="BV987" s="52"/>
      <c r="BW987" s="52"/>
      <c r="BX987" s="52"/>
      <c r="BY987" s="52"/>
      <c r="BZ987" s="52"/>
      <c r="CA987" s="52"/>
      <c r="CB987" s="52"/>
      <c r="CC987" s="52">
        <v>34949065</v>
      </c>
      <c r="CD987" s="52"/>
      <c r="CE987" s="52"/>
      <c r="CF987" s="52"/>
      <c r="CG987" s="52">
        <f t="shared" si="157"/>
        <v>620279170</v>
      </c>
      <c r="CH987" s="52"/>
      <c r="CI987" s="52"/>
      <c r="CJ987" s="52"/>
      <c r="CK987" s="52"/>
      <c r="CL987" s="52"/>
      <c r="CM987" s="52"/>
      <c r="CN987" s="52"/>
      <c r="CO987" s="52"/>
      <c r="CP987" s="52"/>
      <c r="CQ987" s="52">
        <v>34949065</v>
      </c>
      <c r="CR987" s="52"/>
      <c r="CS987" s="52">
        <f t="shared" si="154"/>
        <v>655228235</v>
      </c>
      <c r="CT987" s="53">
        <v>279592520</v>
      </c>
      <c r="CU987" s="53">
        <f t="shared" si="155"/>
        <v>375635715</v>
      </c>
      <c r="CV987" s="54">
        <f t="shared" si="158"/>
        <v>655228235</v>
      </c>
      <c r="CW987" s="55">
        <f t="shared" si="159"/>
        <v>0</v>
      </c>
      <c r="CX987" s="16"/>
      <c r="CY987" s="16"/>
      <c r="CZ987" s="16"/>
    </row>
    <row r="988" spans="1:108" ht="15" customHeight="1" x14ac:dyDescent="0.2">
      <c r="A988" s="1">
        <v>8902050516</v>
      </c>
      <c r="B988" s="1">
        <v>890205051</v>
      </c>
      <c r="C988" s="9">
        <v>218068780</v>
      </c>
      <c r="D988" s="10" t="s">
        <v>884</v>
      </c>
      <c r="E988" s="46" t="s">
        <v>1897</v>
      </c>
      <c r="F988" s="21"/>
      <c r="G988" s="50"/>
      <c r="H988" s="21"/>
      <c r="I988" s="50"/>
      <c r="J988" s="21"/>
      <c r="K988" s="21"/>
      <c r="L988" s="50"/>
      <c r="M988" s="51"/>
      <c r="N988" s="21"/>
      <c r="O988" s="50"/>
      <c r="P988" s="21"/>
      <c r="Q988" s="50"/>
      <c r="R988" s="21"/>
      <c r="S988" s="21"/>
      <c r="T988" s="50"/>
      <c r="U988" s="51">
        <f t="shared" si="153"/>
        <v>0</v>
      </c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>
        <v>11978117</v>
      </c>
      <c r="AN988" s="51">
        <f>SUBTOTAL(9,AC988:AM988)</f>
        <v>11978117</v>
      </c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>
        <v>23707425</v>
      </c>
      <c r="AZ988" s="51"/>
      <c r="BA988" s="51">
        <f>VLOOKUP(B988,[1]Hoja3!J$3:K$674,2,0)</f>
        <v>41865431</v>
      </c>
      <c r="BB988" s="51"/>
      <c r="BC988" s="52">
        <f t="shared" si="156"/>
        <v>77550973</v>
      </c>
      <c r="BD988" s="51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>
        <v>4741485</v>
      </c>
      <c r="BO988" s="51"/>
      <c r="BP988" s="52">
        <v>82292458</v>
      </c>
      <c r="BQ988" s="52"/>
      <c r="BR988" s="52"/>
      <c r="BS988" s="52"/>
      <c r="BT988" s="52"/>
      <c r="BU988" s="52"/>
      <c r="BV988" s="52"/>
      <c r="BW988" s="52"/>
      <c r="BX988" s="52"/>
      <c r="BY988" s="52"/>
      <c r="BZ988" s="52"/>
      <c r="CA988" s="52"/>
      <c r="CB988" s="52"/>
      <c r="CC988" s="52">
        <v>4741485</v>
      </c>
      <c r="CD988" s="52"/>
      <c r="CE988" s="52"/>
      <c r="CF988" s="52"/>
      <c r="CG988" s="52">
        <f t="shared" si="157"/>
        <v>87033943</v>
      </c>
      <c r="CH988" s="52"/>
      <c r="CI988" s="52"/>
      <c r="CJ988" s="52"/>
      <c r="CK988" s="52"/>
      <c r="CL988" s="52"/>
      <c r="CM988" s="52"/>
      <c r="CN988" s="52"/>
      <c r="CO988" s="52"/>
      <c r="CP988" s="52"/>
      <c r="CQ988" s="52">
        <v>4741485</v>
      </c>
      <c r="CR988" s="52"/>
      <c r="CS988" s="52">
        <f t="shared" si="154"/>
        <v>91775428</v>
      </c>
      <c r="CT988" s="53">
        <v>37931880</v>
      </c>
      <c r="CU988" s="53">
        <f t="shared" si="155"/>
        <v>53843548</v>
      </c>
      <c r="CV988" s="54">
        <f t="shared" si="158"/>
        <v>91775428</v>
      </c>
      <c r="CW988" s="55">
        <f t="shared" si="159"/>
        <v>0</v>
      </c>
      <c r="CX988" s="16"/>
      <c r="CY988" s="16"/>
      <c r="CZ988" s="16"/>
    </row>
    <row r="989" spans="1:108" ht="15" customHeight="1" x14ac:dyDescent="0.2">
      <c r="A989" s="1">
        <v>8918564721</v>
      </c>
      <c r="B989" s="1">
        <v>891856472</v>
      </c>
      <c r="C989" s="9">
        <v>217415774</v>
      </c>
      <c r="D989" s="10" t="s">
        <v>315</v>
      </c>
      <c r="E989" s="46" t="s">
        <v>1347</v>
      </c>
      <c r="F989" s="21"/>
      <c r="G989" s="50"/>
      <c r="H989" s="21"/>
      <c r="I989" s="50"/>
      <c r="J989" s="21"/>
      <c r="K989" s="21"/>
      <c r="L989" s="50"/>
      <c r="M989" s="51"/>
      <c r="N989" s="21"/>
      <c r="O989" s="50"/>
      <c r="P989" s="21"/>
      <c r="Q989" s="50"/>
      <c r="R989" s="21"/>
      <c r="S989" s="21"/>
      <c r="T989" s="50"/>
      <c r="U989" s="51">
        <f t="shared" si="153"/>
        <v>0</v>
      </c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>
        <v>21079850</v>
      </c>
      <c r="AZ989" s="51"/>
      <c r="BA989" s="51">
        <f>VLOOKUP(B989,[1]Hoja3!J$3:K$674,2,0)</f>
        <v>31330345</v>
      </c>
      <c r="BB989" s="51"/>
      <c r="BC989" s="52">
        <f t="shared" si="156"/>
        <v>52410195</v>
      </c>
      <c r="BD989" s="51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>
        <v>4215970</v>
      </c>
      <c r="BO989" s="51"/>
      <c r="BP989" s="52">
        <v>56626165</v>
      </c>
      <c r="BQ989" s="52"/>
      <c r="BR989" s="52"/>
      <c r="BS989" s="52"/>
      <c r="BT989" s="52"/>
      <c r="BU989" s="52"/>
      <c r="BV989" s="52"/>
      <c r="BW989" s="52"/>
      <c r="BX989" s="52"/>
      <c r="BY989" s="52"/>
      <c r="BZ989" s="52"/>
      <c r="CA989" s="52"/>
      <c r="CB989" s="52"/>
      <c r="CC989" s="52">
        <v>4215970</v>
      </c>
      <c r="CD989" s="52"/>
      <c r="CE989" s="52"/>
      <c r="CF989" s="52"/>
      <c r="CG989" s="52">
        <f t="shared" si="157"/>
        <v>60842135</v>
      </c>
      <c r="CH989" s="52"/>
      <c r="CI989" s="52"/>
      <c r="CJ989" s="52"/>
      <c r="CK989" s="52"/>
      <c r="CL989" s="52"/>
      <c r="CM989" s="52"/>
      <c r="CN989" s="52"/>
      <c r="CO989" s="52"/>
      <c r="CP989" s="52"/>
      <c r="CQ989" s="52">
        <v>4215970</v>
      </c>
      <c r="CR989" s="52"/>
      <c r="CS989" s="52">
        <f t="shared" si="154"/>
        <v>65058105</v>
      </c>
      <c r="CT989" s="53">
        <v>33727760</v>
      </c>
      <c r="CU989" s="53">
        <f t="shared" si="155"/>
        <v>31330345</v>
      </c>
      <c r="CV989" s="54">
        <f t="shared" si="158"/>
        <v>65058105</v>
      </c>
      <c r="CW989" s="55">
        <f t="shared" si="159"/>
        <v>0</v>
      </c>
      <c r="CX989" s="16"/>
      <c r="CY989" s="8"/>
      <c r="CZ989" s="8"/>
      <c r="DA989" s="8"/>
      <c r="DB989" s="8"/>
      <c r="DC989" s="8"/>
      <c r="DD989" s="8"/>
    </row>
    <row r="990" spans="1:108" ht="15" customHeight="1" x14ac:dyDescent="0.2">
      <c r="A990" s="1">
        <v>8999997007</v>
      </c>
      <c r="B990" s="1">
        <v>899999700</v>
      </c>
      <c r="C990" s="9">
        <v>217925779</v>
      </c>
      <c r="D990" s="10" t="s">
        <v>543</v>
      </c>
      <c r="E990" s="46" t="s">
        <v>1568</v>
      </c>
      <c r="F990" s="21"/>
      <c r="G990" s="50"/>
      <c r="H990" s="21"/>
      <c r="I990" s="50"/>
      <c r="J990" s="21"/>
      <c r="K990" s="21"/>
      <c r="L990" s="50"/>
      <c r="M990" s="51"/>
      <c r="N990" s="21"/>
      <c r="O990" s="50"/>
      <c r="P990" s="21"/>
      <c r="Q990" s="50"/>
      <c r="R990" s="21"/>
      <c r="S990" s="21"/>
      <c r="T990" s="50"/>
      <c r="U990" s="51">
        <f t="shared" si="153"/>
        <v>0</v>
      </c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>
        <v>95140953</v>
      </c>
      <c r="AN990" s="51">
        <f>SUBTOTAL(9,AC990:AM990)</f>
        <v>95140953</v>
      </c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>
        <v>38288110</v>
      </c>
      <c r="AZ990" s="51"/>
      <c r="BA990" s="51"/>
      <c r="BB990" s="51"/>
      <c r="BC990" s="52">
        <f t="shared" si="156"/>
        <v>133429063</v>
      </c>
      <c r="BD990" s="51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>
        <v>7657622</v>
      </c>
      <c r="BO990" s="51"/>
      <c r="BP990" s="52">
        <v>141086685</v>
      </c>
      <c r="BQ990" s="52"/>
      <c r="BR990" s="52"/>
      <c r="BS990" s="52"/>
      <c r="BT990" s="52"/>
      <c r="BU990" s="52"/>
      <c r="BV990" s="52"/>
      <c r="BW990" s="52"/>
      <c r="BX990" s="52"/>
      <c r="BY990" s="52"/>
      <c r="BZ990" s="52"/>
      <c r="CA990" s="52"/>
      <c r="CB990" s="52"/>
      <c r="CC990" s="52">
        <v>7657622</v>
      </c>
      <c r="CD990" s="52"/>
      <c r="CE990" s="52"/>
      <c r="CF990" s="52"/>
      <c r="CG990" s="52">
        <f t="shared" si="157"/>
        <v>148744307</v>
      </c>
      <c r="CH990" s="52"/>
      <c r="CI990" s="52"/>
      <c r="CJ990" s="52"/>
      <c r="CK990" s="52"/>
      <c r="CL990" s="52"/>
      <c r="CM990" s="52"/>
      <c r="CN990" s="52"/>
      <c r="CO990" s="52"/>
      <c r="CP990" s="52"/>
      <c r="CQ990" s="52">
        <v>7657622</v>
      </c>
      <c r="CR990" s="52"/>
      <c r="CS990" s="52">
        <f t="shared" si="154"/>
        <v>156401929</v>
      </c>
      <c r="CT990" s="53">
        <v>61260976</v>
      </c>
      <c r="CU990" s="53">
        <f t="shared" si="155"/>
        <v>95140953</v>
      </c>
      <c r="CV990" s="54">
        <f t="shared" si="158"/>
        <v>156401929</v>
      </c>
      <c r="CW990" s="55">
        <f t="shared" si="159"/>
        <v>0</v>
      </c>
      <c r="CX990" s="16"/>
      <c r="CY990" s="16"/>
      <c r="CZ990" s="16"/>
    </row>
    <row r="991" spans="1:108" ht="15" customHeight="1" x14ac:dyDescent="0.2">
      <c r="A991" s="1">
        <v>8000309881</v>
      </c>
      <c r="B991" s="1">
        <v>800030988</v>
      </c>
      <c r="C991" s="9">
        <v>217615776</v>
      </c>
      <c r="D991" s="10" t="s">
        <v>316</v>
      </c>
      <c r="E991" s="46" t="s">
        <v>1348</v>
      </c>
      <c r="F991" s="21"/>
      <c r="G991" s="50"/>
      <c r="H991" s="21"/>
      <c r="I991" s="50"/>
      <c r="J991" s="21"/>
      <c r="K991" s="21"/>
      <c r="L991" s="50"/>
      <c r="M991" s="51"/>
      <c r="N991" s="21"/>
      <c r="O991" s="50"/>
      <c r="P991" s="21"/>
      <c r="Q991" s="50"/>
      <c r="R991" s="21"/>
      <c r="S991" s="21"/>
      <c r="T991" s="50"/>
      <c r="U991" s="51">
        <f t="shared" si="153"/>
        <v>0</v>
      </c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>
        <v>33319310</v>
      </c>
      <c r="AZ991" s="51"/>
      <c r="BA991" s="51">
        <f>VLOOKUP(B991,[1]Hoja3!J$3:K$674,2,0)</f>
        <v>79067086</v>
      </c>
      <c r="BB991" s="51"/>
      <c r="BC991" s="52">
        <f t="shared" si="156"/>
        <v>112386396</v>
      </c>
      <c r="BD991" s="51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>
        <v>6663862</v>
      </c>
      <c r="BO991" s="51"/>
      <c r="BP991" s="52">
        <v>119050258</v>
      </c>
      <c r="BQ991" s="52"/>
      <c r="BR991" s="52"/>
      <c r="BS991" s="52"/>
      <c r="BT991" s="52"/>
      <c r="BU991" s="52"/>
      <c r="BV991" s="52"/>
      <c r="BW991" s="52"/>
      <c r="BX991" s="52"/>
      <c r="BY991" s="52"/>
      <c r="BZ991" s="52"/>
      <c r="CA991" s="52"/>
      <c r="CB991" s="52"/>
      <c r="CC991" s="52">
        <v>6663862</v>
      </c>
      <c r="CD991" s="52"/>
      <c r="CE991" s="52"/>
      <c r="CF991" s="52"/>
      <c r="CG991" s="52">
        <f t="shared" si="157"/>
        <v>125714120</v>
      </c>
      <c r="CH991" s="52"/>
      <c r="CI991" s="52"/>
      <c r="CJ991" s="52"/>
      <c r="CK991" s="52"/>
      <c r="CL991" s="52"/>
      <c r="CM991" s="52"/>
      <c r="CN991" s="52"/>
      <c r="CO991" s="52"/>
      <c r="CP991" s="52"/>
      <c r="CQ991" s="52">
        <v>6663862</v>
      </c>
      <c r="CR991" s="52"/>
      <c r="CS991" s="52">
        <f t="shared" si="154"/>
        <v>132377982</v>
      </c>
      <c r="CT991" s="53">
        <v>53310896</v>
      </c>
      <c r="CU991" s="53">
        <f t="shared" si="155"/>
        <v>79067086</v>
      </c>
      <c r="CV991" s="54">
        <f t="shared" si="158"/>
        <v>132377982</v>
      </c>
      <c r="CW991" s="55">
        <f t="shared" si="159"/>
        <v>0</v>
      </c>
      <c r="CX991" s="16"/>
      <c r="CY991" s="8"/>
      <c r="CZ991" s="8"/>
      <c r="DA991" s="8"/>
      <c r="DB991" s="8"/>
      <c r="DC991" s="8"/>
      <c r="DD991" s="8"/>
    </row>
    <row r="992" spans="1:108" ht="15" customHeight="1" x14ac:dyDescent="0.2">
      <c r="A992" s="1">
        <v>8999994761</v>
      </c>
      <c r="B992" s="1">
        <v>899999476</v>
      </c>
      <c r="C992" s="9">
        <v>218125781</v>
      </c>
      <c r="D992" s="10" t="s">
        <v>544</v>
      </c>
      <c r="E992" s="46" t="s">
        <v>1569</v>
      </c>
      <c r="F992" s="21"/>
      <c r="G992" s="50"/>
      <c r="H992" s="21"/>
      <c r="I992" s="50"/>
      <c r="J992" s="21"/>
      <c r="K992" s="21"/>
      <c r="L992" s="50"/>
      <c r="M992" s="51"/>
      <c r="N992" s="21"/>
      <c r="O992" s="50"/>
      <c r="P992" s="21"/>
      <c r="Q992" s="50"/>
      <c r="R992" s="21"/>
      <c r="S992" s="21"/>
      <c r="T992" s="50"/>
      <c r="U992" s="51">
        <f t="shared" si="153"/>
        <v>0</v>
      </c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>
        <v>89364597</v>
      </c>
      <c r="AN992" s="51">
        <f>SUBTOTAL(9,AC992:AM992)</f>
        <v>89364597</v>
      </c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2">
        <f t="shared" si="156"/>
        <v>89364597</v>
      </c>
      <c r="BD992" s="51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>
        <v>0</v>
      </c>
      <c r="BO992" s="51"/>
      <c r="BP992" s="52">
        <v>89364597</v>
      </c>
      <c r="BQ992" s="52"/>
      <c r="BR992" s="52"/>
      <c r="BS992" s="52"/>
      <c r="BT992" s="52"/>
      <c r="BU992" s="52"/>
      <c r="BV992" s="52"/>
      <c r="BW992" s="52"/>
      <c r="BX992" s="52"/>
      <c r="BY992" s="52"/>
      <c r="BZ992" s="52"/>
      <c r="CA992" s="52"/>
      <c r="CB992" s="52"/>
      <c r="CC992" s="52">
        <v>0</v>
      </c>
      <c r="CD992" s="52"/>
      <c r="CE992" s="52"/>
      <c r="CF992" s="52"/>
      <c r="CG992" s="52">
        <f t="shared" si="157"/>
        <v>89364597</v>
      </c>
      <c r="CH992" s="52"/>
      <c r="CI992" s="52"/>
      <c r="CJ992" s="52"/>
      <c r="CK992" s="52"/>
      <c r="CL992" s="52"/>
      <c r="CM992" s="52"/>
      <c r="CN992" s="52"/>
      <c r="CO992" s="52"/>
      <c r="CP992" s="52"/>
      <c r="CQ992" s="52">
        <v>0</v>
      </c>
      <c r="CR992" s="52"/>
      <c r="CS992" s="52">
        <f t="shared" si="154"/>
        <v>89364597</v>
      </c>
      <c r="CT992" s="53"/>
      <c r="CU992" s="53">
        <f t="shared" si="155"/>
        <v>89364597</v>
      </c>
      <c r="CV992" s="54">
        <f t="shared" si="158"/>
        <v>89364597</v>
      </c>
      <c r="CW992" s="55">
        <f t="shared" si="159"/>
        <v>0</v>
      </c>
      <c r="CX992" s="16"/>
      <c r="CY992" s="16"/>
      <c r="CZ992" s="16"/>
    </row>
    <row r="993" spans="1:108" ht="15" customHeight="1" x14ac:dyDescent="0.2">
      <c r="A993" s="1">
        <v>8000285764</v>
      </c>
      <c r="B993" s="1">
        <v>800028576</v>
      </c>
      <c r="C993" s="9">
        <v>217815778</v>
      </c>
      <c r="D993" s="10" t="s">
        <v>317</v>
      </c>
      <c r="E993" s="46" t="s">
        <v>1349</v>
      </c>
      <c r="F993" s="21"/>
      <c r="G993" s="50"/>
      <c r="H993" s="21"/>
      <c r="I993" s="50"/>
      <c r="J993" s="21"/>
      <c r="K993" s="21"/>
      <c r="L993" s="50"/>
      <c r="M993" s="51"/>
      <c r="N993" s="21"/>
      <c r="O993" s="50"/>
      <c r="P993" s="21"/>
      <c r="Q993" s="50"/>
      <c r="R993" s="21"/>
      <c r="S993" s="21"/>
      <c r="T993" s="50"/>
      <c r="U993" s="51">
        <f t="shared" si="153"/>
        <v>0</v>
      </c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>
        <v>28178435</v>
      </c>
      <c r="AZ993" s="51"/>
      <c r="BA993" s="51">
        <f>VLOOKUP(B993,[1]Hoja3!J$3:K$674,2,0)</f>
        <v>39589037</v>
      </c>
      <c r="BB993" s="51"/>
      <c r="BC993" s="52">
        <f t="shared" si="156"/>
        <v>67767472</v>
      </c>
      <c r="BD993" s="51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>
        <v>5635687</v>
      </c>
      <c r="BO993" s="51"/>
      <c r="BP993" s="52">
        <v>73403159</v>
      </c>
      <c r="BQ993" s="52"/>
      <c r="BR993" s="52"/>
      <c r="BS993" s="52"/>
      <c r="BT993" s="52"/>
      <c r="BU993" s="52"/>
      <c r="BV993" s="52"/>
      <c r="BW993" s="52"/>
      <c r="BX993" s="52"/>
      <c r="BY993" s="52"/>
      <c r="BZ993" s="52"/>
      <c r="CA993" s="52"/>
      <c r="CB993" s="52"/>
      <c r="CC993" s="52">
        <v>5635687</v>
      </c>
      <c r="CD993" s="52"/>
      <c r="CE993" s="52"/>
      <c r="CF993" s="52"/>
      <c r="CG993" s="52">
        <f t="shared" si="157"/>
        <v>79038846</v>
      </c>
      <c r="CH993" s="52"/>
      <c r="CI993" s="52"/>
      <c r="CJ993" s="52"/>
      <c r="CK993" s="52"/>
      <c r="CL993" s="52"/>
      <c r="CM993" s="52"/>
      <c r="CN993" s="52"/>
      <c r="CO993" s="52"/>
      <c r="CP993" s="52"/>
      <c r="CQ993" s="52">
        <v>5635687</v>
      </c>
      <c r="CR993" s="52"/>
      <c r="CS993" s="52">
        <f t="shared" si="154"/>
        <v>84674533</v>
      </c>
      <c r="CT993" s="53">
        <v>45085496</v>
      </c>
      <c r="CU993" s="53">
        <f t="shared" si="155"/>
        <v>39589037</v>
      </c>
      <c r="CV993" s="54">
        <f t="shared" si="158"/>
        <v>84674533</v>
      </c>
      <c r="CW993" s="55">
        <f t="shared" si="159"/>
        <v>0</v>
      </c>
      <c r="CX993" s="16"/>
      <c r="CY993" s="8"/>
      <c r="CZ993" s="8"/>
      <c r="DA993" s="8"/>
      <c r="DB993" s="8"/>
      <c r="DC993" s="8"/>
      <c r="DD993" s="8"/>
    </row>
    <row r="994" spans="1:108" ht="15" customHeight="1" x14ac:dyDescent="0.2">
      <c r="A994" s="1">
        <v>8999994439</v>
      </c>
      <c r="B994" s="1">
        <v>899999443</v>
      </c>
      <c r="C994" s="9">
        <v>218525785</v>
      </c>
      <c r="D994" s="10" t="s">
        <v>545</v>
      </c>
      <c r="E994" s="46" t="s">
        <v>1570</v>
      </c>
      <c r="F994" s="21"/>
      <c r="G994" s="50"/>
      <c r="H994" s="21"/>
      <c r="I994" s="50"/>
      <c r="J994" s="21"/>
      <c r="K994" s="21"/>
      <c r="L994" s="50"/>
      <c r="M994" s="51"/>
      <c r="N994" s="21"/>
      <c r="O994" s="50"/>
      <c r="P994" s="21"/>
      <c r="Q994" s="50"/>
      <c r="R994" s="21"/>
      <c r="S994" s="21"/>
      <c r="T994" s="50"/>
      <c r="U994" s="51">
        <f t="shared" si="153"/>
        <v>0</v>
      </c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>
        <v>238126036</v>
      </c>
      <c r="AN994" s="51">
        <f t="shared" ref="AN994:AN1002" si="161">SUBTOTAL(9,AC994:AM994)</f>
        <v>238126036</v>
      </c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>
        <v>95623770</v>
      </c>
      <c r="AZ994" s="51"/>
      <c r="BA994" s="51"/>
      <c r="BB994" s="51"/>
      <c r="BC994" s="52">
        <f t="shared" si="156"/>
        <v>333749806</v>
      </c>
      <c r="BD994" s="51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>
        <v>19124754</v>
      </c>
      <c r="BO994" s="51"/>
      <c r="BP994" s="52">
        <v>352874560</v>
      </c>
      <c r="BQ994" s="52"/>
      <c r="BR994" s="52"/>
      <c r="BS994" s="52"/>
      <c r="BT994" s="52"/>
      <c r="BU994" s="52"/>
      <c r="BV994" s="52"/>
      <c r="BW994" s="52"/>
      <c r="BX994" s="52"/>
      <c r="BY994" s="52"/>
      <c r="BZ994" s="52"/>
      <c r="CA994" s="52"/>
      <c r="CB994" s="52"/>
      <c r="CC994" s="52">
        <v>19124754</v>
      </c>
      <c r="CD994" s="52"/>
      <c r="CE994" s="52"/>
      <c r="CF994" s="52"/>
      <c r="CG994" s="52">
        <f t="shared" si="157"/>
        <v>371999314</v>
      </c>
      <c r="CH994" s="52"/>
      <c r="CI994" s="52"/>
      <c r="CJ994" s="52"/>
      <c r="CK994" s="52"/>
      <c r="CL994" s="52"/>
      <c r="CM994" s="52"/>
      <c r="CN994" s="52"/>
      <c r="CO994" s="52"/>
      <c r="CP994" s="52"/>
      <c r="CQ994" s="52">
        <v>19124754</v>
      </c>
      <c r="CR994" s="52"/>
      <c r="CS994" s="52">
        <f t="shared" si="154"/>
        <v>391124068</v>
      </c>
      <c r="CT994" s="53">
        <v>152998032</v>
      </c>
      <c r="CU994" s="53">
        <f t="shared" si="155"/>
        <v>238126036</v>
      </c>
      <c r="CV994" s="54">
        <f t="shared" si="158"/>
        <v>391124068</v>
      </c>
      <c r="CW994" s="55">
        <f t="shared" si="159"/>
        <v>0</v>
      </c>
      <c r="CX994" s="16"/>
      <c r="CY994" s="16"/>
      <c r="CZ994" s="16"/>
    </row>
    <row r="995" spans="1:108" ht="15" customHeight="1" x14ac:dyDescent="0.2">
      <c r="A995" s="1">
        <v>8916800816</v>
      </c>
      <c r="B995" s="1">
        <v>891680081</v>
      </c>
      <c r="C995" s="9">
        <v>218727787</v>
      </c>
      <c r="D995" s="10" t="s">
        <v>590</v>
      </c>
      <c r="E995" s="46" t="s">
        <v>2276</v>
      </c>
      <c r="F995" s="21"/>
      <c r="G995" s="50"/>
      <c r="H995" s="21"/>
      <c r="I995" s="50"/>
      <c r="J995" s="21"/>
      <c r="K995" s="21"/>
      <c r="L995" s="50"/>
      <c r="M995" s="51"/>
      <c r="N995" s="21"/>
      <c r="O995" s="50"/>
      <c r="P995" s="21"/>
      <c r="Q995" s="50"/>
      <c r="R995" s="21"/>
      <c r="S995" s="21"/>
      <c r="T995" s="50"/>
      <c r="U995" s="51">
        <f t="shared" si="153"/>
        <v>0</v>
      </c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>
        <v>343540415</v>
      </c>
      <c r="AN995" s="51">
        <f t="shared" si="161"/>
        <v>343540415</v>
      </c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>
        <v>357004055</v>
      </c>
      <c r="AZ995" s="51"/>
      <c r="BA995" s="51"/>
      <c r="BB995" s="51"/>
      <c r="BC995" s="52">
        <f t="shared" si="156"/>
        <v>700544470</v>
      </c>
      <c r="BD995" s="51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>
        <v>71400811</v>
      </c>
      <c r="BO995" s="51"/>
      <c r="BP995" s="52">
        <v>771945281</v>
      </c>
      <c r="BQ995" s="52"/>
      <c r="BR995" s="52"/>
      <c r="BS995" s="52"/>
      <c r="BT995" s="52"/>
      <c r="BU995" s="52"/>
      <c r="BV995" s="52"/>
      <c r="BW995" s="52"/>
      <c r="BX995" s="52"/>
      <c r="BY995" s="52"/>
      <c r="BZ995" s="52"/>
      <c r="CA995" s="52"/>
      <c r="CB995" s="52"/>
      <c r="CC995" s="52">
        <v>71400811</v>
      </c>
      <c r="CD995" s="52"/>
      <c r="CE995" s="52"/>
      <c r="CF995" s="52"/>
      <c r="CG995" s="52">
        <f t="shared" si="157"/>
        <v>843346092</v>
      </c>
      <c r="CH995" s="52"/>
      <c r="CI995" s="52"/>
      <c r="CJ995" s="52"/>
      <c r="CK995" s="52"/>
      <c r="CL995" s="52"/>
      <c r="CM995" s="52"/>
      <c r="CN995" s="52"/>
      <c r="CO995" s="52"/>
      <c r="CP995" s="52"/>
      <c r="CQ995" s="52">
        <v>71400811</v>
      </c>
      <c r="CR995" s="52"/>
      <c r="CS995" s="52">
        <f t="shared" si="154"/>
        <v>914746903</v>
      </c>
      <c r="CT995" s="53">
        <v>571206488</v>
      </c>
      <c r="CU995" s="53">
        <f t="shared" si="155"/>
        <v>343540415</v>
      </c>
      <c r="CV995" s="54">
        <f t="shared" si="158"/>
        <v>914746903</v>
      </c>
      <c r="CW995" s="55">
        <f t="shared" si="159"/>
        <v>0</v>
      </c>
      <c r="CX995" s="16"/>
      <c r="CY995" s="16"/>
      <c r="CZ995" s="16"/>
    </row>
    <row r="996" spans="1:108" ht="15" customHeight="1" x14ac:dyDescent="0.2">
      <c r="A996" s="1">
        <v>8000955301</v>
      </c>
      <c r="B996" s="1">
        <v>800095530</v>
      </c>
      <c r="C996" s="9">
        <v>218013780</v>
      </c>
      <c r="D996" s="10" t="s">
        <v>211</v>
      </c>
      <c r="E996" s="46" t="s">
        <v>1246</v>
      </c>
      <c r="F996" s="21"/>
      <c r="G996" s="50"/>
      <c r="H996" s="21"/>
      <c r="I996" s="50"/>
      <c r="J996" s="21"/>
      <c r="K996" s="21"/>
      <c r="L996" s="50"/>
      <c r="M996" s="51"/>
      <c r="N996" s="21"/>
      <c r="O996" s="50"/>
      <c r="P996" s="21"/>
      <c r="Q996" s="50"/>
      <c r="R996" s="21"/>
      <c r="S996" s="21"/>
      <c r="T996" s="50"/>
      <c r="U996" s="51">
        <f t="shared" si="153"/>
        <v>0</v>
      </c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>
        <v>268965705</v>
      </c>
      <c r="AN996" s="51">
        <f t="shared" si="161"/>
        <v>268965705</v>
      </c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  <c r="BC996" s="52">
        <f t="shared" si="156"/>
        <v>268965705</v>
      </c>
      <c r="BD996" s="51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>
        <v>32370896</v>
      </c>
      <c r="BO996" s="51"/>
      <c r="BP996" s="52">
        <v>301336601</v>
      </c>
      <c r="BQ996" s="52"/>
      <c r="BR996" s="52"/>
      <c r="BS996" s="52"/>
      <c r="BT996" s="52"/>
      <c r="BU996" s="52"/>
      <c r="BV996" s="52"/>
      <c r="BW996" s="52"/>
      <c r="BX996" s="52"/>
      <c r="BY996" s="52"/>
      <c r="BZ996" s="52"/>
      <c r="CA996" s="52"/>
      <c r="CB996" s="52"/>
      <c r="CC996" s="52">
        <v>32370896</v>
      </c>
      <c r="CD996" s="52">
        <v>161854480</v>
      </c>
      <c r="CE996" s="52"/>
      <c r="CF996" s="52"/>
      <c r="CG996" s="52">
        <f t="shared" si="157"/>
        <v>495561977</v>
      </c>
      <c r="CH996" s="52"/>
      <c r="CI996" s="52"/>
      <c r="CJ996" s="52"/>
      <c r="CK996" s="52"/>
      <c r="CL996" s="52"/>
      <c r="CM996" s="52"/>
      <c r="CN996" s="52"/>
      <c r="CO996" s="52"/>
      <c r="CP996" s="52"/>
      <c r="CQ996" s="52">
        <v>32370896</v>
      </c>
      <c r="CR996" s="52"/>
      <c r="CS996" s="52">
        <f t="shared" si="154"/>
        <v>527932873</v>
      </c>
      <c r="CT996" s="53">
        <v>258967168</v>
      </c>
      <c r="CU996" s="53">
        <f t="shared" si="155"/>
        <v>268965705</v>
      </c>
      <c r="CV996" s="54">
        <f t="shared" si="158"/>
        <v>527932873</v>
      </c>
      <c r="CW996" s="55">
        <f t="shared" si="159"/>
        <v>0</v>
      </c>
      <c r="CX996" s="16"/>
      <c r="CY996" s="8"/>
      <c r="CZ996" s="8"/>
      <c r="DA996" s="8"/>
      <c r="DB996" s="8"/>
      <c r="DC996" s="8"/>
      <c r="DD996" s="8"/>
    </row>
    <row r="997" spans="1:108" ht="15" customHeight="1" x14ac:dyDescent="0.2">
      <c r="A997" s="1">
        <v>8000966264</v>
      </c>
      <c r="B997" s="1">
        <v>800096626</v>
      </c>
      <c r="C997" s="9">
        <v>218720787</v>
      </c>
      <c r="D997" s="10" t="s">
        <v>436</v>
      </c>
      <c r="E997" s="46" t="s">
        <v>1463</v>
      </c>
      <c r="F997" s="21"/>
      <c r="G997" s="50"/>
      <c r="H997" s="21"/>
      <c r="I997" s="50"/>
      <c r="J997" s="21"/>
      <c r="K997" s="21"/>
      <c r="L997" s="50"/>
      <c r="M997" s="51"/>
      <c r="N997" s="21"/>
      <c r="O997" s="50"/>
      <c r="P997" s="21"/>
      <c r="Q997" s="50"/>
      <c r="R997" s="21"/>
      <c r="S997" s="21"/>
      <c r="T997" s="50"/>
      <c r="U997" s="51">
        <f t="shared" si="153"/>
        <v>0</v>
      </c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>
        <v>75624008</v>
      </c>
      <c r="AN997" s="51">
        <f t="shared" si="161"/>
        <v>75624008</v>
      </c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>
        <v>214612065</v>
      </c>
      <c r="AZ997" s="51"/>
      <c r="BA997" s="51">
        <f>VLOOKUP(B997,[1]Hoja3!J$3:K$674,2,0)</f>
        <v>268230529</v>
      </c>
      <c r="BB997" s="51"/>
      <c r="BC997" s="52">
        <f t="shared" si="156"/>
        <v>558466602</v>
      </c>
      <c r="BD997" s="51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>
        <v>42922413</v>
      </c>
      <c r="BO997" s="51"/>
      <c r="BP997" s="52">
        <v>601389015</v>
      </c>
      <c r="BQ997" s="52"/>
      <c r="BR997" s="52"/>
      <c r="BS997" s="52"/>
      <c r="BT997" s="52"/>
      <c r="BU997" s="52"/>
      <c r="BV997" s="52"/>
      <c r="BW997" s="52"/>
      <c r="BX997" s="52"/>
      <c r="BY997" s="52"/>
      <c r="BZ997" s="52"/>
      <c r="CA997" s="52"/>
      <c r="CB997" s="52"/>
      <c r="CC997" s="52">
        <v>42922413</v>
      </c>
      <c r="CD997" s="52"/>
      <c r="CE997" s="52"/>
      <c r="CF997" s="52"/>
      <c r="CG997" s="52">
        <f t="shared" si="157"/>
        <v>644311428</v>
      </c>
      <c r="CH997" s="52"/>
      <c r="CI997" s="52"/>
      <c r="CJ997" s="52"/>
      <c r="CK997" s="52"/>
      <c r="CL997" s="52"/>
      <c r="CM997" s="52"/>
      <c r="CN997" s="52"/>
      <c r="CO997" s="52"/>
      <c r="CP997" s="52"/>
      <c r="CQ997" s="52">
        <v>42922413</v>
      </c>
      <c r="CR997" s="52"/>
      <c r="CS997" s="52">
        <f t="shared" si="154"/>
        <v>687233841</v>
      </c>
      <c r="CT997" s="53">
        <v>343379304</v>
      </c>
      <c r="CU997" s="53">
        <f t="shared" si="155"/>
        <v>343854537</v>
      </c>
      <c r="CV997" s="54">
        <f t="shared" si="158"/>
        <v>687233841</v>
      </c>
      <c r="CW997" s="55">
        <f t="shared" si="159"/>
        <v>0</v>
      </c>
      <c r="CX997" s="16"/>
      <c r="CY997" s="16"/>
      <c r="CZ997" s="16"/>
    </row>
    <row r="998" spans="1:108" ht="15" customHeight="1" x14ac:dyDescent="0.2">
      <c r="A998" s="1">
        <v>8000994319</v>
      </c>
      <c r="B998" s="1">
        <v>800099431</v>
      </c>
      <c r="C998" s="9">
        <v>210085400</v>
      </c>
      <c r="D998" s="10" t="s">
        <v>970</v>
      </c>
      <c r="E998" s="46" t="s">
        <v>2029</v>
      </c>
      <c r="F998" s="21"/>
      <c r="G998" s="50"/>
      <c r="H998" s="21"/>
      <c r="I998" s="50"/>
      <c r="J998" s="21"/>
      <c r="K998" s="21"/>
      <c r="L998" s="50"/>
      <c r="M998" s="51"/>
      <c r="N998" s="21"/>
      <c r="O998" s="50"/>
      <c r="P998" s="21"/>
      <c r="Q998" s="50"/>
      <c r="R998" s="21"/>
      <c r="S998" s="21"/>
      <c r="T998" s="50"/>
      <c r="U998" s="51">
        <f t="shared" si="153"/>
        <v>0</v>
      </c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>
        <v>117022903</v>
      </c>
      <c r="AN998" s="51">
        <f t="shared" si="161"/>
        <v>117022903</v>
      </c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>
        <v>91754200</v>
      </c>
      <c r="AZ998" s="51"/>
      <c r="BA998" s="51">
        <f>VLOOKUP(B998,[1]Hoja3!J$3:K$674,2,0)</f>
        <v>12368548</v>
      </c>
      <c r="BB998" s="51"/>
      <c r="BC998" s="52">
        <f t="shared" si="156"/>
        <v>221145651</v>
      </c>
      <c r="BD998" s="51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>
        <v>18350840</v>
      </c>
      <c r="BO998" s="51"/>
      <c r="BP998" s="52">
        <v>239496491</v>
      </c>
      <c r="BQ998" s="52"/>
      <c r="BR998" s="52"/>
      <c r="BS998" s="52"/>
      <c r="BT998" s="52"/>
      <c r="BU998" s="52"/>
      <c r="BV998" s="52"/>
      <c r="BW998" s="52"/>
      <c r="BX998" s="52"/>
      <c r="BY998" s="52"/>
      <c r="BZ998" s="52"/>
      <c r="CA998" s="52"/>
      <c r="CB998" s="52"/>
      <c r="CC998" s="52">
        <v>18350840</v>
      </c>
      <c r="CD998" s="52"/>
      <c r="CE998" s="52"/>
      <c r="CF998" s="52"/>
      <c r="CG998" s="52">
        <f t="shared" si="157"/>
        <v>257847331</v>
      </c>
      <c r="CH998" s="52"/>
      <c r="CI998" s="52"/>
      <c r="CJ998" s="52"/>
      <c r="CK998" s="52"/>
      <c r="CL998" s="52"/>
      <c r="CM998" s="52"/>
      <c r="CN998" s="52"/>
      <c r="CO998" s="52"/>
      <c r="CP998" s="52"/>
      <c r="CQ998" s="52">
        <v>18350840</v>
      </c>
      <c r="CR998" s="52"/>
      <c r="CS998" s="52">
        <f t="shared" si="154"/>
        <v>276198171</v>
      </c>
      <c r="CT998" s="53">
        <v>146806720</v>
      </c>
      <c r="CU998" s="53">
        <f t="shared" si="155"/>
        <v>129391451</v>
      </c>
      <c r="CV998" s="54">
        <f t="shared" si="158"/>
        <v>276198171</v>
      </c>
      <c r="CW998" s="55">
        <f t="shared" si="159"/>
        <v>0</v>
      </c>
      <c r="CX998" s="16"/>
      <c r="CY998" s="16"/>
      <c r="CZ998" s="16"/>
    </row>
    <row r="999" spans="1:108" ht="15" customHeight="1" x14ac:dyDescent="0.2">
      <c r="A999" s="1">
        <v>8001028013</v>
      </c>
      <c r="B999" s="1">
        <v>800102801</v>
      </c>
      <c r="C999" s="9">
        <v>219481794</v>
      </c>
      <c r="D999" s="10" t="s">
        <v>954</v>
      </c>
      <c r="E999" s="46" t="s">
        <v>2014</v>
      </c>
      <c r="F999" s="21"/>
      <c r="G999" s="50"/>
      <c r="H999" s="21"/>
      <c r="I999" s="50"/>
      <c r="J999" s="21"/>
      <c r="K999" s="21"/>
      <c r="L999" s="50"/>
      <c r="M999" s="51"/>
      <c r="N999" s="21"/>
      <c r="O999" s="50"/>
      <c r="P999" s="21"/>
      <c r="Q999" s="50"/>
      <c r="R999" s="21"/>
      <c r="S999" s="21"/>
      <c r="T999" s="50"/>
      <c r="U999" s="51">
        <f t="shared" si="153"/>
        <v>0</v>
      </c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>
        <v>229030789</v>
      </c>
      <c r="AN999" s="51">
        <f t="shared" si="161"/>
        <v>229030789</v>
      </c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>
        <v>819104160</v>
      </c>
      <c r="AZ999" s="51"/>
      <c r="BA999" s="51">
        <f>VLOOKUP(B999,[1]Hoja3!J$3:K$674,2,0)</f>
        <v>785550710</v>
      </c>
      <c r="BB999" s="51"/>
      <c r="BC999" s="52">
        <f t="shared" si="156"/>
        <v>1833685659</v>
      </c>
      <c r="BD999" s="51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>
        <v>163820832</v>
      </c>
      <c r="BO999" s="51"/>
      <c r="BP999" s="52">
        <v>1997506491</v>
      </c>
      <c r="BQ999" s="52"/>
      <c r="BR999" s="52"/>
      <c r="BS999" s="52"/>
      <c r="BT999" s="52"/>
      <c r="BU999" s="52"/>
      <c r="BV999" s="52"/>
      <c r="BW999" s="52"/>
      <c r="BX999" s="52"/>
      <c r="BY999" s="52"/>
      <c r="BZ999" s="52"/>
      <c r="CA999" s="52"/>
      <c r="CB999" s="52"/>
      <c r="CC999" s="52">
        <v>163820832</v>
      </c>
      <c r="CD999" s="52"/>
      <c r="CE999" s="52"/>
      <c r="CF999" s="52"/>
      <c r="CG999" s="52">
        <f t="shared" si="157"/>
        <v>2161327323</v>
      </c>
      <c r="CH999" s="52"/>
      <c r="CI999" s="52"/>
      <c r="CJ999" s="52"/>
      <c r="CK999" s="52"/>
      <c r="CL999" s="52"/>
      <c r="CM999" s="52"/>
      <c r="CN999" s="52"/>
      <c r="CO999" s="52"/>
      <c r="CP999" s="52"/>
      <c r="CQ999" s="52">
        <v>163820832</v>
      </c>
      <c r="CR999" s="52"/>
      <c r="CS999" s="52">
        <f t="shared" si="154"/>
        <v>2325148155</v>
      </c>
      <c r="CT999" s="53">
        <v>1310566656</v>
      </c>
      <c r="CU999" s="53">
        <f t="shared" si="155"/>
        <v>1014581499</v>
      </c>
      <c r="CV999" s="54">
        <f t="shared" si="158"/>
        <v>2325148155</v>
      </c>
      <c r="CW999" s="55">
        <f t="shared" si="159"/>
        <v>0</v>
      </c>
      <c r="CX999" s="16"/>
      <c r="CY999" s="16"/>
      <c r="CZ999" s="16"/>
    </row>
    <row r="1000" spans="1:108" ht="15" customHeight="1" x14ac:dyDescent="0.2">
      <c r="A1000" s="1">
        <v>8909812383</v>
      </c>
      <c r="B1000" s="1">
        <v>890981238</v>
      </c>
      <c r="C1000" s="9">
        <v>218905789</v>
      </c>
      <c r="D1000" s="10" t="s">
        <v>144</v>
      </c>
      <c r="E1000" s="46" t="s">
        <v>1173</v>
      </c>
      <c r="F1000" s="21"/>
      <c r="G1000" s="50"/>
      <c r="H1000" s="21"/>
      <c r="I1000" s="50"/>
      <c r="J1000" s="21"/>
      <c r="K1000" s="21"/>
      <c r="L1000" s="50"/>
      <c r="M1000" s="51"/>
      <c r="N1000" s="21"/>
      <c r="O1000" s="50"/>
      <c r="P1000" s="21"/>
      <c r="Q1000" s="50"/>
      <c r="R1000" s="21"/>
      <c r="S1000" s="21"/>
      <c r="T1000" s="50"/>
      <c r="U1000" s="51">
        <f t="shared" si="153"/>
        <v>0</v>
      </c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>
        <v>167444705</v>
      </c>
      <c r="AN1000" s="51">
        <f t="shared" si="161"/>
        <v>167444705</v>
      </c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>
        <v>102264050</v>
      </c>
      <c r="AZ1000" s="51"/>
      <c r="BA1000" s="51">
        <f>VLOOKUP(B1000,[1]Hoja3!J$3:K$674,2,0)</f>
        <v>66896464</v>
      </c>
      <c r="BB1000" s="51"/>
      <c r="BC1000" s="52">
        <f t="shared" si="156"/>
        <v>336605219</v>
      </c>
      <c r="BD1000" s="51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>
        <v>20452810</v>
      </c>
      <c r="BO1000" s="51"/>
      <c r="BP1000" s="52">
        <v>357058029</v>
      </c>
      <c r="BQ1000" s="52"/>
      <c r="BR1000" s="52"/>
      <c r="BS1000" s="52"/>
      <c r="BT1000" s="52"/>
      <c r="BU1000" s="52"/>
      <c r="BV1000" s="52"/>
      <c r="BW1000" s="52"/>
      <c r="BX1000" s="52"/>
      <c r="BY1000" s="52"/>
      <c r="BZ1000" s="52"/>
      <c r="CA1000" s="52"/>
      <c r="CB1000" s="52"/>
      <c r="CC1000" s="52">
        <v>20452810</v>
      </c>
      <c r="CD1000" s="52"/>
      <c r="CE1000" s="52"/>
      <c r="CF1000" s="52"/>
      <c r="CG1000" s="52">
        <f t="shared" si="157"/>
        <v>377510839</v>
      </c>
      <c r="CH1000" s="52"/>
      <c r="CI1000" s="52"/>
      <c r="CJ1000" s="52"/>
      <c r="CK1000" s="52"/>
      <c r="CL1000" s="52"/>
      <c r="CM1000" s="52"/>
      <c r="CN1000" s="52"/>
      <c r="CO1000" s="52"/>
      <c r="CP1000" s="52"/>
      <c r="CQ1000" s="52">
        <v>20452810</v>
      </c>
      <c r="CR1000" s="52"/>
      <c r="CS1000" s="52">
        <f t="shared" si="154"/>
        <v>397963649</v>
      </c>
      <c r="CT1000" s="53">
        <v>163622480</v>
      </c>
      <c r="CU1000" s="53">
        <f t="shared" si="155"/>
        <v>234341169</v>
      </c>
      <c r="CV1000" s="54">
        <f t="shared" si="158"/>
        <v>397963649</v>
      </c>
      <c r="CW1000" s="55">
        <f t="shared" si="159"/>
        <v>0</v>
      </c>
      <c r="CX1000" s="16"/>
      <c r="CY1000" s="16"/>
      <c r="CZ1000" s="16"/>
    </row>
    <row r="1001" spans="1:108" ht="15" customHeight="1" x14ac:dyDescent="0.2">
      <c r="A1001" s="1">
        <v>8000249776</v>
      </c>
      <c r="B1001" s="1">
        <v>800024977</v>
      </c>
      <c r="C1001" s="9">
        <v>218652786</v>
      </c>
      <c r="D1001" s="10" t="s">
        <v>747</v>
      </c>
      <c r="E1001" s="46" t="s">
        <v>1767</v>
      </c>
      <c r="F1001" s="21"/>
      <c r="G1001" s="50"/>
      <c r="H1001" s="21"/>
      <c r="I1001" s="50"/>
      <c r="J1001" s="21"/>
      <c r="K1001" s="21"/>
      <c r="L1001" s="50"/>
      <c r="M1001" s="51"/>
      <c r="N1001" s="21"/>
      <c r="O1001" s="50"/>
      <c r="P1001" s="21"/>
      <c r="Q1001" s="50"/>
      <c r="R1001" s="21"/>
      <c r="S1001" s="21"/>
      <c r="T1001" s="50"/>
      <c r="U1001" s="51">
        <f t="shared" si="153"/>
        <v>0</v>
      </c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>
        <v>106014191</v>
      </c>
      <c r="AN1001" s="51">
        <f t="shared" si="161"/>
        <v>106014191</v>
      </c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>
        <v>140064555</v>
      </c>
      <c r="AZ1001" s="51"/>
      <c r="BA1001" s="51">
        <f>VLOOKUP(B1001,[1]Hoja3!J$3:K$674,2,0)</f>
        <v>173024594</v>
      </c>
      <c r="BB1001" s="51"/>
      <c r="BC1001" s="52">
        <f t="shared" si="156"/>
        <v>419103340</v>
      </c>
      <c r="BD1001" s="51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>
        <v>28012911</v>
      </c>
      <c r="BO1001" s="51"/>
      <c r="BP1001" s="52">
        <v>447116251</v>
      </c>
      <c r="BQ1001" s="52"/>
      <c r="BR1001" s="52"/>
      <c r="BS1001" s="52"/>
      <c r="BT1001" s="52"/>
      <c r="BU1001" s="52"/>
      <c r="BV1001" s="52"/>
      <c r="BW1001" s="52"/>
      <c r="BX1001" s="52"/>
      <c r="BY1001" s="52"/>
      <c r="BZ1001" s="52"/>
      <c r="CA1001" s="52"/>
      <c r="CB1001" s="52"/>
      <c r="CC1001" s="52">
        <v>28012911</v>
      </c>
      <c r="CD1001" s="52"/>
      <c r="CE1001" s="52"/>
      <c r="CF1001" s="52"/>
      <c r="CG1001" s="52">
        <f t="shared" si="157"/>
        <v>475129162</v>
      </c>
      <c r="CH1001" s="52"/>
      <c r="CI1001" s="52"/>
      <c r="CJ1001" s="52"/>
      <c r="CK1001" s="52"/>
      <c r="CL1001" s="52"/>
      <c r="CM1001" s="52"/>
      <c r="CN1001" s="52"/>
      <c r="CO1001" s="52"/>
      <c r="CP1001" s="52"/>
      <c r="CQ1001" s="52">
        <v>28012911</v>
      </c>
      <c r="CR1001" s="52"/>
      <c r="CS1001" s="52">
        <f t="shared" si="154"/>
        <v>503142073</v>
      </c>
      <c r="CT1001" s="53">
        <v>224103288</v>
      </c>
      <c r="CU1001" s="53">
        <f t="shared" si="155"/>
        <v>279038785</v>
      </c>
      <c r="CV1001" s="54">
        <f t="shared" si="158"/>
        <v>503142073</v>
      </c>
      <c r="CW1001" s="55">
        <f t="shared" si="159"/>
        <v>0</v>
      </c>
      <c r="CX1001" s="16"/>
      <c r="CY1001" s="16"/>
      <c r="CZ1001" s="16"/>
    </row>
    <row r="1002" spans="1:108" ht="15" customHeight="1" x14ac:dyDescent="0.2">
      <c r="A1002" s="1">
        <v>8000991511</v>
      </c>
      <c r="B1002" s="1">
        <v>800099151</v>
      </c>
      <c r="C1002" s="9">
        <v>218852788</v>
      </c>
      <c r="D1002" s="10" t="s">
        <v>748</v>
      </c>
      <c r="E1002" s="46" t="s">
        <v>1768</v>
      </c>
      <c r="F1002" s="21"/>
      <c r="G1002" s="50"/>
      <c r="H1002" s="21"/>
      <c r="I1002" s="50"/>
      <c r="J1002" s="21"/>
      <c r="K1002" s="21"/>
      <c r="L1002" s="50"/>
      <c r="M1002" s="51"/>
      <c r="N1002" s="21"/>
      <c r="O1002" s="50"/>
      <c r="P1002" s="21"/>
      <c r="Q1002" s="50"/>
      <c r="R1002" s="21"/>
      <c r="S1002" s="21"/>
      <c r="T1002" s="50"/>
      <c r="U1002" s="51">
        <f t="shared" si="153"/>
        <v>0</v>
      </c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>
        <v>128455862</v>
      </c>
      <c r="AN1002" s="51">
        <f t="shared" si="161"/>
        <v>128455862</v>
      </c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>
        <v>63917180</v>
      </c>
      <c r="AZ1002" s="51"/>
      <c r="BA1002" s="51"/>
      <c r="BB1002" s="51"/>
      <c r="BC1002" s="52">
        <f t="shared" si="156"/>
        <v>192373042</v>
      </c>
      <c r="BD1002" s="51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>
        <v>12783436</v>
      </c>
      <c r="BO1002" s="51"/>
      <c r="BP1002" s="52">
        <v>205156478</v>
      </c>
      <c r="BQ1002" s="52"/>
      <c r="BR1002" s="52"/>
      <c r="BS1002" s="52"/>
      <c r="BT1002" s="52"/>
      <c r="BU1002" s="52"/>
      <c r="BV1002" s="52"/>
      <c r="BW1002" s="52"/>
      <c r="BX1002" s="52"/>
      <c r="BY1002" s="52"/>
      <c r="BZ1002" s="52"/>
      <c r="CA1002" s="52"/>
      <c r="CB1002" s="52"/>
      <c r="CC1002" s="52">
        <v>12783436</v>
      </c>
      <c r="CD1002" s="52"/>
      <c r="CE1002" s="52"/>
      <c r="CF1002" s="52"/>
      <c r="CG1002" s="52">
        <f t="shared" si="157"/>
        <v>217939914</v>
      </c>
      <c r="CH1002" s="52"/>
      <c r="CI1002" s="52"/>
      <c r="CJ1002" s="52"/>
      <c r="CK1002" s="52"/>
      <c r="CL1002" s="52"/>
      <c r="CM1002" s="52"/>
      <c r="CN1002" s="52"/>
      <c r="CO1002" s="52"/>
      <c r="CP1002" s="52"/>
      <c r="CQ1002" s="52">
        <v>12783436</v>
      </c>
      <c r="CR1002" s="52"/>
      <c r="CS1002" s="52">
        <f t="shared" si="154"/>
        <v>230723350</v>
      </c>
      <c r="CT1002" s="53">
        <v>102267488</v>
      </c>
      <c r="CU1002" s="53">
        <f t="shared" si="155"/>
        <v>128455862</v>
      </c>
      <c r="CV1002" s="54">
        <f t="shared" si="158"/>
        <v>230723350</v>
      </c>
      <c r="CW1002" s="55">
        <f t="shared" si="159"/>
        <v>0</v>
      </c>
      <c r="CX1002" s="16"/>
      <c r="CY1002" s="16"/>
      <c r="CZ1002" s="16"/>
    </row>
    <row r="1003" spans="1:108" ht="15" customHeight="1" x14ac:dyDescent="0.2">
      <c r="A1003" s="1">
        <v>8320002194</v>
      </c>
      <c r="B1003" s="1">
        <v>832000219</v>
      </c>
      <c r="C1003" s="9">
        <v>216697666</v>
      </c>
      <c r="D1003" s="10" t="s">
        <v>996</v>
      </c>
      <c r="E1003" s="42" t="s">
        <v>2053</v>
      </c>
      <c r="F1003" s="21"/>
      <c r="G1003" s="50"/>
      <c r="H1003" s="21"/>
      <c r="I1003" s="50"/>
      <c r="J1003" s="21"/>
      <c r="K1003" s="21"/>
      <c r="L1003" s="50"/>
      <c r="M1003" s="51"/>
      <c r="N1003" s="21"/>
      <c r="O1003" s="50"/>
      <c r="P1003" s="21"/>
      <c r="Q1003" s="50"/>
      <c r="R1003" s="21"/>
      <c r="S1003" s="21"/>
      <c r="T1003" s="50"/>
      <c r="U1003" s="51">
        <f t="shared" si="153"/>
        <v>0</v>
      </c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  <c r="BC1003" s="52">
        <f t="shared" si="156"/>
        <v>0</v>
      </c>
      <c r="BD1003" s="51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>
        <v>0</v>
      </c>
      <c r="BO1003" s="51"/>
      <c r="BP1003" s="51">
        <v>0</v>
      </c>
      <c r="BQ1003" s="52"/>
      <c r="BR1003" s="52"/>
      <c r="BS1003" s="52"/>
      <c r="BT1003" s="52"/>
      <c r="BU1003" s="52"/>
      <c r="BV1003" s="52"/>
      <c r="BW1003" s="52"/>
      <c r="BX1003" s="52"/>
      <c r="BY1003" s="52"/>
      <c r="BZ1003" s="52"/>
      <c r="CA1003" s="52"/>
      <c r="CB1003" s="52"/>
      <c r="CC1003" s="52">
        <v>0</v>
      </c>
      <c r="CD1003" s="52"/>
      <c r="CE1003" s="52"/>
      <c r="CF1003" s="52"/>
      <c r="CG1003" s="52">
        <f t="shared" si="157"/>
        <v>0</v>
      </c>
      <c r="CH1003" s="52"/>
      <c r="CI1003" s="52"/>
      <c r="CJ1003" s="52"/>
      <c r="CK1003" s="52"/>
      <c r="CL1003" s="52"/>
      <c r="CM1003" s="52"/>
      <c r="CN1003" s="52"/>
      <c r="CO1003" s="52"/>
      <c r="CP1003" s="52"/>
      <c r="CQ1003" s="52">
        <v>0</v>
      </c>
      <c r="CR1003" s="52"/>
      <c r="CS1003" s="52">
        <f t="shared" si="154"/>
        <v>0</v>
      </c>
      <c r="CT1003" s="53"/>
      <c r="CU1003" s="53">
        <f t="shared" si="155"/>
        <v>0</v>
      </c>
      <c r="CV1003" s="54">
        <f t="shared" si="158"/>
        <v>0</v>
      </c>
      <c r="CW1003" s="55">
        <f t="shared" si="159"/>
        <v>0</v>
      </c>
      <c r="CX1003" s="16"/>
      <c r="CY1003" s="8"/>
      <c r="CZ1003" s="8"/>
      <c r="DA1003" s="8"/>
      <c r="DB1003" s="8"/>
      <c r="DC1003" s="8"/>
      <c r="DD1003" s="8"/>
    </row>
    <row r="1004" spans="1:108" ht="15" customHeight="1" x14ac:dyDescent="0.2">
      <c r="A1004" s="1">
        <v>8909842957</v>
      </c>
      <c r="B1004" s="1">
        <v>890984295</v>
      </c>
      <c r="C1004" s="9">
        <v>219005790</v>
      </c>
      <c r="D1004" s="10" t="s">
        <v>145</v>
      </c>
      <c r="E1004" s="46" t="s">
        <v>1174</v>
      </c>
      <c r="F1004" s="21"/>
      <c r="G1004" s="50"/>
      <c r="H1004" s="21"/>
      <c r="I1004" s="50"/>
      <c r="J1004" s="21"/>
      <c r="K1004" s="21"/>
      <c r="L1004" s="50"/>
      <c r="M1004" s="51"/>
      <c r="N1004" s="21"/>
      <c r="O1004" s="50"/>
      <c r="P1004" s="21"/>
      <c r="Q1004" s="50"/>
      <c r="R1004" s="21"/>
      <c r="S1004" s="21"/>
      <c r="T1004" s="50"/>
      <c r="U1004" s="51">
        <f t="shared" si="153"/>
        <v>0</v>
      </c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>
        <f>VLOOKUP(B1004,[1]Hoja3!J$3:K$674,2,0)</f>
        <v>503450070</v>
      </c>
      <c r="BB1004" s="51"/>
      <c r="BC1004" s="52">
        <f t="shared" si="156"/>
        <v>503450070</v>
      </c>
      <c r="BD1004" s="51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>
        <v>71324287</v>
      </c>
      <c r="BO1004" s="51"/>
      <c r="BP1004" s="52">
        <v>574774357</v>
      </c>
      <c r="BQ1004" s="52"/>
      <c r="BR1004" s="52"/>
      <c r="BS1004" s="52"/>
      <c r="BT1004" s="52"/>
      <c r="BU1004" s="52"/>
      <c r="BV1004" s="52"/>
      <c r="BW1004" s="52"/>
      <c r="BX1004" s="52"/>
      <c r="BY1004" s="52"/>
      <c r="BZ1004" s="52"/>
      <c r="CA1004" s="52"/>
      <c r="CB1004" s="52"/>
      <c r="CC1004" s="52">
        <v>71324287</v>
      </c>
      <c r="CD1004" s="52">
        <v>356621435</v>
      </c>
      <c r="CE1004" s="52"/>
      <c r="CF1004" s="52"/>
      <c r="CG1004" s="52">
        <f t="shared" si="157"/>
        <v>1002720079</v>
      </c>
      <c r="CH1004" s="52"/>
      <c r="CI1004" s="52"/>
      <c r="CJ1004" s="52"/>
      <c r="CK1004" s="52"/>
      <c r="CL1004" s="52"/>
      <c r="CM1004" s="52"/>
      <c r="CN1004" s="52"/>
      <c r="CO1004" s="52"/>
      <c r="CP1004" s="52"/>
      <c r="CQ1004" s="52">
        <v>71324287</v>
      </c>
      <c r="CR1004" s="52"/>
      <c r="CS1004" s="52">
        <f t="shared" si="154"/>
        <v>1074044366</v>
      </c>
      <c r="CT1004" s="53">
        <v>570594296</v>
      </c>
      <c r="CU1004" s="53">
        <f t="shared" si="155"/>
        <v>503450070</v>
      </c>
      <c r="CV1004" s="54">
        <f t="shared" si="158"/>
        <v>1074044366</v>
      </c>
      <c r="CW1004" s="55">
        <f t="shared" si="159"/>
        <v>0</v>
      </c>
      <c r="CX1004" s="16"/>
      <c r="CY1004" s="16"/>
      <c r="CZ1004" s="16"/>
    </row>
    <row r="1005" spans="1:108" ht="15" customHeight="1" x14ac:dyDescent="0.2">
      <c r="A1005" s="1">
        <v>8911802111</v>
      </c>
      <c r="B1005" s="1">
        <v>891180211</v>
      </c>
      <c r="C1005" s="9">
        <v>219141791</v>
      </c>
      <c r="D1005" s="10" t="s">
        <v>622</v>
      </c>
      <c r="E1005" s="46" t="s">
        <v>1641</v>
      </c>
      <c r="F1005" s="21"/>
      <c r="G1005" s="50"/>
      <c r="H1005" s="21"/>
      <c r="I1005" s="50"/>
      <c r="J1005" s="21"/>
      <c r="K1005" s="21"/>
      <c r="L1005" s="50"/>
      <c r="M1005" s="51"/>
      <c r="N1005" s="21"/>
      <c r="O1005" s="50"/>
      <c r="P1005" s="21"/>
      <c r="Q1005" s="50"/>
      <c r="R1005" s="21"/>
      <c r="S1005" s="21"/>
      <c r="T1005" s="50"/>
      <c r="U1005" s="51">
        <f t="shared" si="153"/>
        <v>0</v>
      </c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>
        <v>149445880</v>
      </c>
      <c r="AZ1005" s="51"/>
      <c r="BA1005" s="51">
        <f>VLOOKUP(B1005,[1]Hoja3!J$3:K$674,2,0)</f>
        <v>327530639</v>
      </c>
      <c r="BB1005" s="51"/>
      <c r="BC1005" s="52">
        <f t="shared" si="156"/>
        <v>476976519</v>
      </c>
      <c r="BD1005" s="51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>
        <v>29889176</v>
      </c>
      <c r="BO1005" s="51"/>
      <c r="BP1005" s="52">
        <v>506865695</v>
      </c>
      <c r="BQ1005" s="52"/>
      <c r="BR1005" s="52"/>
      <c r="BS1005" s="52"/>
      <c r="BT1005" s="52"/>
      <c r="BU1005" s="52"/>
      <c r="BV1005" s="52"/>
      <c r="BW1005" s="52"/>
      <c r="BX1005" s="52"/>
      <c r="BY1005" s="52"/>
      <c r="BZ1005" s="52"/>
      <c r="CA1005" s="52"/>
      <c r="CB1005" s="52"/>
      <c r="CC1005" s="52">
        <v>29889176</v>
      </c>
      <c r="CD1005" s="52"/>
      <c r="CE1005" s="52"/>
      <c r="CF1005" s="52"/>
      <c r="CG1005" s="52">
        <f t="shared" si="157"/>
        <v>536754871</v>
      </c>
      <c r="CH1005" s="52"/>
      <c r="CI1005" s="52"/>
      <c r="CJ1005" s="52"/>
      <c r="CK1005" s="52"/>
      <c r="CL1005" s="52"/>
      <c r="CM1005" s="52"/>
      <c r="CN1005" s="52"/>
      <c r="CO1005" s="52"/>
      <c r="CP1005" s="52"/>
      <c r="CQ1005" s="52">
        <v>29889176</v>
      </c>
      <c r="CR1005" s="52"/>
      <c r="CS1005" s="52">
        <f t="shared" si="154"/>
        <v>566644047</v>
      </c>
      <c r="CT1005" s="53">
        <v>239113408</v>
      </c>
      <c r="CU1005" s="53">
        <f t="shared" si="155"/>
        <v>327530639</v>
      </c>
      <c r="CV1005" s="54">
        <f t="shared" si="158"/>
        <v>566644047</v>
      </c>
      <c r="CW1005" s="55">
        <f t="shared" si="159"/>
        <v>0</v>
      </c>
      <c r="CX1005" s="16"/>
      <c r="CY1005" s="16"/>
      <c r="CZ1005" s="16"/>
    </row>
    <row r="1006" spans="1:108" ht="15" customHeight="1" x14ac:dyDescent="0.2">
      <c r="A1006" s="1">
        <v>8909825834</v>
      </c>
      <c r="B1006" s="1">
        <v>890982583</v>
      </c>
      <c r="C1006" s="9">
        <v>219205792</v>
      </c>
      <c r="D1006" s="10" t="s">
        <v>146</v>
      </c>
      <c r="E1006" s="46" t="s">
        <v>1175</v>
      </c>
      <c r="F1006" s="21"/>
      <c r="G1006" s="50"/>
      <c r="H1006" s="21"/>
      <c r="I1006" s="50"/>
      <c r="J1006" s="21"/>
      <c r="K1006" s="21"/>
      <c r="L1006" s="50"/>
      <c r="M1006" s="51"/>
      <c r="N1006" s="21"/>
      <c r="O1006" s="50"/>
      <c r="P1006" s="21"/>
      <c r="Q1006" s="50"/>
      <c r="R1006" s="21"/>
      <c r="S1006" s="21"/>
      <c r="T1006" s="50"/>
      <c r="U1006" s="51">
        <f t="shared" si="153"/>
        <v>0</v>
      </c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>
        <v>40635275</v>
      </c>
      <c r="AZ1006" s="51"/>
      <c r="BA1006" s="51">
        <f>VLOOKUP(B1006,[1]Hoja3!J$3:K$674,2,0)</f>
        <v>78243604</v>
      </c>
      <c r="BB1006" s="51"/>
      <c r="BC1006" s="52">
        <f t="shared" si="156"/>
        <v>118878879</v>
      </c>
      <c r="BD1006" s="51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>
        <v>8127055</v>
      </c>
      <c r="BO1006" s="51"/>
      <c r="BP1006" s="52">
        <v>127005934</v>
      </c>
      <c r="BQ1006" s="52"/>
      <c r="BR1006" s="52"/>
      <c r="BS1006" s="52"/>
      <c r="BT1006" s="52"/>
      <c r="BU1006" s="52"/>
      <c r="BV1006" s="52"/>
      <c r="BW1006" s="52"/>
      <c r="BX1006" s="52"/>
      <c r="BY1006" s="52"/>
      <c r="BZ1006" s="52"/>
      <c r="CA1006" s="52"/>
      <c r="CB1006" s="52"/>
      <c r="CC1006" s="52">
        <v>8127055</v>
      </c>
      <c r="CD1006" s="52"/>
      <c r="CE1006" s="52"/>
      <c r="CF1006" s="52"/>
      <c r="CG1006" s="52">
        <f t="shared" si="157"/>
        <v>135132989</v>
      </c>
      <c r="CH1006" s="52"/>
      <c r="CI1006" s="52"/>
      <c r="CJ1006" s="52"/>
      <c r="CK1006" s="52"/>
      <c r="CL1006" s="52"/>
      <c r="CM1006" s="52"/>
      <c r="CN1006" s="52"/>
      <c r="CO1006" s="52"/>
      <c r="CP1006" s="52"/>
      <c r="CQ1006" s="52">
        <v>8127055</v>
      </c>
      <c r="CR1006" s="52"/>
      <c r="CS1006" s="52">
        <f t="shared" si="154"/>
        <v>143260044</v>
      </c>
      <c r="CT1006" s="53">
        <v>65016440</v>
      </c>
      <c r="CU1006" s="53">
        <f t="shared" si="155"/>
        <v>78243604</v>
      </c>
      <c r="CV1006" s="54">
        <f t="shared" si="158"/>
        <v>143260044</v>
      </c>
      <c r="CW1006" s="55">
        <f t="shared" si="159"/>
        <v>0</v>
      </c>
      <c r="CX1006" s="16"/>
      <c r="CY1006" s="16"/>
      <c r="CZ1006" s="16"/>
    </row>
    <row r="1007" spans="1:108" ht="15" customHeight="1" x14ac:dyDescent="0.2">
      <c r="A1007" s="1">
        <v>8918561313</v>
      </c>
      <c r="B1007" s="1">
        <v>891856131</v>
      </c>
      <c r="C1007" s="9">
        <v>219015790</v>
      </c>
      <c r="D1007" s="10" t="s">
        <v>318</v>
      </c>
      <c r="E1007" s="46" t="s">
        <v>1350</v>
      </c>
      <c r="F1007" s="21"/>
      <c r="G1007" s="50"/>
      <c r="H1007" s="21"/>
      <c r="I1007" s="50"/>
      <c r="J1007" s="21"/>
      <c r="K1007" s="21"/>
      <c r="L1007" s="50"/>
      <c r="M1007" s="51"/>
      <c r="N1007" s="21"/>
      <c r="O1007" s="50"/>
      <c r="P1007" s="21"/>
      <c r="Q1007" s="50"/>
      <c r="R1007" s="21"/>
      <c r="S1007" s="21"/>
      <c r="T1007" s="50"/>
      <c r="U1007" s="51">
        <f t="shared" si="153"/>
        <v>0</v>
      </c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>
        <v>39232170</v>
      </c>
      <c r="AZ1007" s="51"/>
      <c r="BA1007" s="51">
        <f>VLOOKUP(B1007,[1]Hoja3!J$3:K$674,2,0)</f>
        <v>93473423</v>
      </c>
      <c r="BB1007" s="51"/>
      <c r="BC1007" s="52">
        <f t="shared" si="156"/>
        <v>132705593</v>
      </c>
      <c r="BD1007" s="51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>
        <v>7846434</v>
      </c>
      <c r="BO1007" s="51"/>
      <c r="BP1007" s="52">
        <v>140552027</v>
      </c>
      <c r="BQ1007" s="52"/>
      <c r="BR1007" s="52"/>
      <c r="BS1007" s="52"/>
      <c r="BT1007" s="52"/>
      <c r="BU1007" s="52"/>
      <c r="BV1007" s="52"/>
      <c r="BW1007" s="52"/>
      <c r="BX1007" s="52"/>
      <c r="BY1007" s="52"/>
      <c r="BZ1007" s="52"/>
      <c r="CA1007" s="52"/>
      <c r="CB1007" s="52"/>
      <c r="CC1007" s="52">
        <v>7846434</v>
      </c>
      <c r="CD1007" s="52"/>
      <c r="CE1007" s="52"/>
      <c r="CF1007" s="52"/>
      <c r="CG1007" s="52">
        <f t="shared" si="157"/>
        <v>148398461</v>
      </c>
      <c r="CH1007" s="52"/>
      <c r="CI1007" s="52"/>
      <c r="CJ1007" s="52"/>
      <c r="CK1007" s="52"/>
      <c r="CL1007" s="52"/>
      <c r="CM1007" s="52"/>
      <c r="CN1007" s="52"/>
      <c r="CO1007" s="52"/>
      <c r="CP1007" s="52"/>
      <c r="CQ1007" s="52">
        <v>7846434</v>
      </c>
      <c r="CR1007" s="52"/>
      <c r="CS1007" s="52">
        <f t="shared" si="154"/>
        <v>156244895</v>
      </c>
      <c r="CT1007" s="53">
        <v>62771472</v>
      </c>
      <c r="CU1007" s="53">
        <f t="shared" si="155"/>
        <v>93473423</v>
      </c>
      <c r="CV1007" s="54">
        <f t="shared" si="158"/>
        <v>156244895</v>
      </c>
      <c r="CW1007" s="55">
        <f t="shared" si="159"/>
        <v>0</v>
      </c>
      <c r="CX1007" s="16"/>
      <c r="CY1007" s="8"/>
      <c r="CZ1007" s="8"/>
      <c r="DA1007" s="8"/>
      <c r="DB1007" s="8"/>
      <c r="DC1007" s="8"/>
      <c r="DD1007" s="8"/>
    </row>
    <row r="1008" spans="1:108" ht="15" customHeight="1" x14ac:dyDescent="0.2">
      <c r="A1008" s="1">
        <v>8000128737</v>
      </c>
      <c r="B1008" s="1">
        <v>800012873</v>
      </c>
      <c r="C1008" s="9">
        <v>211085410</v>
      </c>
      <c r="D1008" s="10" t="s">
        <v>971</v>
      </c>
      <c r="E1008" s="46" t="s">
        <v>2030</v>
      </c>
      <c r="F1008" s="21"/>
      <c r="G1008" s="50"/>
      <c r="H1008" s="21"/>
      <c r="I1008" s="50"/>
      <c r="J1008" s="21"/>
      <c r="K1008" s="21"/>
      <c r="L1008" s="50"/>
      <c r="M1008" s="51"/>
      <c r="N1008" s="21"/>
      <c r="O1008" s="50"/>
      <c r="P1008" s="21"/>
      <c r="Q1008" s="50"/>
      <c r="R1008" s="21"/>
      <c r="S1008" s="21"/>
      <c r="T1008" s="50"/>
      <c r="U1008" s="51">
        <f t="shared" si="153"/>
        <v>0</v>
      </c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>
        <v>295189394</v>
      </c>
      <c r="AN1008" s="51">
        <f t="shared" ref="AN1008:AN1013" si="162">SUBTOTAL(9,AC1008:AM1008)</f>
        <v>295189394</v>
      </c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>
        <v>149933090</v>
      </c>
      <c r="AZ1008" s="51"/>
      <c r="BA1008" s="51">
        <f>VLOOKUP(B1008,[1]Hoja3!J$3:K$674,2,0)</f>
        <v>97520742</v>
      </c>
      <c r="BB1008" s="51"/>
      <c r="BC1008" s="52">
        <f t="shared" si="156"/>
        <v>542643226</v>
      </c>
      <c r="BD1008" s="51"/>
      <c r="BE1008" s="51"/>
      <c r="BF1008" s="51"/>
      <c r="BG1008" s="51"/>
      <c r="BH1008" s="51"/>
      <c r="BI1008" s="51"/>
      <c r="BJ1008" s="51"/>
      <c r="BK1008" s="51"/>
      <c r="BL1008" s="51"/>
      <c r="BM1008" s="51"/>
      <c r="BN1008" s="51">
        <v>29986618</v>
      </c>
      <c r="BO1008" s="51"/>
      <c r="BP1008" s="52">
        <v>572629844</v>
      </c>
      <c r="BQ1008" s="52"/>
      <c r="BR1008" s="52"/>
      <c r="BS1008" s="52"/>
      <c r="BT1008" s="52"/>
      <c r="BU1008" s="52"/>
      <c r="BV1008" s="52"/>
      <c r="BW1008" s="52"/>
      <c r="BX1008" s="52"/>
      <c r="BY1008" s="52"/>
      <c r="BZ1008" s="52"/>
      <c r="CA1008" s="52"/>
      <c r="CB1008" s="52"/>
      <c r="CC1008" s="52">
        <v>29986618</v>
      </c>
      <c r="CD1008" s="52"/>
      <c r="CE1008" s="52"/>
      <c r="CF1008" s="52"/>
      <c r="CG1008" s="52">
        <f t="shared" si="157"/>
        <v>602616462</v>
      </c>
      <c r="CH1008" s="52"/>
      <c r="CI1008" s="52"/>
      <c r="CJ1008" s="52"/>
      <c r="CK1008" s="52"/>
      <c r="CL1008" s="52"/>
      <c r="CM1008" s="52"/>
      <c r="CN1008" s="52"/>
      <c r="CO1008" s="52"/>
      <c r="CP1008" s="52"/>
      <c r="CQ1008" s="52">
        <v>29986618</v>
      </c>
      <c r="CR1008" s="52"/>
      <c r="CS1008" s="52">
        <f t="shared" si="154"/>
        <v>632603080</v>
      </c>
      <c r="CT1008" s="53">
        <v>239892944</v>
      </c>
      <c r="CU1008" s="53">
        <f t="shared" si="155"/>
        <v>392710136</v>
      </c>
      <c r="CV1008" s="54">
        <f t="shared" si="158"/>
        <v>632603080</v>
      </c>
      <c r="CW1008" s="55">
        <f t="shared" si="159"/>
        <v>0</v>
      </c>
      <c r="CX1008" s="16"/>
      <c r="CY1008" s="16"/>
      <c r="CZ1008" s="16"/>
    </row>
    <row r="1009" spans="1:108" ht="15" customHeight="1" x14ac:dyDescent="0.2">
      <c r="A1009" s="1">
        <v>8999994819</v>
      </c>
      <c r="B1009" s="1">
        <v>899999481</v>
      </c>
      <c r="C1009" s="9">
        <v>219325793</v>
      </c>
      <c r="D1009" s="10" t="s">
        <v>546</v>
      </c>
      <c r="E1009" s="46" t="s">
        <v>2071</v>
      </c>
      <c r="F1009" s="21"/>
      <c r="G1009" s="50"/>
      <c r="H1009" s="21"/>
      <c r="I1009" s="50"/>
      <c r="J1009" s="21"/>
      <c r="K1009" s="21"/>
      <c r="L1009" s="50"/>
      <c r="M1009" s="51"/>
      <c r="N1009" s="21"/>
      <c r="O1009" s="50"/>
      <c r="P1009" s="21"/>
      <c r="Q1009" s="50"/>
      <c r="R1009" s="21"/>
      <c r="S1009" s="21"/>
      <c r="T1009" s="50"/>
      <c r="U1009" s="51">
        <f t="shared" si="153"/>
        <v>0</v>
      </c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>
        <v>149009676</v>
      </c>
      <c r="AN1009" s="51">
        <f t="shared" si="162"/>
        <v>149009676</v>
      </c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2">
        <f t="shared" si="156"/>
        <v>149009676</v>
      </c>
      <c r="BD1009" s="51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>
        <v>10315178</v>
      </c>
      <c r="BO1009" s="51"/>
      <c r="BP1009" s="52">
        <v>159324854</v>
      </c>
      <c r="BQ1009" s="52"/>
      <c r="BR1009" s="52"/>
      <c r="BS1009" s="52"/>
      <c r="BT1009" s="52"/>
      <c r="BU1009" s="52"/>
      <c r="BV1009" s="52"/>
      <c r="BW1009" s="52"/>
      <c r="BX1009" s="52"/>
      <c r="BY1009" s="52"/>
      <c r="BZ1009" s="52"/>
      <c r="CA1009" s="52"/>
      <c r="CB1009" s="52"/>
      <c r="CC1009" s="52">
        <v>10315178</v>
      </c>
      <c r="CD1009" s="52">
        <v>51575890</v>
      </c>
      <c r="CE1009" s="52"/>
      <c r="CF1009" s="52"/>
      <c r="CG1009" s="52">
        <f t="shared" si="157"/>
        <v>221215922</v>
      </c>
      <c r="CH1009" s="52"/>
      <c r="CI1009" s="52"/>
      <c r="CJ1009" s="52"/>
      <c r="CK1009" s="52"/>
      <c r="CL1009" s="52"/>
      <c r="CM1009" s="52"/>
      <c r="CN1009" s="52"/>
      <c r="CO1009" s="52"/>
      <c r="CP1009" s="52"/>
      <c r="CQ1009" s="52">
        <v>10315178</v>
      </c>
      <c r="CR1009" s="52"/>
      <c r="CS1009" s="52">
        <f t="shared" si="154"/>
        <v>231531100</v>
      </c>
      <c r="CT1009" s="53">
        <v>82521424</v>
      </c>
      <c r="CU1009" s="53">
        <f t="shared" si="155"/>
        <v>149009676</v>
      </c>
      <c r="CV1009" s="54">
        <f t="shared" si="158"/>
        <v>231531100</v>
      </c>
      <c r="CW1009" s="55">
        <f t="shared" si="159"/>
        <v>0</v>
      </c>
      <c r="CX1009" s="16"/>
      <c r="CY1009" s="16"/>
      <c r="CZ1009" s="16"/>
    </row>
    <row r="1010" spans="1:108" ht="15" customHeight="1" x14ac:dyDescent="0.2">
      <c r="A1010" s="1">
        <v>8911801270</v>
      </c>
      <c r="B1010" s="1">
        <v>891180127</v>
      </c>
      <c r="C1010" s="9">
        <v>219941799</v>
      </c>
      <c r="D1010" s="10" t="s">
        <v>624</v>
      </c>
      <c r="E1010" s="46" t="s">
        <v>1643</v>
      </c>
      <c r="F1010" s="21"/>
      <c r="G1010" s="50"/>
      <c r="H1010" s="21"/>
      <c r="I1010" s="50"/>
      <c r="J1010" s="21"/>
      <c r="K1010" s="21"/>
      <c r="L1010" s="50"/>
      <c r="M1010" s="51"/>
      <c r="N1010" s="21"/>
      <c r="O1010" s="50"/>
      <c r="P1010" s="21"/>
      <c r="Q1010" s="50"/>
      <c r="R1010" s="21"/>
      <c r="S1010" s="21"/>
      <c r="T1010" s="50"/>
      <c r="U1010" s="51">
        <f t="shared" si="153"/>
        <v>0</v>
      </c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>
        <v>124633834</v>
      </c>
      <c r="AN1010" s="51">
        <f t="shared" si="162"/>
        <v>124633834</v>
      </c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>
        <v>102120990</v>
      </c>
      <c r="AZ1010" s="51"/>
      <c r="BA1010" s="51">
        <f>VLOOKUP(B1010,[1]Hoja3!J$3:K$674,2,0)</f>
        <v>75132539</v>
      </c>
      <c r="BB1010" s="51"/>
      <c r="BC1010" s="52">
        <f t="shared" si="156"/>
        <v>301887363</v>
      </c>
      <c r="BD1010" s="51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>
        <v>20424198</v>
      </c>
      <c r="BO1010" s="51"/>
      <c r="BP1010" s="52">
        <v>322311561</v>
      </c>
      <c r="BQ1010" s="52"/>
      <c r="BR1010" s="52"/>
      <c r="BS1010" s="52"/>
      <c r="BT1010" s="52"/>
      <c r="BU1010" s="52"/>
      <c r="BV1010" s="52"/>
      <c r="BW1010" s="52"/>
      <c r="BX1010" s="52"/>
      <c r="BY1010" s="52"/>
      <c r="BZ1010" s="52"/>
      <c r="CA1010" s="52"/>
      <c r="CB1010" s="52"/>
      <c r="CC1010" s="52">
        <v>20424198</v>
      </c>
      <c r="CD1010" s="52"/>
      <c r="CE1010" s="52"/>
      <c r="CF1010" s="52"/>
      <c r="CG1010" s="52">
        <f t="shared" si="157"/>
        <v>342735759</v>
      </c>
      <c r="CH1010" s="52"/>
      <c r="CI1010" s="52"/>
      <c r="CJ1010" s="52"/>
      <c r="CK1010" s="52"/>
      <c r="CL1010" s="52"/>
      <c r="CM1010" s="52"/>
      <c r="CN1010" s="52"/>
      <c r="CO1010" s="52"/>
      <c r="CP1010" s="52"/>
      <c r="CQ1010" s="52">
        <v>20424198</v>
      </c>
      <c r="CR1010" s="52"/>
      <c r="CS1010" s="52">
        <f t="shared" si="154"/>
        <v>363159957</v>
      </c>
      <c r="CT1010" s="53">
        <v>163393584</v>
      </c>
      <c r="CU1010" s="53">
        <f t="shared" si="155"/>
        <v>199766373</v>
      </c>
      <c r="CV1010" s="54">
        <f t="shared" si="158"/>
        <v>363159957</v>
      </c>
      <c r="CW1010" s="55">
        <f t="shared" si="159"/>
        <v>0</v>
      </c>
      <c r="CX1010" s="16"/>
      <c r="CY1010" s="16"/>
      <c r="CZ1010" s="16"/>
    </row>
    <row r="1011" spans="1:108" ht="15" customHeight="1" x14ac:dyDescent="0.2">
      <c r="A1011" s="1">
        <v>8000045746</v>
      </c>
      <c r="B1011" s="1">
        <v>800004574</v>
      </c>
      <c r="C1011" s="9">
        <v>219725797</v>
      </c>
      <c r="D1011" s="10" t="s">
        <v>547</v>
      </c>
      <c r="E1011" s="46" t="s">
        <v>1553</v>
      </c>
      <c r="F1011" s="21"/>
      <c r="G1011" s="50"/>
      <c r="H1011" s="21"/>
      <c r="I1011" s="50"/>
      <c r="J1011" s="21"/>
      <c r="K1011" s="21"/>
      <c r="L1011" s="50"/>
      <c r="M1011" s="51"/>
      <c r="N1011" s="21"/>
      <c r="O1011" s="50"/>
      <c r="P1011" s="21"/>
      <c r="Q1011" s="50"/>
      <c r="R1011" s="21"/>
      <c r="S1011" s="21"/>
      <c r="T1011" s="50"/>
      <c r="U1011" s="51">
        <f t="shared" si="153"/>
        <v>0</v>
      </c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>
        <v>128238445</v>
      </c>
      <c r="AN1011" s="51">
        <f t="shared" si="162"/>
        <v>128238445</v>
      </c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2">
        <f t="shared" si="156"/>
        <v>128238445</v>
      </c>
      <c r="BD1011" s="51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>
        <v>0</v>
      </c>
      <c r="BO1011" s="51"/>
      <c r="BP1011" s="52">
        <v>128238445</v>
      </c>
      <c r="BQ1011" s="52"/>
      <c r="BR1011" s="52"/>
      <c r="BS1011" s="52"/>
      <c r="BT1011" s="52"/>
      <c r="BU1011" s="52"/>
      <c r="BV1011" s="52"/>
      <c r="BW1011" s="52"/>
      <c r="BX1011" s="52"/>
      <c r="BY1011" s="52"/>
      <c r="BZ1011" s="52"/>
      <c r="CA1011" s="52"/>
      <c r="CB1011" s="52"/>
      <c r="CC1011" s="52">
        <v>0</v>
      </c>
      <c r="CD1011" s="52"/>
      <c r="CE1011" s="52"/>
      <c r="CF1011" s="52"/>
      <c r="CG1011" s="52">
        <f t="shared" si="157"/>
        <v>128238445</v>
      </c>
      <c r="CH1011" s="52"/>
      <c r="CI1011" s="52"/>
      <c r="CJ1011" s="52"/>
      <c r="CK1011" s="52"/>
      <c r="CL1011" s="52"/>
      <c r="CM1011" s="52"/>
      <c r="CN1011" s="52"/>
      <c r="CO1011" s="52"/>
      <c r="CP1011" s="52"/>
      <c r="CQ1011" s="52">
        <v>91539448</v>
      </c>
      <c r="CR1011" s="52"/>
      <c r="CS1011" s="52">
        <f t="shared" si="154"/>
        <v>219777893</v>
      </c>
      <c r="CT1011" s="53">
        <v>91539448</v>
      </c>
      <c r="CU1011" s="53">
        <f t="shared" si="155"/>
        <v>128238445</v>
      </c>
      <c r="CV1011" s="54">
        <f t="shared" si="158"/>
        <v>219777893</v>
      </c>
      <c r="CW1011" s="55">
        <f t="shared" si="159"/>
        <v>0</v>
      </c>
      <c r="CX1011" s="16"/>
      <c r="CY1011" s="16"/>
      <c r="CZ1011" s="16"/>
    </row>
    <row r="1012" spans="1:108" ht="15" customHeight="1" x14ac:dyDescent="0.2">
      <c r="A1012" s="1">
        <v>8917800578</v>
      </c>
      <c r="B1012" s="1">
        <v>891780057</v>
      </c>
      <c r="C1012" s="9">
        <v>219847798</v>
      </c>
      <c r="D1012" s="10" t="s">
        <v>663</v>
      </c>
      <c r="E1012" s="46" t="s">
        <v>1683</v>
      </c>
      <c r="F1012" s="21"/>
      <c r="G1012" s="50"/>
      <c r="H1012" s="21"/>
      <c r="I1012" s="50"/>
      <c r="J1012" s="21"/>
      <c r="K1012" s="21"/>
      <c r="L1012" s="50"/>
      <c r="M1012" s="51"/>
      <c r="N1012" s="21"/>
      <c r="O1012" s="50"/>
      <c r="P1012" s="21"/>
      <c r="Q1012" s="50"/>
      <c r="R1012" s="21"/>
      <c r="S1012" s="21"/>
      <c r="T1012" s="50"/>
      <c r="U1012" s="51">
        <f t="shared" si="153"/>
        <v>0</v>
      </c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>
        <v>235706388</v>
      </c>
      <c r="AN1012" s="51">
        <f t="shared" si="162"/>
        <v>235706388</v>
      </c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>
        <f>VLOOKUP(B1012,[1]Hoja3!J$3:K$674,2,0)</f>
        <v>56337824</v>
      </c>
      <c r="BB1012" s="51"/>
      <c r="BC1012" s="52">
        <f t="shared" si="156"/>
        <v>292044212</v>
      </c>
      <c r="BD1012" s="51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>
        <v>0</v>
      </c>
      <c r="BO1012" s="51"/>
      <c r="BP1012" s="52">
        <v>292044212</v>
      </c>
      <c r="BQ1012" s="52"/>
      <c r="BR1012" s="52"/>
      <c r="BS1012" s="52"/>
      <c r="BT1012" s="52"/>
      <c r="BU1012" s="52"/>
      <c r="BV1012" s="52"/>
      <c r="BW1012" s="52"/>
      <c r="BX1012" s="52"/>
      <c r="BY1012" s="52"/>
      <c r="BZ1012" s="52"/>
      <c r="CA1012" s="52"/>
      <c r="CB1012" s="52"/>
      <c r="CC1012" s="52">
        <v>0</v>
      </c>
      <c r="CD1012" s="52"/>
      <c r="CE1012" s="52"/>
      <c r="CF1012" s="52"/>
      <c r="CG1012" s="52">
        <f t="shared" si="157"/>
        <v>292044212</v>
      </c>
      <c r="CH1012" s="52"/>
      <c r="CI1012" s="52"/>
      <c r="CJ1012" s="52"/>
      <c r="CK1012" s="52"/>
      <c r="CL1012" s="52"/>
      <c r="CM1012" s="52"/>
      <c r="CN1012" s="52"/>
      <c r="CO1012" s="52"/>
      <c r="CP1012" s="52"/>
      <c r="CQ1012" s="52">
        <v>280202600</v>
      </c>
      <c r="CR1012" s="52"/>
      <c r="CS1012" s="52">
        <f t="shared" si="154"/>
        <v>572246812</v>
      </c>
      <c r="CT1012" s="53">
        <v>280202600</v>
      </c>
      <c r="CU1012" s="53">
        <f t="shared" si="155"/>
        <v>292044212</v>
      </c>
      <c r="CV1012" s="54">
        <f t="shared" si="158"/>
        <v>572246812</v>
      </c>
      <c r="CW1012" s="55">
        <f t="shared" si="159"/>
        <v>0</v>
      </c>
      <c r="CX1012" s="16"/>
      <c r="CY1012" s="16"/>
      <c r="CZ1012" s="16"/>
    </row>
    <row r="1013" spans="1:108" ht="15" customHeight="1" x14ac:dyDescent="0.2">
      <c r="A1013" s="1">
        <v>8000951742</v>
      </c>
      <c r="B1013" s="1">
        <v>800095174</v>
      </c>
      <c r="C1013" s="9">
        <v>219925799</v>
      </c>
      <c r="D1013" s="10" t="s">
        <v>548</v>
      </c>
      <c r="E1013" s="46" t="s">
        <v>1571</v>
      </c>
      <c r="F1013" s="21"/>
      <c r="G1013" s="50"/>
      <c r="H1013" s="21"/>
      <c r="I1013" s="50"/>
      <c r="J1013" s="21"/>
      <c r="K1013" s="21"/>
      <c r="L1013" s="50"/>
      <c r="M1013" s="51"/>
      <c r="N1013" s="21"/>
      <c r="O1013" s="50"/>
      <c r="P1013" s="21"/>
      <c r="Q1013" s="50"/>
      <c r="R1013" s="21"/>
      <c r="S1013" s="21"/>
      <c r="T1013" s="50"/>
      <c r="U1013" s="51">
        <f t="shared" si="153"/>
        <v>0</v>
      </c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>
        <v>260422278</v>
      </c>
      <c r="AN1013" s="51">
        <f t="shared" si="162"/>
        <v>260422278</v>
      </c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>
        <v>88190855</v>
      </c>
      <c r="AZ1013" s="51"/>
      <c r="BA1013" s="51"/>
      <c r="BB1013" s="51"/>
      <c r="BC1013" s="52">
        <f t="shared" si="156"/>
        <v>348613133</v>
      </c>
      <c r="BD1013" s="51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>
        <v>17638171</v>
      </c>
      <c r="BO1013" s="51"/>
      <c r="BP1013" s="52">
        <v>366251304</v>
      </c>
      <c r="BQ1013" s="52"/>
      <c r="BR1013" s="52"/>
      <c r="BS1013" s="52"/>
      <c r="BT1013" s="52"/>
      <c r="BU1013" s="52"/>
      <c r="BV1013" s="52"/>
      <c r="BW1013" s="52"/>
      <c r="BX1013" s="52"/>
      <c r="BY1013" s="52"/>
      <c r="BZ1013" s="52"/>
      <c r="CA1013" s="52"/>
      <c r="CB1013" s="52"/>
      <c r="CC1013" s="52">
        <v>17638171</v>
      </c>
      <c r="CD1013" s="52"/>
      <c r="CE1013" s="52"/>
      <c r="CF1013" s="52"/>
      <c r="CG1013" s="52">
        <f t="shared" si="157"/>
        <v>383889475</v>
      </c>
      <c r="CH1013" s="52"/>
      <c r="CI1013" s="52"/>
      <c r="CJ1013" s="52"/>
      <c r="CK1013" s="52"/>
      <c r="CL1013" s="52"/>
      <c r="CM1013" s="52"/>
      <c r="CN1013" s="52"/>
      <c r="CO1013" s="52"/>
      <c r="CP1013" s="52"/>
      <c r="CQ1013" s="52">
        <v>17638171</v>
      </c>
      <c r="CR1013" s="52"/>
      <c r="CS1013" s="52">
        <f t="shared" si="154"/>
        <v>401527646</v>
      </c>
      <c r="CT1013" s="53">
        <v>141105368</v>
      </c>
      <c r="CU1013" s="53">
        <f t="shared" si="155"/>
        <v>260422278</v>
      </c>
      <c r="CV1013" s="54">
        <f t="shared" si="158"/>
        <v>401527646</v>
      </c>
      <c r="CW1013" s="55">
        <f t="shared" si="159"/>
        <v>0</v>
      </c>
      <c r="CX1013" s="16"/>
      <c r="CY1013" s="16"/>
      <c r="CZ1013" s="16"/>
    </row>
    <row r="1014" spans="1:108" ht="15" customHeight="1" x14ac:dyDescent="0.2">
      <c r="A1014" s="1">
        <v>8000197099</v>
      </c>
      <c r="B1014" s="1">
        <v>800019709</v>
      </c>
      <c r="C1014" s="9">
        <v>219815798</v>
      </c>
      <c r="D1014" s="10" t="s">
        <v>319</v>
      </c>
      <c r="E1014" s="46" t="s">
        <v>1351</v>
      </c>
      <c r="F1014" s="21"/>
      <c r="G1014" s="50"/>
      <c r="H1014" s="21"/>
      <c r="I1014" s="50"/>
      <c r="J1014" s="21"/>
      <c r="K1014" s="21"/>
      <c r="L1014" s="50"/>
      <c r="M1014" s="51"/>
      <c r="N1014" s="21"/>
      <c r="O1014" s="50"/>
      <c r="P1014" s="21"/>
      <c r="Q1014" s="50"/>
      <c r="R1014" s="21"/>
      <c r="S1014" s="21"/>
      <c r="T1014" s="50"/>
      <c r="U1014" s="51">
        <f t="shared" si="153"/>
        <v>0</v>
      </c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>
        <v>26169150</v>
      </c>
      <c r="AZ1014" s="51"/>
      <c r="BA1014" s="51">
        <f>VLOOKUP(B1014,[1]Hoja3!J$3:K$674,2,0)</f>
        <v>45231927</v>
      </c>
      <c r="BB1014" s="51"/>
      <c r="BC1014" s="52">
        <f t="shared" si="156"/>
        <v>71401077</v>
      </c>
      <c r="BD1014" s="51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>
        <v>5233830</v>
      </c>
      <c r="BO1014" s="51"/>
      <c r="BP1014" s="52">
        <v>76634907</v>
      </c>
      <c r="BQ1014" s="52"/>
      <c r="BR1014" s="52"/>
      <c r="BS1014" s="52"/>
      <c r="BT1014" s="52"/>
      <c r="BU1014" s="52"/>
      <c r="BV1014" s="52"/>
      <c r="BW1014" s="52"/>
      <c r="BX1014" s="52"/>
      <c r="BY1014" s="52"/>
      <c r="BZ1014" s="52"/>
      <c r="CA1014" s="52"/>
      <c r="CB1014" s="52"/>
      <c r="CC1014" s="52">
        <v>5233830</v>
      </c>
      <c r="CD1014" s="52"/>
      <c r="CE1014" s="52"/>
      <c r="CF1014" s="52"/>
      <c r="CG1014" s="52">
        <f t="shared" si="157"/>
        <v>81868737</v>
      </c>
      <c r="CH1014" s="52"/>
      <c r="CI1014" s="52"/>
      <c r="CJ1014" s="52"/>
      <c r="CK1014" s="52"/>
      <c r="CL1014" s="52"/>
      <c r="CM1014" s="52"/>
      <c r="CN1014" s="52"/>
      <c r="CO1014" s="52"/>
      <c r="CP1014" s="52"/>
      <c r="CQ1014" s="52">
        <v>5233830</v>
      </c>
      <c r="CR1014" s="52"/>
      <c r="CS1014" s="52">
        <f t="shared" si="154"/>
        <v>87102567</v>
      </c>
      <c r="CT1014" s="53">
        <v>41870640</v>
      </c>
      <c r="CU1014" s="53">
        <f t="shared" si="155"/>
        <v>45231927</v>
      </c>
      <c r="CV1014" s="54">
        <f t="shared" si="158"/>
        <v>87102567</v>
      </c>
      <c r="CW1014" s="55">
        <f t="shared" si="159"/>
        <v>0</v>
      </c>
      <c r="CX1014" s="16"/>
      <c r="CY1014" s="8"/>
      <c r="CZ1014" s="8"/>
      <c r="DA1014" s="8"/>
      <c r="DB1014" s="8"/>
      <c r="DC1014" s="8"/>
      <c r="DD1014" s="8"/>
    </row>
    <row r="1015" spans="1:108" ht="15" customHeight="1" x14ac:dyDescent="0.2">
      <c r="A1015" s="1">
        <v>8000170229</v>
      </c>
      <c r="B1015" s="1">
        <v>800017022</v>
      </c>
      <c r="C1015" s="9">
        <v>210054800</v>
      </c>
      <c r="D1015" s="10" t="s">
        <v>785</v>
      </c>
      <c r="E1015" s="46" t="s">
        <v>1801</v>
      </c>
      <c r="F1015" s="21"/>
      <c r="G1015" s="50"/>
      <c r="H1015" s="21"/>
      <c r="I1015" s="50"/>
      <c r="J1015" s="21"/>
      <c r="K1015" s="21"/>
      <c r="L1015" s="50"/>
      <c r="M1015" s="51"/>
      <c r="N1015" s="21"/>
      <c r="O1015" s="50"/>
      <c r="P1015" s="21"/>
      <c r="Q1015" s="50"/>
      <c r="R1015" s="21"/>
      <c r="S1015" s="21"/>
      <c r="T1015" s="50"/>
      <c r="U1015" s="51">
        <f t="shared" si="153"/>
        <v>0</v>
      </c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>
        <v>159544890</v>
      </c>
      <c r="AZ1015" s="51"/>
      <c r="BA1015" s="51">
        <f>VLOOKUP(B1015,[1]Hoja3!J$3:K$674,2,0)</f>
        <v>188411305</v>
      </c>
      <c r="BB1015" s="51"/>
      <c r="BC1015" s="52">
        <f t="shared" si="156"/>
        <v>347956195</v>
      </c>
      <c r="BD1015" s="51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>
        <v>31908978</v>
      </c>
      <c r="BO1015" s="51"/>
      <c r="BP1015" s="52">
        <v>379865173</v>
      </c>
      <c r="BQ1015" s="52"/>
      <c r="BR1015" s="52"/>
      <c r="BS1015" s="52"/>
      <c r="BT1015" s="52"/>
      <c r="BU1015" s="52"/>
      <c r="BV1015" s="52"/>
      <c r="BW1015" s="52"/>
      <c r="BX1015" s="52"/>
      <c r="BY1015" s="52"/>
      <c r="BZ1015" s="52"/>
      <c r="CA1015" s="52"/>
      <c r="CB1015" s="52"/>
      <c r="CC1015" s="52">
        <v>31908978</v>
      </c>
      <c r="CD1015" s="52"/>
      <c r="CE1015" s="52"/>
      <c r="CF1015" s="52"/>
      <c r="CG1015" s="52">
        <f t="shared" si="157"/>
        <v>411774151</v>
      </c>
      <c r="CH1015" s="52"/>
      <c r="CI1015" s="52"/>
      <c r="CJ1015" s="52"/>
      <c r="CK1015" s="52"/>
      <c r="CL1015" s="52"/>
      <c r="CM1015" s="52"/>
      <c r="CN1015" s="52"/>
      <c r="CO1015" s="52"/>
      <c r="CP1015" s="52"/>
      <c r="CQ1015" s="52">
        <v>31908978</v>
      </c>
      <c r="CR1015" s="52"/>
      <c r="CS1015" s="52">
        <f t="shared" si="154"/>
        <v>443683129</v>
      </c>
      <c r="CT1015" s="53">
        <v>255271824</v>
      </c>
      <c r="CU1015" s="53">
        <f t="shared" si="155"/>
        <v>188411305</v>
      </c>
      <c r="CV1015" s="54">
        <f t="shared" si="158"/>
        <v>443683129</v>
      </c>
      <c r="CW1015" s="55">
        <f t="shared" si="159"/>
        <v>0</v>
      </c>
      <c r="CX1015" s="16"/>
      <c r="CY1015" s="16"/>
      <c r="CZ1015" s="16"/>
    </row>
    <row r="1016" spans="1:108" ht="15" customHeight="1" x14ac:dyDescent="0.2">
      <c r="A1016" s="1">
        <v>8911801819</v>
      </c>
      <c r="B1016" s="1">
        <v>891180181</v>
      </c>
      <c r="C1016" s="9">
        <v>210141801</v>
      </c>
      <c r="D1016" s="10" t="s">
        <v>625</v>
      </c>
      <c r="E1016" s="46" t="s">
        <v>1644</v>
      </c>
      <c r="F1016" s="21"/>
      <c r="G1016" s="50"/>
      <c r="H1016" s="21"/>
      <c r="I1016" s="50"/>
      <c r="J1016" s="21"/>
      <c r="K1016" s="21"/>
      <c r="L1016" s="50"/>
      <c r="M1016" s="51"/>
      <c r="N1016" s="21"/>
      <c r="O1016" s="50"/>
      <c r="P1016" s="21"/>
      <c r="Q1016" s="50"/>
      <c r="R1016" s="21"/>
      <c r="S1016" s="21"/>
      <c r="T1016" s="50"/>
      <c r="U1016" s="51">
        <f t="shared" si="153"/>
        <v>0</v>
      </c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>
        <v>56953040</v>
      </c>
      <c r="AZ1016" s="51"/>
      <c r="BA1016" s="51">
        <f>VLOOKUP(B1016,[1]Hoja3!J$3:K$674,2,0)</f>
        <v>108422345</v>
      </c>
      <c r="BB1016" s="51"/>
      <c r="BC1016" s="52">
        <f t="shared" si="156"/>
        <v>165375385</v>
      </c>
      <c r="BD1016" s="51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>
        <v>11390608</v>
      </c>
      <c r="BO1016" s="51"/>
      <c r="BP1016" s="52">
        <v>176765993</v>
      </c>
      <c r="BQ1016" s="52"/>
      <c r="BR1016" s="52"/>
      <c r="BS1016" s="52"/>
      <c r="BT1016" s="52"/>
      <c r="BU1016" s="52"/>
      <c r="BV1016" s="52"/>
      <c r="BW1016" s="52"/>
      <c r="BX1016" s="52"/>
      <c r="BY1016" s="52"/>
      <c r="BZ1016" s="52"/>
      <c r="CA1016" s="52"/>
      <c r="CB1016" s="52"/>
      <c r="CC1016" s="52">
        <v>11390608</v>
      </c>
      <c r="CD1016" s="52"/>
      <c r="CE1016" s="52"/>
      <c r="CF1016" s="52"/>
      <c r="CG1016" s="52">
        <f t="shared" si="157"/>
        <v>188156601</v>
      </c>
      <c r="CH1016" s="52"/>
      <c r="CI1016" s="52"/>
      <c r="CJ1016" s="52"/>
      <c r="CK1016" s="52"/>
      <c r="CL1016" s="52"/>
      <c r="CM1016" s="52"/>
      <c r="CN1016" s="52"/>
      <c r="CO1016" s="52"/>
      <c r="CP1016" s="52"/>
      <c r="CQ1016" s="52">
        <v>11390608</v>
      </c>
      <c r="CR1016" s="52"/>
      <c r="CS1016" s="52">
        <f t="shared" si="154"/>
        <v>199547209</v>
      </c>
      <c r="CT1016" s="53">
        <v>91124864</v>
      </c>
      <c r="CU1016" s="53">
        <f t="shared" si="155"/>
        <v>108422345</v>
      </c>
      <c r="CV1016" s="54">
        <f t="shared" si="158"/>
        <v>199547209</v>
      </c>
      <c r="CW1016" s="55">
        <f t="shared" si="159"/>
        <v>0</v>
      </c>
      <c r="CX1016" s="16"/>
      <c r="CY1016" s="16"/>
      <c r="CZ1016" s="16"/>
    </row>
    <row r="1017" spans="1:108" ht="15" customHeight="1" x14ac:dyDescent="0.2">
      <c r="A1017" s="1">
        <v>8000971766</v>
      </c>
      <c r="B1017" s="1">
        <v>800097176</v>
      </c>
      <c r="C1017" s="9">
        <v>219741797</v>
      </c>
      <c r="D1017" s="10" t="s">
        <v>623</v>
      </c>
      <c r="E1017" s="46" t="s">
        <v>1642</v>
      </c>
      <c r="F1017" s="21"/>
      <c r="G1017" s="50"/>
      <c r="H1017" s="21"/>
      <c r="I1017" s="50"/>
      <c r="J1017" s="21"/>
      <c r="K1017" s="21"/>
      <c r="L1017" s="50"/>
      <c r="M1017" s="51"/>
      <c r="N1017" s="21"/>
      <c r="O1017" s="50"/>
      <c r="P1017" s="21"/>
      <c r="Q1017" s="50"/>
      <c r="R1017" s="21"/>
      <c r="S1017" s="21"/>
      <c r="T1017" s="50"/>
      <c r="U1017" s="51">
        <f t="shared" si="153"/>
        <v>0</v>
      </c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>
        <v>64844045</v>
      </c>
      <c r="AZ1017" s="51"/>
      <c r="BA1017" s="51">
        <f>VLOOKUP(B1017,[1]Hoja3!J$3:K$674,2,0)</f>
        <v>163657290</v>
      </c>
      <c r="BB1017" s="51"/>
      <c r="BC1017" s="52">
        <f t="shared" si="156"/>
        <v>228501335</v>
      </c>
      <c r="BD1017" s="51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>
        <v>12968809</v>
      </c>
      <c r="BO1017" s="51"/>
      <c r="BP1017" s="52">
        <v>241470144</v>
      </c>
      <c r="BQ1017" s="52"/>
      <c r="BR1017" s="52"/>
      <c r="BS1017" s="52"/>
      <c r="BT1017" s="52"/>
      <c r="BU1017" s="52"/>
      <c r="BV1017" s="52"/>
      <c r="BW1017" s="52"/>
      <c r="BX1017" s="52"/>
      <c r="BY1017" s="52"/>
      <c r="BZ1017" s="52"/>
      <c r="CA1017" s="52"/>
      <c r="CB1017" s="52"/>
      <c r="CC1017" s="52">
        <v>12968809</v>
      </c>
      <c r="CD1017" s="52"/>
      <c r="CE1017" s="52"/>
      <c r="CF1017" s="52"/>
      <c r="CG1017" s="52">
        <f t="shared" si="157"/>
        <v>254438953</v>
      </c>
      <c r="CH1017" s="52"/>
      <c r="CI1017" s="52"/>
      <c r="CJ1017" s="52"/>
      <c r="CK1017" s="52"/>
      <c r="CL1017" s="52"/>
      <c r="CM1017" s="52"/>
      <c r="CN1017" s="52"/>
      <c r="CO1017" s="52"/>
      <c r="CP1017" s="52"/>
      <c r="CQ1017" s="52">
        <v>12968809</v>
      </c>
      <c r="CR1017" s="52"/>
      <c r="CS1017" s="52">
        <f t="shared" si="154"/>
        <v>267407762</v>
      </c>
      <c r="CT1017" s="53">
        <v>103750472</v>
      </c>
      <c r="CU1017" s="53">
        <f t="shared" si="155"/>
        <v>163657290</v>
      </c>
      <c r="CV1017" s="54">
        <f t="shared" si="158"/>
        <v>267407762</v>
      </c>
      <c r="CW1017" s="55">
        <f t="shared" si="159"/>
        <v>0</v>
      </c>
      <c r="CX1017" s="16"/>
      <c r="CY1017" s="16"/>
      <c r="CZ1017" s="16"/>
    </row>
    <row r="1018" spans="1:108" ht="15" customHeight="1" x14ac:dyDescent="0.2">
      <c r="A1018" s="1">
        <v>8000186895</v>
      </c>
      <c r="B1018" s="1">
        <v>800018689</v>
      </c>
      <c r="C1018" s="9">
        <v>210525805</v>
      </c>
      <c r="D1018" s="10" t="s">
        <v>549</v>
      </c>
      <c r="E1018" s="46" t="s">
        <v>1572</v>
      </c>
      <c r="F1018" s="21"/>
      <c r="G1018" s="50"/>
      <c r="H1018" s="21"/>
      <c r="I1018" s="50"/>
      <c r="J1018" s="21"/>
      <c r="K1018" s="21"/>
      <c r="L1018" s="50"/>
      <c r="M1018" s="51"/>
      <c r="N1018" s="21"/>
      <c r="O1018" s="50"/>
      <c r="P1018" s="21"/>
      <c r="Q1018" s="50"/>
      <c r="R1018" s="21"/>
      <c r="S1018" s="21"/>
      <c r="T1018" s="50"/>
      <c r="U1018" s="51">
        <f t="shared" si="153"/>
        <v>0</v>
      </c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>
        <v>69052154</v>
      </c>
      <c r="AN1018" s="51">
        <f>SUBTOTAL(9,AC1018:AM1018)</f>
        <v>69052154</v>
      </c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>
        <v>28066965</v>
      </c>
      <c r="AZ1018" s="51"/>
      <c r="BA1018" s="51"/>
      <c r="BB1018" s="51"/>
      <c r="BC1018" s="52">
        <f t="shared" si="156"/>
        <v>97119119</v>
      </c>
      <c r="BD1018" s="51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>
        <v>5613393</v>
      </c>
      <c r="BO1018" s="51"/>
      <c r="BP1018" s="52">
        <v>102732512</v>
      </c>
      <c r="BQ1018" s="52"/>
      <c r="BR1018" s="52"/>
      <c r="BS1018" s="52"/>
      <c r="BT1018" s="52"/>
      <c r="BU1018" s="52"/>
      <c r="BV1018" s="52"/>
      <c r="BW1018" s="52"/>
      <c r="BX1018" s="52"/>
      <c r="BY1018" s="52"/>
      <c r="BZ1018" s="52"/>
      <c r="CA1018" s="52"/>
      <c r="CB1018" s="52"/>
      <c r="CC1018" s="52">
        <v>5613393</v>
      </c>
      <c r="CD1018" s="52"/>
      <c r="CE1018" s="52"/>
      <c r="CF1018" s="52"/>
      <c r="CG1018" s="52">
        <f t="shared" si="157"/>
        <v>108345905</v>
      </c>
      <c r="CH1018" s="52"/>
      <c r="CI1018" s="52"/>
      <c r="CJ1018" s="52"/>
      <c r="CK1018" s="52"/>
      <c r="CL1018" s="52"/>
      <c r="CM1018" s="52"/>
      <c r="CN1018" s="52"/>
      <c r="CO1018" s="52"/>
      <c r="CP1018" s="52"/>
      <c r="CQ1018" s="52">
        <v>5613393</v>
      </c>
      <c r="CR1018" s="52"/>
      <c r="CS1018" s="52">
        <f t="shared" si="154"/>
        <v>113959298</v>
      </c>
      <c r="CT1018" s="53">
        <v>44907144</v>
      </c>
      <c r="CU1018" s="53">
        <f t="shared" si="155"/>
        <v>69052154</v>
      </c>
      <c r="CV1018" s="54">
        <f t="shared" si="158"/>
        <v>113959298</v>
      </c>
      <c r="CW1018" s="55">
        <f t="shared" si="159"/>
        <v>0</v>
      </c>
      <c r="CX1018" s="16"/>
      <c r="CY1018" s="16"/>
      <c r="CZ1018" s="16"/>
    </row>
    <row r="1019" spans="1:108" ht="15" customHeight="1" x14ac:dyDescent="0.2">
      <c r="A1019" s="1">
        <v>8918008603</v>
      </c>
      <c r="B1019" s="1">
        <v>891800860</v>
      </c>
      <c r="C1019" s="9">
        <v>210415804</v>
      </c>
      <c r="D1019" s="10" t="s">
        <v>320</v>
      </c>
      <c r="E1019" s="46" t="s">
        <v>1352</v>
      </c>
      <c r="F1019" s="21"/>
      <c r="G1019" s="50"/>
      <c r="H1019" s="21"/>
      <c r="I1019" s="50"/>
      <c r="J1019" s="21"/>
      <c r="K1019" s="21"/>
      <c r="L1019" s="50"/>
      <c r="M1019" s="51"/>
      <c r="N1019" s="21"/>
      <c r="O1019" s="50"/>
      <c r="P1019" s="21"/>
      <c r="Q1019" s="50"/>
      <c r="R1019" s="21"/>
      <c r="S1019" s="21"/>
      <c r="T1019" s="50"/>
      <c r="U1019" s="51">
        <f t="shared" si="153"/>
        <v>0</v>
      </c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51">
        <v>64150170</v>
      </c>
      <c r="AZ1019" s="51"/>
      <c r="BA1019" s="51">
        <f>VLOOKUP(B1019,[1]Hoja3!J$3:K$674,2,0)</f>
        <v>130482277</v>
      </c>
      <c r="BB1019" s="51"/>
      <c r="BC1019" s="52">
        <f t="shared" si="156"/>
        <v>194632447</v>
      </c>
      <c r="BD1019" s="51"/>
      <c r="BE1019" s="51"/>
      <c r="BF1019" s="51"/>
      <c r="BG1019" s="51"/>
      <c r="BH1019" s="51"/>
      <c r="BI1019" s="51"/>
      <c r="BJ1019" s="51"/>
      <c r="BK1019" s="51"/>
      <c r="BL1019" s="51"/>
      <c r="BM1019" s="51"/>
      <c r="BN1019" s="51">
        <v>12830034</v>
      </c>
      <c r="BO1019" s="51"/>
      <c r="BP1019" s="52">
        <v>207462481</v>
      </c>
      <c r="BQ1019" s="52"/>
      <c r="BR1019" s="52"/>
      <c r="BS1019" s="52"/>
      <c r="BT1019" s="52"/>
      <c r="BU1019" s="52"/>
      <c r="BV1019" s="52"/>
      <c r="BW1019" s="52"/>
      <c r="BX1019" s="52"/>
      <c r="BY1019" s="52"/>
      <c r="BZ1019" s="52"/>
      <c r="CA1019" s="52"/>
      <c r="CB1019" s="52"/>
      <c r="CC1019" s="52">
        <v>12830034</v>
      </c>
      <c r="CD1019" s="52"/>
      <c r="CE1019" s="52"/>
      <c r="CF1019" s="52"/>
      <c r="CG1019" s="52">
        <f t="shared" si="157"/>
        <v>220292515</v>
      </c>
      <c r="CH1019" s="52"/>
      <c r="CI1019" s="52"/>
      <c r="CJ1019" s="52"/>
      <c r="CK1019" s="52"/>
      <c r="CL1019" s="52"/>
      <c r="CM1019" s="52"/>
      <c r="CN1019" s="52"/>
      <c r="CO1019" s="52"/>
      <c r="CP1019" s="52"/>
      <c r="CQ1019" s="52">
        <v>12830034</v>
      </c>
      <c r="CR1019" s="52"/>
      <c r="CS1019" s="52">
        <f t="shared" si="154"/>
        <v>233122549</v>
      </c>
      <c r="CT1019" s="53">
        <v>102640272</v>
      </c>
      <c r="CU1019" s="53">
        <f t="shared" si="155"/>
        <v>130482277</v>
      </c>
      <c r="CV1019" s="54">
        <f t="shared" si="158"/>
        <v>233122549</v>
      </c>
      <c r="CW1019" s="55">
        <f t="shared" si="159"/>
        <v>0</v>
      </c>
      <c r="CX1019" s="16"/>
      <c r="CY1019" s="8"/>
      <c r="CZ1019" s="8"/>
      <c r="DA1019" s="8"/>
      <c r="DB1019" s="8"/>
      <c r="DC1019" s="8"/>
      <c r="DD1019" s="8"/>
    </row>
    <row r="1020" spans="1:108" ht="15" customHeight="1" x14ac:dyDescent="0.2">
      <c r="A1020" s="1">
        <v>8918553616</v>
      </c>
      <c r="B1020" s="1">
        <v>891855361</v>
      </c>
      <c r="C1020" s="9">
        <v>210615806</v>
      </c>
      <c r="D1020" s="10" t="s">
        <v>321</v>
      </c>
      <c r="E1020" s="46" t="s">
        <v>1353</v>
      </c>
      <c r="F1020" s="21"/>
      <c r="G1020" s="50"/>
      <c r="H1020" s="21"/>
      <c r="I1020" s="50"/>
      <c r="J1020" s="21"/>
      <c r="K1020" s="21"/>
      <c r="L1020" s="50"/>
      <c r="M1020" s="51"/>
      <c r="N1020" s="21"/>
      <c r="O1020" s="50"/>
      <c r="P1020" s="21"/>
      <c r="Q1020" s="50"/>
      <c r="R1020" s="21"/>
      <c r="S1020" s="21"/>
      <c r="T1020" s="50"/>
      <c r="U1020" s="51">
        <f t="shared" si="153"/>
        <v>0</v>
      </c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>
        <v>156399121</v>
      </c>
      <c r="AN1020" s="51">
        <f>SUBTOTAL(9,AC1020:AM1020)</f>
        <v>156399121</v>
      </c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>
        <v>73500020</v>
      </c>
      <c r="AZ1020" s="51"/>
      <c r="BA1020" s="51">
        <f>VLOOKUP(B1020,[1]Hoja3!J$3:K$674,2,0)</f>
        <v>10294882</v>
      </c>
      <c r="BB1020" s="51"/>
      <c r="BC1020" s="52">
        <f t="shared" si="156"/>
        <v>240194023</v>
      </c>
      <c r="BD1020" s="51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>
        <v>14700004</v>
      </c>
      <c r="BO1020" s="51"/>
      <c r="BP1020" s="52">
        <v>254894027</v>
      </c>
      <c r="BQ1020" s="52"/>
      <c r="BR1020" s="52"/>
      <c r="BS1020" s="52"/>
      <c r="BT1020" s="52"/>
      <c r="BU1020" s="52"/>
      <c r="BV1020" s="52"/>
      <c r="BW1020" s="52"/>
      <c r="BX1020" s="52"/>
      <c r="BY1020" s="52"/>
      <c r="BZ1020" s="52"/>
      <c r="CA1020" s="52"/>
      <c r="CB1020" s="52"/>
      <c r="CC1020" s="52">
        <v>14700004</v>
      </c>
      <c r="CD1020" s="52"/>
      <c r="CE1020" s="52"/>
      <c r="CF1020" s="52"/>
      <c r="CG1020" s="52">
        <f t="shared" si="157"/>
        <v>269594031</v>
      </c>
      <c r="CH1020" s="52"/>
      <c r="CI1020" s="52"/>
      <c r="CJ1020" s="52"/>
      <c r="CK1020" s="52"/>
      <c r="CL1020" s="52"/>
      <c r="CM1020" s="52"/>
      <c r="CN1020" s="52"/>
      <c r="CO1020" s="52"/>
      <c r="CP1020" s="52"/>
      <c r="CQ1020" s="52">
        <v>14700004</v>
      </c>
      <c r="CR1020" s="52"/>
      <c r="CS1020" s="52">
        <f t="shared" si="154"/>
        <v>284294035</v>
      </c>
      <c r="CT1020" s="53">
        <v>117600032</v>
      </c>
      <c r="CU1020" s="53">
        <f t="shared" si="155"/>
        <v>166694003</v>
      </c>
      <c r="CV1020" s="54">
        <f t="shared" si="158"/>
        <v>284294035</v>
      </c>
      <c r="CW1020" s="55">
        <f t="shared" si="159"/>
        <v>0</v>
      </c>
      <c r="CX1020" s="16"/>
      <c r="CY1020" s="8"/>
      <c r="CZ1020" s="8"/>
      <c r="DA1020" s="8"/>
      <c r="DB1020" s="8"/>
      <c r="DC1020" s="8"/>
      <c r="DD1020" s="8"/>
    </row>
    <row r="1021" spans="1:108" ht="15" customHeight="1" x14ac:dyDescent="0.2">
      <c r="A1021" s="1">
        <v>8000947826</v>
      </c>
      <c r="B1021" s="1">
        <v>800094782</v>
      </c>
      <c r="C1021" s="9">
        <v>210725807</v>
      </c>
      <c r="D1021" s="10" t="s">
        <v>550</v>
      </c>
      <c r="E1021" s="46" t="s">
        <v>1573</v>
      </c>
      <c r="F1021" s="21"/>
      <c r="G1021" s="50"/>
      <c r="H1021" s="21"/>
      <c r="I1021" s="50"/>
      <c r="J1021" s="21"/>
      <c r="K1021" s="21"/>
      <c r="L1021" s="50"/>
      <c r="M1021" s="51"/>
      <c r="N1021" s="21"/>
      <c r="O1021" s="50"/>
      <c r="P1021" s="21"/>
      <c r="Q1021" s="50"/>
      <c r="R1021" s="21"/>
      <c r="S1021" s="21"/>
      <c r="T1021" s="50"/>
      <c r="U1021" s="51">
        <f t="shared" si="153"/>
        <v>0</v>
      </c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>
        <v>40410970</v>
      </c>
      <c r="AN1021" s="51">
        <f>SUBTOTAL(9,AC1021:AM1021)</f>
        <v>40410970</v>
      </c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51">
        <v>17031565</v>
      </c>
      <c r="AZ1021" s="51"/>
      <c r="BA1021" s="51"/>
      <c r="BB1021" s="51"/>
      <c r="BC1021" s="52">
        <f t="shared" si="156"/>
        <v>57442535</v>
      </c>
      <c r="BD1021" s="51"/>
      <c r="BE1021" s="51"/>
      <c r="BF1021" s="51"/>
      <c r="BG1021" s="51"/>
      <c r="BH1021" s="51"/>
      <c r="BI1021" s="51"/>
      <c r="BJ1021" s="51"/>
      <c r="BK1021" s="51"/>
      <c r="BL1021" s="51"/>
      <c r="BM1021" s="51"/>
      <c r="BN1021" s="51">
        <v>3406313</v>
      </c>
      <c r="BO1021" s="51"/>
      <c r="BP1021" s="52">
        <v>60848848</v>
      </c>
      <c r="BQ1021" s="52"/>
      <c r="BR1021" s="52"/>
      <c r="BS1021" s="52"/>
      <c r="BT1021" s="52"/>
      <c r="BU1021" s="52"/>
      <c r="BV1021" s="52"/>
      <c r="BW1021" s="52"/>
      <c r="BX1021" s="52"/>
      <c r="BY1021" s="52"/>
      <c r="BZ1021" s="52"/>
      <c r="CA1021" s="52"/>
      <c r="CB1021" s="52"/>
      <c r="CC1021" s="52">
        <v>3406313</v>
      </c>
      <c r="CD1021" s="52"/>
      <c r="CE1021" s="52"/>
      <c r="CF1021" s="52"/>
      <c r="CG1021" s="52">
        <f t="shared" si="157"/>
        <v>64255161</v>
      </c>
      <c r="CH1021" s="52"/>
      <c r="CI1021" s="52"/>
      <c r="CJ1021" s="52"/>
      <c r="CK1021" s="52"/>
      <c r="CL1021" s="52"/>
      <c r="CM1021" s="52"/>
      <c r="CN1021" s="52"/>
      <c r="CO1021" s="52"/>
      <c r="CP1021" s="52"/>
      <c r="CQ1021" s="52">
        <v>3406313</v>
      </c>
      <c r="CR1021" s="52"/>
      <c r="CS1021" s="52">
        <f t="shared" si="154"/>
        <v>67661474</v>
      </c>
      <c r="CT1021" s="53">
        <v>27250504</v>
      </c>
      <c r="CU1021" s="53">
        <f t="shared" si="155"/>
        <v>40410970</v>
      </c>
      <c r="CV1021" s="54">
        <f t="shared" si="158"/>
        <v>67661474</v>
      </c>
      <c r="CW1021" s="55">
        <f t="shared" si="159"/>
        <v>0</v>
      </c>
      <c r="CX1021" s="16"/>
      <c r="CY1021" s="16"/>
      <c r="CZ1021" s="16"/>
    </row>
    <row r="1022" spans="1:108" ht="15" customHeight="1" x14ac:dyDescent="0.2">
      <c r="A1022" s="1">
        <v>8000706824</v>
      </c>
      <c r="B1022" s="1">
        <v>800070682</v>
      </c>
      <c r="C1022" s="9">
        <v>211054810</v>
      </c>
      <c r="D1022" s="10" t="s">
        <v>786</v>
      </c>
      <c r="E1022" s="46" t="s">
        <v>1802</v>
      </c>
      <c r="F1022" s="21"/>
      <c r="G1022" s="50"/>
      <c r="H1022" s="21"/>
      <c r="I1022" s="50"/>
      <c r="J1022" s="21"/>
      <c r="K1022" s="21"/>
      <c r="L1022" s="50"/>
      <c r="M1022" s="51"/>
      <c r="N1022" s="21"/>
      <c r="O1022" s="50"/>
      <c r="P1022" s="21"/>
      <c r="Q1022" s="50"/>
      <c r="R1022" s="21"/>
      <c r="S1022" s="21"/>
      <c r="T1022" s="50"/>
      <c r="U1022" s="51">
        <f t="shared" si="153"/>
        <v>0</v>
      </c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>
        <v>99803649</v>
      </c>
      <c r="AN1022" s="51">
        <f>SUBTOTAL(9,AC1022:AM1022)</f>
        <v>99803649</v>
      </c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>
        <v>527586935</v>
      </c>
      <c r="AZ1022" s="51"/>
      <c r="BA1022" s="51">
        <f>VLOOKUP(B1022,[1]Hoja3!J$3:K$674,2,0)</f>
        <v>458290083</v>
      </c>
      <c r="BB1022" s="51"/>
      <c r="BC1022" s="52">
        <f t="shared" si="156"/>
        <v>1085680667</v>
      </c>
      <c r="BD1022" s="51"/>
      <c r="BE1022" s="51"/>
      <c r="BF1022" s="51"/>
      <c r="BG1022" s="51"/>
      <c r="BH1022" s="51"/>
      <c r="BI1022" s="51"/>
      <c r="BJ1022" s="51"/>
      <c r="BK1022" s="51"/>
      <c r="BL1022" s="51"/>
      <c r="BM1022" s="51"/>
      <c r="BN1022" s="51">
        <v>105517387</v>
      </c>
      <c r="BO1022" s="51"/>
      <c r="BP1022" s="52">
        <v>1191198054</v>
      </c>
      <c r="BQ1022" s="52"/>
      <c r="BR1022" s="52"/>
      <c r="BS1022" s="52"/>
      <c r="BT1022" s="52"/>
      <c r="BU1022" s="52"/>
      <c r="BV1022" s="52"/>
      <c r="BW1022" s="52"/>
      <c r="BX1022" s="52"/>
      <c r="BY1022" s="52"/>
      <c r="BZ1022" s="52"/>
      <c r="CA1022" s="52"/>
      <c r="CB1022" s="52"/>
      <c r="CC1022" s="52">
        <v>105517387</v>
      </c>
      <c r="CD1022" s="52"/>
      <c r="CE1022" s="52"/>
      <c r="CF1022" s="52"/>
      <c r="CG1022" s="52">
        <f t="shared" si="157"/>
        <v>1296715441</v>
      </c>
      <c r="CH1022" s="52"/>
      <c r="CI1022" s="52"/>
      <c r="CJ1022" s="52"/>
      <c r="CK1022" s="52"/>
      <c r="CL1022" s="52"/>
      <c r="CM1022" s="52"/>
      <c r="CN1022" s="52"/>
      <c r="CO1022" s="52"/>
      <c r="CP1022" s="52"/>
      <c r="CQ1022" s="52">
        <v>105517387</v>
      </c>
      <c r="CR1022" s="52"/>
      <c r="CS1022" s="52">
        <f t="shared" si="154"/>
        <v>1402232828</v>
      </c>
      <c r="CT1022" s="53">
        <v>844139096</v>
      </c>
      <c r="CU1022" s="53">
        <f t="shared" si="155"/>
        <v>558093732</v>
      </c>
      <c r="CV1022" s="54">
        <f t="shared" si="158"/>
        <v>1402232828</v>
      </c>
      <c r="CW1022" s="55">
        <f t="shared" si="159"/>
        <v>0</v>
      </c>
      <c r="CX1022" s="16"/>
      <c r="CY1022" s="16"/>
      <c r="CZ1022" s="16"/>
    </row>
    <row r="1023" spans="1:108" ht="15" customHeight="1" x14ac:dyDescent="0.2">
      <c r="A1023" s="1">
        <v>8000968070</v>
      </c>
      <c r="B1023" s="1">
        <v>800096807</v>
      </c>
      <c r="C1023" s="9">
        <v>210723807</v>
      </c>
      <c r="D1023" s="10" t="s">
        <v>458</v>
      </c>
      <c r="E1023" s="46" t="s">
        <v>1485</v>
      </c>
      <c r="F1023" s="21"/>
      <c r="G1023" s="50"/>
      <c r="H1023" s="21"/>
      <c r="I1023" s="50"/>
      <c r="J1023" s="21"/>
      <c r="K1023" s="21"/>
      <c r="L1023" s="50"/>
      <c r="M1023" s="51"/>
      <c r="N1023" s="21"/>
      <c r="O1023" s="50"/>
      <c r="P1023" s="21"/>
      <c r="Q1023" s="50"/>
      <c r="R1023" s="21"/>
      <c r="S1023" s="21"/>
      <c r="T1023" s="50"/>
      <c r="U1023" s="51">
        <f t="shared" si="153"/>
        <v>0</v>
      </c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>
        <v>1456419024</v>
      </c>
      <c r="AN1023" s="51">
        <f>SUBTOTAL(9,AC1023:AM1023)</f>
        <v>1456419024</v>
      </c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51"/>
      <c r="BC1023" s="52">
        <f t="shared" si="156"/>
        <v>1456419024</v>
      </c>
      <c r="BD1023" s="51"/>
      <c r="BE1023" s="51"/>
      <c r="BF1023" s="51"/>
      <c r="BG1023" s="51"/>
      <c r="BH1023" s="51"/>
      <c r="BI1023" s="51"/>
      <c r="BJ1023" s="51"/>
      <c r="BK1023" s="51"/>
      <c r="BL1023" s="51"/>
      <c r="BM1023" s="51"/>
      <c r="BN1023" s="51">
        <v>254929232</v>
      </c>
      <c r="BO1023" s="51"/>
      <c r="BP1023" s="52">
        <v>1711348256</v>
      </c>
      <c r="BQ1023" s="52"/>
      <c r="BR1023" s="52"/>
      <c r="BS1023" s="52"/>
      <c r="BT1023" s="52"/>
      <c r="BU1023" s="52"/>
      <c r="BV1023" s="52"/>
      <c r="BW1023" s="52"/>
      <c r="BX1023" s="52"/>
      <c r="BY1023" s="52"/>
      <c r="BZ1023" s="52"/>
      <c r="CA1023" s="52"/>
      <c r="CB1023" s="52"/>
      <c r="CC1023" s="52">
        <v>254929232</v>
      </c>
      <c r="CD1023" s="52">
        <v>1274646160</v>
      </c>
      <c r="CE1023" s="52">
        <v>220529593</v>
      </c>
      <c r="CF1023" s="52"/>
      <c r="CG1023" s="52">
        <f t="shared" si="157"/>
        <v>3461453241</v>
      </c>
      <c r="CH1023" s="52"/>
      <c r="CI1023" s="52"/>
      <c r="CJ1023" s="52"/>
      <c r="CK1023" s="52"/>
      <c r="CL1023" s="52"/>
      <c r="CM1023" s="52"/>
      <c r="CN1023" s="52"/>
      <c r="CO1023" s="52"/>
      <c r="CP1023" s="52"/>
      <c r="CQ1023" s="52">
        <v>254929232</v>
      </c>
      <c r="CR1023" s="52"/>
      <c r="CS1023" s="52">
        <f t="shared" si="154"/>
        <v>3716382473</v>
      </c>
      <c r="CT1023" s="53">
        <v>2039433856</v>
      </c>
      <c r="CU1023" s="53">
        <f t="shared" si="155"/>
        <v>1676948617</v>
      </c>
      <c r="CV1023" s="54">
        <f t="shared" si="158"/>
        <v>3716382473</v>
      </c>
      <c r="CW1023" s="55">
        <f t="shared" si="159"/>
        <v>0</v>
      </c>
      <c r="CX1023" s="16"/>
      <c r="CY1023" s="16"/>
      <c r="CZ1023" s="16"/>
    </row>
    <row r="1024" spans="1:108" ht="15" customHeight="1" x14ac:dyDescent="0.2">
      <c r="A1024" s="1">
        <v>8911801826</v>
      </c>
      <c r="B1024" s="1">
        <v>891180182</v>
      </c>
      <c r="C1024" s="9">
        <v>210741807</v>
      </c>
      <c r="D1024" s="10" t="s">
        <v>626</v>
      </c>
      <c r="E1024" s="46" t="s">
        <v>1645</v>
      </c>
      <c r="F1024" s="21"/>
      <c r="G1024" s="50"/>
      <c r="H1024" s="21"/>
      <c r="I1024" s="50"/>
      <c r="J1024" s="21"/>
      <c r="K1024" s="21"/>
      <c r="L1024" s="50"/>
      <c r="M1024" s="51"/>
      <c r="N1024" s="21"/>
      <c r="O1024" s="50"/>
      <c r="P1024" s="21"/>
      <c r="Q1024" s="50"/>
      <c r="R1024" s="21"/>
      <c r="S1024" s="21"/>
      <c r="T1024" s="50"/>
      <c r="U1024" s="51">
        <f t="shared" si="153"/>
        <v>0</v>
      </c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>
        <v>132247300</v>
      </c>
      <c r="AZ1024" s="51"/>
      <c r="BA1024" s="51">
        <f>VLOOKUP(B1024,[1]Hoja3!J$3:K$674,2,0)</f>
        <v>326867162</v>
      </c>
      <c r="BB1024" s="51"/>
      <c r="BC1024" s="52">
        <f t="shared" si="156"/>
        <v>459114462</v>
      </c>
      <c r="BD1024" s="51"/>
      <c r="BE1024" s="51"/>
      <c r="BF1024" s="51"/>
      <c r="BG1024" s="51"/>
      <c r="BH1024" s="51"/>
      <c r="BI1024" s="51"/>
      <c r="BJ1024" s="51"/>
      <c r="BK1024" s="51"/>
      <c r="BL1024" s="51"/>
      <c r="BM1024" s="51"/>
      <c r="BN1024" s="51">
        <v>26449460</v>
      </c>
      <c r="BO1024" s="51"/>
      <c r="BP1024" s="52">
        <v>485563922</v>
      </c>
      <c r="BQ1024" s="52"/>
      <c r="BR1024" s="52"/>
      <c r="BS1024" s="52"/>
      <c r="BT1024" s="52"/>
      <c r="BU1024" s="52"/>
      <c r="BV1024" s="52"/>
      <c r="BW1024" s="52"/>
      <c r="BX1024" s="52"/>
      <c r="BY1024" s="52"/>
      <c r="BZ1024" s="52"/>
      <c r="CA1024" s="52"/>
      <c r="CB1024" s="52"/>
      <c r="CC1024" s="52">
        <v>26449460</v>
      </c>
      <c r="CD1024" s="52"/>
      <c r="CE1024" s="52"/>
      <c r="CF1024" s="52"/>
      <c r="CG1024" s="52">
        <f t="shared" si="157"/>
        <v>512013382</v>
      </c>
      <c r="CH1024" s="52"/>
      <c r="CI1024" s="52"/>
      <c r="CJ1024" s="52"/>
      <c r="CK1024" s="52"/>
      <c r="CL1024" s="52"/>
      <c r="CM1024" s="52"/>
      <c r="CN1024" s="52"/>
      <c r="CO1024" s="52"/>
      <c r="CP1024" s="52"/>
      <c r="CQ1024" s="52">
        <v>26449460</v>
      </c>
      <c r="CR1024" s="52"/>
      <c r="CS1024" s="52">
        <f t="shared" si="154"/>
        <v>538462842</v>
      </c>
      <c r="CT1024" s="53">
        <v>211595680</v>
      </c>
      <c r="CU1024" s="53">
        <f t="shared" si="155"/>
        <v>326867162</v>
      </c>
      <c r="CV1024" s="54">
        <f t="shared" si="158"/>
        <v>538462842</v>
      </c>
      <c r="CW1024" s="55">
        <f t="shared" si="159"/>
        <v>0</v>
      </c>
      <c r="CX1024" s="16"/>
      <c r="CY1024" s="16"/>
      <c r="CZ1024" s="16"/>
    </row>
    <row r="1025" spans="1:108" ht="15" customHeight="1" x14ac:dyDescent="0.2">
      <c r="A1025" s="1">
        <v>8915007425</v>
      </c>
      <c r="B1025" s="1">
        <v>891500742</v>
      </c>
      <c r="C1025" s="9">
        <v>210719807</v>
      </c>
      <c r="D1025" s="10" t="s">
        <v>408</v>
      </c>
      <c r="E1025" s="46" t="s">
        <v>1430</v>
      </c>
      <c r="F1025" s="21"/>
      <c r="G1025" s="50"/>
      <c r="H1025" s="21"/>
      <c r="I1025" s="50"/>
      <c r="J1025" s="21"/>
      <c r="K1025" s="21"/>
      <c r="L1025" s="50"/>
      <c r="M1025" s="51"/>
      <c r="N1025" s="21"/>
      <c r="O1025" s="50"/>
      <c r="P1025" s="21"/>
      <c r="Q1025" s="50"/>
      <c r="R1025" s="21"/>
      <c r="S1025" s="21"/>
      <c r="T1025" s="50"/>
      <c r="U1025" s="51">
        <f t="shared" si="153"/>
        <v>0</v>
      </c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>
        <f>VLOOKUP(B1025,[1]Hoja3!J$3:K$674,2,0)</f>
        <v>412627379</v>
      </c>
      <c r="BB1025" s="51"/>
      <c r="BC1025" s="52">
        <f t="shared" si="156"/>
        <v>412627379</v>
      </c>
      <c r="BD1025" s="51"/>
      <c r="BE1025" s="51"/>
      <c r="BF1025" s="51"/>
      <c r="BG1025" s="51"/>
      <c r="BH1025" s="51"/>
      <c r="BI1025" s="51"/>
      <c r="BJ1025" s="51"/>
      <c r="BK1025" s="51"/>
      <c r="BL1025" s="51"/>
      <c r="BM1025" s="51"/>
      <c r="BN1025" s="51">
        <v>0</v>
      </c>
      <c r="BO1025" s="51"/>
      <c r="BP1025" s="52">
        <v>412627379</v>
      </c>
      <c r="BQ1025" s="52"/>
      <c r="BR1025" s="52"/>
      <c r="BS1025" s="52"/>
      <c r="BT1025" s="52"/>
      <c r="BU1025" s="52"/>
      <c r="BV1025" s="52"/>
      <c r="BW1025" s="52"/>
      <c r="BX1025" s="52"/>
      <c r="BY1025" s="52"/>
      <c r="BZ1025" s="52"/>
      <c r="CA1025" s="52"/>
      <c r="CB1025" s="52"/>
      <c r="CC1025" s="52">
        <v>0</v>
      </c>
      <c r="CD1025" s="52"/>
      <c r="CE1025" s="52"/>
      <c r="CF1025" s="52"/>
      <c r="CG1025" s="52">
        <f t="shared" si="157"/>
        <v>412627379</v>
      </c>
      <c r="CH1025" s="52"/>
      <c r="CI1025" s="52"/>
      <c r="CJ1025" s="52"/>
      <c r="CK1025" s="52"/>
      <c r="CL1025" s="52"/>
      <c r="CM1025" s="52"/>
      <c r="CN1025" s="52"/>
      <c r="CO1025" s="52"/>
      <c r="CP1025" s="52"/>
      <c r="CQ1025" s="52">
        <v>0</v>
      </c>
      <c r="CR1025" s="52">
        <v>23485615</v>
      </c>
      <c r="CS1025" s="52">
        <f t="shared" si="154"/>
        <v>436112994</v>
      </c>
      <c r="CT1025" s="53"/>
      <c r="CU1025" s="53">
        <f t="shared" si="155"/>
        <v>436112994</v>
      </c>
      <c r="CV1025" s="54">
        <f t="shared" si="158"/>
        <v>436112994</v>
      </c>
      <c r="CW1025" s="55">
        <f t="shared" si="159"/>
        <v>0</v>
      </c>
      <c r="CX1025" s="16"/>
      <c r="CY1025" s="16"/>
      <c r="CZ1025" s="16"/>
    </row>
    <row r="1026" spans="1:108" ht="15" customHeight="1" x14ac:dyDescent="0.2">
      <c r="A1026" s="1">
        <v>8000511671</v>
      </c>
      <c r="B1026" s="1">
        <v>800051167</v>
      </c>
      <c r="C1026" s="9">
        <v>210919809</v>
      </c>
      <c r="D1026" s="10" t="s">
        <v>409</v>
      </c>
      <c r="E1026" s="46" t="s">
        <v>1437</v>
      </c>
      <c r="F1026" s="21"/>
      <c r="G1026" s="50"/>
      <c r="H1026" s="21"/>
      <c r="I1026" s="50"/>
      <c r="J1026" s="21"/>
      <c r="K1026" s="21"/>
      <c r="L1026" s="50"/>
      <c r="M1026" s="51"/>
      <c r="N1026" s="21"/>
      <c r="O1026" s="50"/>
      <c r="P1026" s="21"/>
      <c r="Q1026" s="50"/>
      <c r="R1026" s="21"/>
      <c r="S1026" s="21"/>
      <c r="T1026" s="50"/>
      <c r="U1026" s="51">
        <f t="shared" si="153"/>
        <v>0</v>
      </c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>
        <f>VLOOKUP(B1026,[1]Hoja3!J$3:K$674,2,0)</f>
        <v>339158512</v>
      </c>
      <c r="BB1026" s="51"/>
      <c r="BC1026" s="52">
        <f t="shared" si="156"/>
        <v>339158512</v>
      </c>
      <c r="BD1026" s="51"/>
      <c r="BE1026" s="51"/>
      <c r="BF1026" s="51"/>
      <c r="BG1026" s="51"/>
      <c r="BH1026" s="51"/>
      <c r="BI1026" s="51"/>
      <c r="BJ1026" s="51"/>
      <c r="BK1026" s="51"/>
      <c r="BL1026" s="51"/>
      <c r="BM1026" s="51"/>
      <c r="BN1026" s="51">
        <v>0</v>
      </c>
      <c r="BO1026" s="51"/>
      <c r="BP1026" s="52">
        <v>339158512</v>
      </c>
      <c r="BQ1026" s="52"/>
      <c r="BR1026" s="52"/>
      <c r="BS1026" s="52"/>
      <c r="BT1026" s="52"/>
      <c r="BU1026" s="52"/>
      <c r="BV1026" s="52"/>
      <c r="BW1026" s="52"/>
      <c r="BX1026" s="52"/>
      <c r="BY1026" s="52"/>
      <c r="BZ1026" s="52"/>
      <c r="CA1026" s="52"/>
      <c r="CB1026" s="52"/>
      <c r="CC1026" s="52">
        <v>0</v>
      </c>
      <c r="CD1026" s="52"/>
      <c r="CE1026" s="52"/>
      <c r="CF1026" s="52"/>
      <c r="CG1026" s="52">
        <f t="shared" si="157"/>
        <v>339158512</v>
      </c>
      <c r="CH1026" s="52"/>
      <c r="CI1026" s="52"/>
      <c r="CJ1026" s="52"/>
      <c r="CK1026" s="52"/>
      <c r="CL1026" s="52"/>
      <c r="CM1026" s="52"/>
      <c r="CN1026" s="52"/>
      <c r="CO1026" s="52"/>
      <c r="CP1026" s="52"/>
      <c r="CQ1026" s="52">
        <v>0</v>
      </c>
      <c r="CR1026" s="52"/>
      <c r="CS1026" s="52">
        <f t="shared" si="154"/>
        <v>339158512</v>
      </c>
      <c r="CT1026" s="53"/>
      <c r="CU1026" s="53">
        <f t="shared" si="155"/>
        <v>339158512</v>
      </c>
      <c r="CV1026" s="54">
        <f t="shared" si="158"/>
        <v>339158512</v>
      </c>
      <c r="CW1026" s="55">
        <f t="shared" si="159"/>
        <v>0</v>
      </c>
      <c r="CX1026" s="16"/>
      <c r="CY1026" s="16"/>
      <c r="CZ1026" s="16"/>
    </row>
    <row r="1027" spans="1:108" ht="15" customHeight="1" x14ac:dyDescent="0.2">
      <c r="A1027" s="1">
        <v>8000284361</v>
      </c>
      <c r="B1027" s="1">
        <v>800028436</v>
      </c>
      <c r="C1027" s="9">
        <v>210815808</v>
      </c>
      <c r="D1027" s="10" t="s">
        <v>322</v>
      </c>
      <c r="E1027" s="46" t="s">
        <v>1354</v>
      </c>
      <c r="F1027" s="21"/>
      <c r="G1027" s="50"/>
      <c r="H1027" s="21"/>
      <c r="I1027" s="50"/>
      <c r="J1027" s="21"/>
      <c r="K1027" s="21"/>
      <c r="L1027" s="50"/>
      <c r="M1027" s="51"/>
      <c r="N1027" s="21"/>
      <c r="O1027" s="50"/>
      <c r="P1027" s="21"/>
      <c r="Q1027" s="50"/>
      <c r="R1027" s="21"/>
      <c r="S1027" s="21"/>
      <c r="T1027" s="50"/>
      <c r="U1027" s="51">
        <f t="shared" ref="U1027:U1090" si="163">SUM(M1027:T1027)</f>
        <v>0</v>
      </c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>
        <v>39691467</v>
      </c>
      <c r="AN1027" s="51">
        <f>SUBTOTAL(9,AC1027:AM1027)</f>
        <v>39691467</v>
      </c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>
        <v>20080355</v>
      </c>
      <c r="AZ1027" s="51"/>
      <c r="BA1027" s="51"/>
      <c r="BB1027" s="51"/>
      <c r="BC1027" s="52">
        <f t="shared" si="156"/>
        <v>59771822</v>
      </c>
      <c r="BD1027" s="51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>
        <v>4016071</v>
      </c>
      <c r="BO1027" s="51"/>
      <c r="BP1027" s="52">
        <v>63787893</v>
      </c>
      <c r="BQ1027" s="52"/>
      <c r="BR1027" s="52"/>
      <c r="BS1027" s="52"/>
      <c r="BT1027" s="52"/>
      <c r="BU1027" s="52"/>
      <c r="BV1027" s="52"/>
      <c r="BW1027" s="52"/>
      <c r="BX1027" s="52"/>
      <c r="BY1027" s="52"/>
      <c r="BZ1027" s="52"/>
      <c r="CA1027" s="52"/>
      <c r="CB1027" s="52"/>
      <c r="CC1027" s="52">
        <v>4016071</v>
      </c>
      <c r="CD1027" s="52"/>
      <c r="CE1027" s="52"/>
      <c r="CF1027" s="52"/>
      <c r="CG1027" s="52">
        <f t="shared" si="157"/>
        <v>67803964</v>
      </c>
      <c r="CH1027" s="52"/>
      <c r="CI1027" s="52"/>
      <c r="CJ1027" s="52"/>
      <c r="CK1027" s="52"/>
      <c r="CL1027" s="52"/>
      <c r="CM1027" s="52"/>
      <c r="CN1027" s="52"/>
      <c r="CO1027" s="52"/>
      <c r="CP1027" s="52"/>
      <c r="CQ1027" s="52">
        <v>4016071</v>
      </c>
      <c r="CR1027" s="52"/>
      <c r="CS1027" s="52">
        <f t="shared" ref="CS1027:CS1090" si="164">SUM(CG1027:CR1027)</f>
        <v>71820035</v>
      </c>
      <c r="CT1027" s="53">
        <v>32128568</v>
      </c>
      <c r="CU1027" s="53">
        <f t="shared" ref="CU1027:CU1090" si="165">+AM1027+BA1027-BB1027+BO1027+CE1027+CF1027+CR1027</f>
        <v>39691467</v>
      </c>
      <c r="CV1027" s="54">
        <f t="shared" si="158"/>
        <v>71820035</v>
      </c>
      <c r="CW1027" s="55">
        <f t="shared" si="159"/>
        <v>0</v>
      </c>
      <c r="CX1027" s="16"/>
      <c r="CY1027" s="8"/>
      <c r="CZ1027" s="8"/>
      <c r="DA1027" s="8"/>
      <c r="DB1027" s="8"/>
      <c r="DC1027" s="8"/>
      <c r="DD1027" s="8"/>
    </row>
    <row r="1028" spans="1:108" ht="15" customHeight="1" x14ac:dyDescent="0.2">
      <c r="A1028" s="1">
        <v>8000991876</v>
      </c>
      <c r="B1028" s="1">
        <v>800099187</v>
      </c>
      <c r="C1028" s="9">
        <v>211015810</v>
      </c>
      <c r="D1028" s="10" t="s">
        <v>323</v>
      </c>
      <c r="E1028" s="46" t="s">
        <v>1355</v>
      </c>
      <c r="F1028" s="21"/>
      <c r="G1028" s="50"/>
      <c r="H1028" s="21"/>
      <c r="I1028" s="50"/>
      <c r="J1028" s="21"/>
      <c r="K1028" s="21"/>
      <c r="L1028" s="50"/>
      <c r="M1028" s="51"/>
      <c r="N1028" s="21"/>
      <c r="O1028" s="50"/>
      <c r="P1028" s="21"/>
      <c r="Q1028" s="50"/>
      <c r="R1028" s="21"/>
      <c r="S1028" s="21"/>
      <c r="T1028" s="50"/>
      <c r="U1028" s="51">
        <f t="shared" si="163"/>
        <v>0</v>
      </c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>
        <f>VLOOKUP(B1028,[1]Hoja3!J$3:K$674,2,0)</f>
        <v>52747027</v>
      </c>
      <c r="BB1028" s="51"/>
      <c r="BC1028" s="52">
        <f t="shared" ref="BC1028:BC1091" si="166">SUM(AN1028:BA1028)-BB1028</f>
        <v>52747027</v>
      </c>
      <c r="BD1028" s="51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>
        <v>0</v>
      </c>
      <c r="BO1028" s="51"/>
      <c r="BP1028" s="52">
        <v>52747027</v>
      </c>
      <c r="BQ1028" s="52"/>
      <c r="BR1028" s="52"/>
      <c r="BS1028" s="52"/>
      <c r="BT1028" s="52"/>
      <c r="BU1028" s="52"/>
      <c r="BV1028" s="52"/>
      <c r="BW1028" s="52"/>
      <c r="BX1028" s="52"/>
      <c r="BY1028" s="52"/>
      <c r="BZ1028" s="52"/>
      <c r="CA1028" s="52"/>
      <c r="CB1028" s="52"/>
      <c r="CC1028" s="52">
        <v>0</v>
      </c>
      <c r="CD1028" s="52"/>
      <c r="CE1028" s="52"/>
      <c r="CF1028" s="52"/>
      <c r="CG1028" s="52">
        <f t="shared" ref="CG1028:CG1091" si="167">SUM(BP1028:CF1028)</f>
        <v>52747027</v>
      </c>
      <c r="CH1028" s="52"/>
      <c r="CI1028" s="52"/>
      <c r="CJ1028" s="52"/>
      <c r="CK1028" s="52"/>
      <c r="CL1028" s="52"/>
      <c r="CM1028" s="52"/>
      <c r="CN1028" s="52"/>
      <c r="CO1028" s="52"/>
      <c r="CP1028" s="52"/>
      <c r="CQ1028" s="52">
        <v>0</v>
      </c>
      <c r="CR1028" s="52"/>
      <c r="CS1028" s="52">
        <f t="shared" si="164"/>
        <v>52747027</v>
      </c>
      <c r="CT1028" s="53"/>
      <c r="CU1028" s="53">
        <f t="shared" si="165"/>
        <v>52747027</v>
      </c>
      <c r="CV1028" s="54">
        <f t="shared" ref="CV1028:CV1091" si="168">+CT1028+CU1028</f>
        <v>52747027</v>
      </c>
      <c r="CW1028" s="55">
        <f t="shared" ref="CW1028:CW1091" si="169">+CS1028-CV1028</f>
        <v>0</v>
      </c>
      <c r="CX1028" s="16"/>
      <c r="CY1028" s="8"/>
      <c r="CZ1028" s="8"/>
      <c r="DA1028" s="8"/>
      <c r="DB1028" s="8"/>
      <c r="DC1028" s="8"/>
      <c r="DD1028" s="8"/>
    </row>
    <row r="1029" spans="1:108" ht="15" customHeight="1" x14ac:dyDescent="0.2">
      <c r="A1029" s="1">
        <v>8002552139</v>
      </c>
      <c r="B1029" s="1">
        <v>800255213</v>
      </c>
      <c r="C1029" s="9">
        <v>211013810</v>
      </c>
      <c r="D1029" s="10" t="s">
        <v>212</v>
      </c>
      <c r="E1029" s="46" t="s">
        <v>1247</v>
      </c>
      <c r="F1029" s="21"/>
      <c r="G1029" s="50"/>
      <c r="H1029" s="21"/>
      <c r="I1029" s="50"/>
      <c r="J1029" s="21"/>
      <c r="K1029" s="21"/>
      <c r="L1029" s="50"/>
      <c r="M1029" s="51"/>
      <c r="N1029" s="21"/>
      <c r="O1029" s="50"/>
      <c r="P1029" s="21"/>
      <c r="Q1029" s="50"/>
      <c r="R1029" s="21"/>
      <c r="S1029" s="21"/>
      <c r="T1029" s="50"/>
      <c r="U1029" s="51">
        <f t="shared" si="163"/>
        <v>0</v>
      </c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>
        <v>58725304</v>
      </c>
      <c r="AN1029" s="51">
        <f>SUBTOTAL(9,AC1029:AM1029)</f>
        <v>58725304</v>
      </c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>
        <f>VLOOKUP(B1029,[1]Hoja3!J$3:K$674,2,0)</f>
        <v>183667868</v>
      </c>
      <c r="BB1029" s="51"/>
      <c r="BC1029" s="52">
        <f t="shared" si="166"/>
        <v>242393172</v>
      </c>
      <c r="BD1029" s="51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>
        <v>0</v>
      </c>
      <c r="BO1029" s="51"/>
      <c r="BP1029" s="52">
        <v>242393172</v>
      </c>
      <c r="BQ1029" s="52"/>
      <c r="BR1029" s="52"/>
      <c r="BS1029" s="52"/>
      <c r="BT1029" s="52"/>
      <c r="BU1029" s="52"/>
      <c r="BV1029" s="52"/>
      <c r="BW1029" s="52"/>
      <c r="BX1029" s="52"/>
      <c r="BY1029" s="52"/>
      <c r="BZ1029" s="52"/>
      <c r="CA1029" s="52"/>
      <c r="CB1029" s="52"/>
      <c r="CC1029" s="52">
        <v>453986015</v>
      </c>
      <c r="CD1029" s="52"/>
      <c r="CE1029" s="52"/>
      <c r="CF1029" s="52"/>
      <c r="CG1029" s="52">
        <f t="shared" si="167"/>
        <v>696379187</v>
      </c>
      <c r="CH1029" s="52"/>
      <c r="CI1029" s="52"/>
      <c r="CJ1029" s="52"/>
      <c r="CK1029" s="52"/>
      <c r="CL1029" s="52"/>
      <c r="CM1029" s="52"/>
      <c r="CN1029" s="52"/>
      <c r="CO1029" s="52"/>
      <c r="CP1029" s="52"/>
      <c r="CQ1029" s="52">
        <v>64855145</v>
      </c>
      <c r="CR1029" s="52"/>
      <c r="CS1029" s="52">
        <f t="shared" si="164"/>
        <v>761234332</v>
      </c>
      <c r="CT1029" s="53">
        <v>518841160</v>
      </c>
      <c r="CU1029" s="53">
        <f t="shared" si="165"/>
        <v>242393172</v>
      </c>
      <c r="CV1029" s="54">
        <f t="shared" si="168"/>
        <v>761234332</v>
      </c>
      <c r="CW1029" s="55">
        <f t="shared" si="169"/>
        <v>0</v>
      </c>
      <c r="CX1029" s="16"/>
      <c r="CY1029" s="8"/>
      <c r="CZ1029" s="8"/>
      <c r="DA1029" s="8"/>
      <c r="DB1029" s="8"/>
      <c r="DC1029" s="8"/>
      <c r="DD1029" s="8"/>
    </row>
    <row r="1030" spans="1:108" ht="15" customHeight="1" x14ac:dyDescent="0.2">
      <c r="A1030" s="1">
        <v>8909807817</v>
      </c>
      <c r="B1030" s="1">
        <v>890980781</v>
      </c>
      <c r="C1030" s="9">
        <v>210905809</v>
      </c>
      <c r="D1030" s="10" t="s">
        <v>147</v>
      </c>
      <c r="E1030" s="46" t="s">
        <v>1176</v>
      </c>
      <c r="F1030" s="21"/>
      <c r="G1030" s="50"/>
      <c r="H1030" s="21"/>
      <c r="I1030" s="50"/>
      <c r="J1030" s="21"/>
      <c r="K1030" s="21"/>
      <c r="L1030" s="50"/>
      <c r="M1030" s="51"/>
      <c r="N1030" s="21"/>
      <c r="O1030" s="50"/>
      <c r="P1030" s="21"/>
      <c r="Q1030" s="50"/>
      <c r="R1030" s="21"/>
      <c r="S1030" s="21"/>
      <c r="T1030" s="50"/>
      <c r="U1030" s="51">
        <f t="shared" si="163"/>
        <v>0</v>
      </c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>
        <v>40306580</v>
      </c>
      <c r="AN1030" s="51">
        <f>SUBTOTAL(9,AC1030:AM1030)</f>
        <v>40306580</v>
      </c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>
        <v>60841130</v>
      </c>
      <c r="AZ1030" s="51"/>
      <c r="BA1030" s="51">
        <f>VLOOKUP(B1030,[1]Hoja3!J$3:K$674,2,0)</f>
        <v>80758620</v>
      </c>
      <c r="BB1030" s="51"/>
      <c r="BC1030" s="52">
        <f t="shared" si="166"/>
        <v>181906330</v>
      </c>
      <c r="BD1030" s="51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>
        <v>12168226</v>
      </c>
      <c r="BO1030" s="51"/>
      <c r="BP1030" s="52">
        <v>194074556</v>
      </c>
      <c r="BQ1030" s="52"/>
      <c r="BR1030" s="52"/>
      <c r="BS1030" s="52"/>
      <c r="BT1030" s="52"/>
      <c r="BU1030" s="52"/>
      <c r="BV1030" s="52"/>
      <c r="BW1030" s="52"/>
      <c r="BX1030" s="52"/>
      <c r="BY1030" s="52"/>
      <c r="BZ1030" s="52"/>
      <c r="CA1030" s="52"/>
      <c r="CB1030" s="52"/>
      <c r="CC1030" s="52">
        <v>12168226</v>
      </c>
      <c r="CD1030" s="52"/>
      <c r="CE1030" s="52"/>
      <c r="CF1030" s="52"/>
      <c r="CG1030" s="52">
        <f t="shared" si="167"/>
        <v>206242782</v>
      </c>
      <c r="CH1030" s="52"/>
      <c r="CI1030" s="52"/>
      <c r="CJ1030" s="52"/>
      <c r="CK1030" s="52"/>
      <c r="CL1030" s="52"/>
      <c r="CM1030" s="52"/>
      <c r="CN1030" s="52"/>
      <c r="CO1030" s="52"/>
      <c r="CP1030" s="52"/>
      <c r="CQ1030" s="52">
        <v>12168226</v>
      </c>
      <c r="CR1030" s="52"/>
      <c r="CS1030" s="52">
        <f t="shared" si="164"/>
        <v>218411008</v>
      </c>
      <c r="CT1030" s="53">
        <v>97345808</v>
      </c>
      <c r="CU1030" s="53">
        <f t="shared" si="165"/>
        <v>121065200</v>
      </c>
      <c r="CV1030" s="54">
        <f t="shared" si="168"/>
        <v>218411008</v>
      </c>
      <c r="CW1030" s="55">
        <f t="shared" si="169"/>
        <v>0</v>
      </c>
      <c r="CX1030" s="16"/>
      <c r="CY1030" s="16"/>
      <c r="CZ1030" s="16"/>
    </row>
    <row r="1031" spans="1:108" ht="15" customHeight="1" x14ac:dyDescent="0.2">
      <c r="A1031" s="1">
        <v>8000996426</v>
      </c>
      <c r="B1031" s="1">
        <v>800099642</v>
      </c>
      <c r="C1031" s="9">
        <v>211415814</v>
      </c>
      <c r="D1031" s="10" t="s">
        <v>324</v>
      </c>
      <c r="E1031" s="46" t="s">
        <v>1354</v>
      </c>
      <c r="F1031" s="21"/>
      <c r="G1031" s="50"/>
      <c r="H1031" s="21"/>
      <c r="I1031" s="50"/>
      <c r="J1031" s="21"/>
      <c r="K1031" s="21"/>
      <c r="L1031" s="50"/>
      <c r="M1031" s="51"/>
      <c r="N1031" s="21"/>
      <c r="O1031" s="50"/>
      <c r="P1031" s="21"/>
      <c r="Q1031" s="50"/>
      <c r="R1031" s="21"/>
      <c r="S1031" s="21"/>
      <c r="T1031" s="50"/>
      <c r="U1031" s="51">
        <f t="shared" si="163"/>
        <v>0</v>
      </c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>
        <v>78060280</v>
      </c>
      <c r="AZ1031" s="51"/>
      <c r="BA1031" s="51">
        <f>VLOOKUP(B1031,[1]Hoja3!J$3:K$674,2,0)</f>
        <v>166919017</v>
      </c>
      <c r="BB1031" s="51"/>
      <c r="BC1031" s="52">
        <f t="shared" si="166"/>
        <v>244979297</v>
      </c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>
        <v>15612056</v>
      </c>
      <c r="BO1031" s="51"/>
      <c r="BP1031" s="52">
        <v>260591353</v>
      </c>
      <c r="BQ1031" s="52"/>
      <c r="BR1031" s="52"/>
      <c r="BS1031" s="52"/>
      <c r="BT1031" s="52"/>
      <c r="BU1031" s="52"/>
      <c r="BV1031" s="52"/>
      <c r="BW1031" s="52"/>
      <c r="BX1031" s="52"/>
      <c r="BY1031" s="52"/>
      <c r="BZ1031" s="52"/>
      <c r="CA1031" s="52"/>
      <c r="CB1031" s="52"/>
      <c r="CC1031" s="52">
        <v>15612056</v>
      </c>
      <c r="CD1031" s="52"/>
      <c r="CE1031" s="52"/>
      <c r="CF1031" s="52"/>
      <c r="CG1031" s="52">
        <f t="shared" si="167"/>
        <v>276203409</v>
      </c>
      <c r="CH1031" s="52"/>
      <c r="CI1031" s="52"/>
      <c r="CJ1031" s="52"/>
      <c r="CK1031" s="52"/>
      <c r="CL1031" s="52"/>
      <c r="CM1031" s="52"/>
      <c r="CN1031" s="52"/>
      <c r="CO1031" s="52"/>
      <c r="CP1031" s="52"/>
      <c r="CQ1031" s="52">
        <v>15612056</v>
      </c>
      <c r="CR1031" s="52"/>
      <c r="CS1031" s="52">
        <f t="shared" si="164"/>
        <v>291815465</v>
      </c>
      <c r="CT1031" s="53">
        <v>124896448</v>
      </c>
      <c r="CU1031" s="53">
        <f t="shared" si="165"/>
        <v>166919017</v>
      </c>
      <c r="CV1031" s="54">
        <f t="shared" si="168"/>
        <v>291815465</v>
      </c>
      <c r="CW1031" s="55">
        <f t="shared" si="169"/>
        <v>0</v>
      </c>
      <c r="CX1031" s="16"/>
      <c r="CY1031" s="8"/>
      <c r="CZ1031" s="8"/>
      <c r="DA1031" s="8"/>
      <c r="DB1031" s="8"/>
      <c r="DC1031" s="8"/>
      <c r="DD1031" s="8"/>
    </row>
    <row r="1032" spans="1:108" ht="15" customHeight="1" x14ac:dyDescent="0.2">
      <c r="A1032" s="1">
        <v>8000934391</v>
      </c>
      <c r="B1032" s="1">
        <v>800093439</v>
      </c>
      <c r="C1032" s="9">
        <v>211525815</v>
      </c>
      <c r="D1032" s="10" t="s">
        <v>551</v>
      </c>
      <c r="E1032" s="46" t="s">
        <v>1574</v>
      </c>
      <c r="F1032" s="21"/>
      <c r="G1032" s="50"/>
      <c r="H1032" s="21"/>
      <c r="I1032" s="50"/>
      <c r="J1032" s="21"/>
      <c r="K1032" s="21"/>
      <c r="L1032" s="50"/>
      <c r="M1032" s="51"/>
      <c r="N1032" s="21"/>
      <c r="O1032" s="50"/>
      <c r="P1032" s="21"/>
      <c r="Q1032" s="50"/>
      <c r="R1032" s="21"/>
      <c r="S1032" s="21"/>
      <c r="T1032" s="50"/>
      <c r="U1032" s="51">
        <f t="shared" si="163"/>
        <v>0</v>
      </c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>
        <v>174624199</v>
      </c>
      <c r="AN1032" s="51">
        <f>SUBTOTAL(9,AC1032:AM1032)</f>
        <v>174624199</v>
      </c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>
        <v>95453485</v>
      </c>
      <c r="AZ1032" s="51"/>
      <c r="BA1032" s="51"/>
      <c r="BB1032" s="51"/>
      <c r="BC1032" s="52">
        <f t="shared" si="166"/>
        <v>270077684</v>
      </c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>
        <v>19090697</v>
      </c>
      <c r="BO1032" s="51"/>
      <c r="BP1032" s="52">
        <v>289168381</v>
      </c>
      <c r="BQ1032" s="52"/>
      <c r="BR1032" s="52"/>
      <c r="BS1032" s="52"/>
      <c r="BT1032" s="52"/>
      <c r="BU1032" s="52"/>
      <c r="BV1032" s="52"/>
      <c r="BW1032" s="52"/>
      <c r="BX1032" s="52"/>
      <c r="BY1032" s="52"/>
      <c r="BZ1032" s="52"/>
      <c r="CA1032" s="52"/>
      <c r="CB1032" s="52"/>
      <c r="CC1032" s="52">
        <v>19090697</v>
      </c>
      <c r="CD1032" s="52"/>
      <c r="CE1032" s="52"/>
      <c r="CF1032" s="52"/>
      <c r="CG1032" s="52">
        <f t="shared" si="167"/>
        <v>308259078</v>
      </c>
      <c r="CH1032" s="52"/>
      <c r="CI1032" s="52"/>
      <c r="CJ1032" s="52"/>
      <c r="CK1032" s="52"/>
      <c r="CL1032" s="52"/>
      <c r="CM1032" s="52"/>
      <c r="CN1032" s="52"/>
      <c r="CO1032" s="52"/>
      <c r="CP1032" s="52"/>
      <c r="CQ1032" s="52">
        <v>19090697</v>
      </c>
      <c r="CR1032" s="52"/>
      <c r="CS1032" s="52">
        <f t="shared" si="164"/>
        <v>327349775</v>
      </c>
      <c r="CT1032" s="53">
        <v>152725576</v>
      </c>
      <c r="CU1032" s="53">
        <f t="shared" si="165"/>
        <v>174624199</v>
      </c>
      <c r="CV1032" s="54">
        <f t="shared" si="168"/>
        <v>327349775</v>
      </c>
      <c r="CW1032" s="55">
        <f t="shared" si="169"/>
        <v>0</v>
      </c>
      <c r="CX1032" s="16"/>
      <c r="CY1032" s="16"/>
      <c r="CZ1032" s="16"/>
    </row>
    <row r="1033" spans="1:108" ht="15" customHeight="1" x14ac:dyDescent="0.2">
      <c r="A1033" s="1">
        <v>8999994288</v>
      </c>
      <c r="B1033" s="1">
        <v>899999428</v>
      </c>
      <c r="C1033" s="9">
        <v>211725817</v>
      </c>
      <c r="D1033" s="10" t="s">
        <v>552</v>
      </c>
      <c r="E1033" s="46" t="s">
        <v>1575</v>
      </c>
      <c r="F1033" s="21"/>
      <c r="G1033" s="50"/>
      <c r="H1033" s="21"/>
      <c r="I1033" s="50"/>
      <c r="J1033" s="21"/>
      <c r="K1033" s="21"/>
      <c r="L1033" s="50"/>
      <c r="M1033" s="51"/>
      <c r="N1033" s="21"/>
      <c r="O1033" s="50"/>
      <c r="P1033" s="21"/>
      <c r="Q1033" s="50"/>
      <c r="R1033" s="21"/>
      <c r="S1033" s="21"/>
      <c r="T1033" s="50"/>
      <c r="U1033" s="51">
        <f t="shared" si="163"/>
        <v>0</v>
      </c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>
        <v>598352250</v>
      </c>
      <c r="AN1033" s="51">
        <f>SUBTOTAL(9,AC1033:AM1033)</f>
        <v>598352250</v>
      </c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>
        <v>182348785</v>
      </c>
      <c r="AZ1033" s="51"/>
      <c r="BA1033" s="51"/>
      <c r="BB1033" s="51"/>
      <c r="BC1033" s="52">
        <f t="shared" si="166"/>
        <v>780701035</v>
      </c>
      <c r="BD1033" s="51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>
        <v>36469757</v>
      </c>
      <c r="BO1033" s="51"/>
      <c r="BP1033" s="52">
        <v>817170792</v>
      </c>
      <c r="BQ1033" s="52"/>
      <c r="BR1033" s="52"/>
      <c r="BS1033" s="52"/>
      <c r="BT1033" s="52"/>
      <c r="BU1033" s="52"/>
      <c r="BV1033" s="52"/>
      <c r="BW1033" s="52"/>
      <c r="BX1033" s="52"/>
      <c r="BY1033" s="52"/>
      <c r="BZ1033" s="52"/>
      <c r="CA1033" s="52"/>
      <c r="CB1033" s="52"/>
      <c r="CC1033" s="52">
        <v>36469757</v>
      </c>
      <c r="CD1033" s="52"/>
      <c r="CE1033" s="52"/>
      <c r="CF1033" s="52"/>
      <c r="CG1033" s="52">
        <f t="shared" si="167"/>
        <v>853640549</v>
      </c>
      <c r="CH1033" s="52"/>
      <c r="CI1033" s="52"/>
      <c r="CJ1033" s="52"/>
      <c r="CK1033" s="52"/>
      <c r="CL1033" s="52"/>
      <c r="CM1033" s="52"/>
      <c r="CN1033" s="52"/>
      <c r="CO1033" s="52"/>
      <c r="CP1033" s="52"/>
      <c r="CQ1033" s="52">
        <v>36469757</v>
      </c>
      <c r="CR1033" s="52"/>
      <c r="CS1033" s="52">
        <f t="shared" si="164"/>
        <v>890110306</v>
      </c>
      <c r="CT1033" s="53">
        <v>291758056</v>
      </c>
      <c r="CU1033" s="53">
        <f t="shared" si="165"/>
        <v>598352250</v>
      </c>
      <c r="CV1033" s="54">
        <f t="shared" si="168"/>
        <v>890110306</v>
      </c>
      <c r="CW1033" s="55">
        <f t="shared" si="169"/>
        <v>0</v>
      </c>
      <c r="CX1033" s="16"/>
      <c r="CY1033" s="16"/>
      <c r="CZ1033" s="16"/>
    </row>
    <row r="1034" spans="1:108" ht="15" customHeight="1" x14ac:dyDescent="0.2">
      <c r="A1034" s="1">
        <v>8000622559</v>
      </c>
      <c r="B1034" s="1">
        <v>800062255</v>
      </c>
      <c r="C1034" s="9">
        <v>211615816</v>
      </c>
      <c r="D1034" s="10" t="s">
        <v>325</v>
      </c>
      <c r="E1034" s="46" t="s">
        <v>1356</v>
      </c>
      <c r="F1034" s="21"/>
      <c r="G1034" s="50"/>
      <c r="H1034" s="21"/>
      <c r="I1034" s="50"/>
      <c r="J1034" s="21"/>
      <c r="K1034" s="21"/>
      <c r="L1034" s="50"/>
      <c r="M1034" s="51"/>
      <c r="N1034" s="21"/>
      <c r="O1034" s="50"/>
      <c r="P1034" s="21"/>
      <c r="Q1034" s="50"/>
      <c r="R1034" s="21"/>
      <c r="S1034" s="21"/>
      <c r="T1034" s="50"/>
      <c r="U1034" s="51">
        <f t="shared" si="163"/>
        <v>0</v>
      </c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>
        <v>38725305</v>
      </c>
      <c r="AZ1034" s="51"/>
      <c r="BA1034" s="51">
        <f>VLOOKUP(B1034,[1]Hoja3!J$3:K$674,2,0)</f>
        <v>76433862</v>
      </c>
      <c r="BB1034" s="51"/>
      <c r="BC1034" s="52">
        <f t="shared" si="166"/>
        <v>115159167</v>
      </c>
      <c r="BD1034" s="51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>
        <v>7745061</v>
      </c>
      <c r="BO1034" s="51"/>
      <c r="BP1034" s="52">
        <v>122904228</v>
      </c>
      <c r="BQ1034" s="52"/>
      <c r="BR1034" s="52"/>
      <c r="BS1034" s="52"/>
      <c r="BT1034" s="52"/>
      <c r="BU1034" s="52"/>
      <c r="BV1034" s="52"/>
      <c r="BW1034" s="52"/>
      <c r="BX1034" s="52"/>
      <c r="BY1034" s="52"/>
      <c r="BZ1034" s="52"/>
      <c r="CA1034" s="52"/>
      <c r="CB1034" s="52"/>
      <c r="CC1034" s="52">
        <v>7745061</v>
      </c>
      <c r="CD1034" s="52"/>
      <c r="CE1034" s="52"/>
      <c r="CF1034" s="52"/>
      <c r="CG1034" s="52">
        <f t="shared" si="167"/>
        <v>130649289</v>
      </c>
      <c r="CH1034" s="52"/>
      <c r="CI1034" s="52"/>
      <c r="CJ1034" s="52"/>
      <c r="CK1034" s="52"/>
      <c r="CL1034" s="52"/>
      <c r="CM1034" s="52"/>
      <c r="CN1034" s="52"/>
      <c r="CO1034" s="52"/>
      <c r="CP1034" s="52"/>
      <c r="CQ1034" s="52">
        <v>7745061</v>
      </c>
      <c r="CR1034" s="52"/>
      <c r="CS1034" s="52">
        <f t="shared" si="164"/>
        <v>138394350</v>
      </c>
      <c r="CT1034" s="53">
        <v>61960488</v>
      </c>
      <c r="CU1034" s="53">
        <f t="shared" si="165"/>
        <v>76433862</v>
      </c>
      <c r="CV1034" s="54">
        <f t="shared" si="168"/>
        <v>138394350</v>
      </c>
      <c r="CW1034" s="55">
        <f t="shared" si="169"/>
        <v>0</v>
      </c>
      <c r="CX1034" s="16"/>
      <c r="CY1034" s="8"/>
      <c r="CZ1034" s="8"/>
      <c r="DA1034" s="8"/>
      <c r="DB1034" s="8"/>
      <c r="DC1034" s="8"/>
      <c r="DD1034" s="8"/>
    </row>
    <row r="1035" spans="1:108" ht="15" customHeight="1" x14ac:dyDescent="0.2">
      <c r="A1035" s="1">
        <v>8909813675</v>
      </c>
      <c r="B1035" s="1">
        <v>890981367</v>
      </c>
      <c r="C1035" s="9">
        <v>211905819</v>
      </c>
      <c r="D1035" s="10" t="s">
        <v>148</v>
      </c>
      <c r="E1035" s="46" t="s">
        <v>1177</v>
      </c>
      <c r="F1035" s="21"/>
      <c r="G1035" s="50"/>
      <c r="H1035" s="21"/>
      <c r="I1035" s="50"/>
      <c r="J1035" s="21"/>
      <c r="K1035" s="21"/>
      <c r="L1035" s="50"/>
      <c r="M1035" s="51"/>
      <c r="N1035" s="21"/>
      <c r="O1035" s="50"/>
      <c r="P1035" s="21"/>
      <c r="Q1035" s="50"/>
      <c r="R1035" s="21"/>
      <c r="S1035" s="21"/>
      <c r="T1035" s="50"/>
      <c r="U1035" s="51">
        <f t="shared" si="163"/>
        <v>0</v>
      </c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>
        <v>47427420</v>
      </c>
      <c r="AZ1035" s="51"/>
      <c r="BA1035" s="51">
        <f>VLOOKUP(B1035,[1]Hoja3!J$3:K$674,2,0)</f>
        <v>95982757</v>
      </c>
      <c r="BB1035" s="51"/>
      <c r="BC1035" s="52">
        <f t="shared" si="166"/>
        <v>143410177</v>
      </c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>
        <v>9485484</v>
      </c>
      <c r="BO1035" s="51"/>
      <c r="BP1035" s="52">
        <v>152895661</v>
      </c>
      <c r="BQ1035" s="52"/>
      <c r="BR1035" s="52"/>
      <c r="BS1035" s="52"/>
      <c r="BT1035" s="52"/>
      <c r="BU1035" s="52"/>
      <c r="BV1035" s="52"/>
      <c r="BW1035" s="52"/>
      <c r="BX1035" s="52"/>
      <c r="BY1035" s="52"/>
      <c r="BZ1035" s="52"/>
      <c r="CA1035" s="52"/>
      <c r="CB1035" s="52"/>
      <c r="CC1035" s="52">
        <v>9485484</v>
      </c>
      <c r="CD1035" s="52"/>
      <c r="CE1035" s="52"/>
      <c r="CF1035" s="52"/>
      <c r="CG1035" s="52">
        <f t="shared" si="167"/>
        <v>162381145</v>
      </c>
      <c r="CH1035" s="52"/>
      <c r="CI1035" s="52"/>
      <c r="CJ1035" s="52"/>
      <c r="CK1035" s="52"/>
      <c r="CL1035" s="52"/>
      <c r="CM1035" s="52"/>
      <c r="CN1035" s="52"/>
      <c r="CO1035" s="52"/>
      <c r="CP1035" s="52"/>
      <c r="CQ1035" s="52">
        <v>9485484</v>
      </c>
      <c r="CR1035" s="52"/>
      <c r="CS1035" s="52">
        <f t="shared" si="164"/>
        <v>171866629</v>
      </c>
      <c r="CT1035" s="53">
        <v>75883872</v>
      </c>
      <c r="CU1035" s="53">
        <f t="shared" si="165"/>
        <v>95982757</v>
      </c>
      <c r="CV1035" s="54">
        <f t="shared" si="168"/>
        <v>171866629</v>
      </c>
      <c r="CW1035" s="55">
        <f t="shared" si="169"/>
        <v>0</v>
      </c>
      <c r="CX1035" s="16"/>
      <c r="CY1035" s="16"/>
      <c r="CZ1035" s="16"/>
    </row>
    <row r="1036" spans="1:108" ht="15" customHeight="1" x14ac:dyDescent="0.2">
      <c r="A1036" s="1">
        <v>8905013620</v>
      </c>
      <c r="B1036" s="1">
        <v>890501362</v>
      </c>
      <c r="C1036" s="9">
        <v>212054820</v>
      </c>
      <c r="D1036" s="10" t="s">
        <v>787</v>
      </c>
      <c r="E1036" s="46" t="s">
        <v>1803</v>
      </c>
      <c r="F1036" s="21"/>
      <c r="G1036" s="50"/>
      <c r="H1036" s="21"/>
      <c r="I1036" s="50"/>
      <c r="J1036" s="21"/>
      <c r="K1036" s="21"/>
      <c r="L1036" s="50"/>
      <c r="M1036" s="51"/>
      <c r="N1036" s="21"/>
      <c r="O1036" s="50"/>
      <c r="P1036" s="21"/>
      <c r="Q1036" s="50"/>
      <c r="R1036" s="21"/>
      <c r="S1036" s="21"/>
      <c r="T1036" s="50"/>
      <c r="U1036" s="51">
        <f t="shared" si="163"/>
        <v>0</v>
      </c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>
        <v>131794520</v>
      </c>
      <c r="AZ1036" s="51"/>
      <c r="BA1036" s="51">
        <f>VLOOKUP(B1036,[1]Hoja3!J$3:K$674,2,0)</f>
        <v>273082180</v>
      </c>
      <c r="BB1036" s="51"/>
      <c r="BC1036" s="52">
        <f t="shared" si="166"/>
        <v>404876700</v>
      </c>
      <c r="BD1036" s="51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>
        <v>26358904</v>
      </c>
      <c r="BO1036" s="51"/>
      <c r="BP1036" s="52">
        <v>431235604</v>
      </c>
      <c r="BQ1036" s="52"/>
      <c r="BR1036" s="52"/>
      <c r="BS1036" s="52"/>
      <c r="BT1036" s="52"/>
      <c r="BU1036" s="52"/>
      <c r="BV1036" s="52"/>
      <c r="BW1036" s="52"/>
      <c r="BX1036" s="52"/>
      <c r="BY1036" s="52"/>
      <c r="BZ1036" s="52"/>
      <c r="CA1036" s="52"/>
      <c r="CB1036" s="52"/>
      <c r="CC1036" s="52">
        <v>26358904</v>
      </c>
      <c r="CD1036" s="52"/>
      <c r="CE1036" s="52"/>
      <c r="CF1036" s="52"/>
      <c r="CG1036" s="52">
        <f t="shared" si="167"/>
        <v>457594508</v>
      </c>
      <c r="CH1036" s="52"/>
      <c r="CI1036" s="52"/>
      <c r="CJ1036" s="52"/>
      <c r="CK1036" s="52"/>
      <c r="CL1036" s="52"/>
      <c r="CM1036" s="52"/>
      <c r="CN1036" s="52"/>
      <c r="CO1036" s="52"/>
      <c r="CP1036" s="52"/>
      <c r="CQ1036" s="52">
        <v>26358904</v>
      </c>
      <c r="CR1036" s="52"/>
      <c r="CS1036" s="52">
        <f t="shared" si="164"/>
        <v>483953412</v>
      </c>
      <c r="CT1036" s="53">
        <v>210871232</v>
      </c>
      <c r="CU1036" s="53">
        <f t="shared" si="165"/>
        <v>273082180</v>
      </c>
      <c r="CV1036" s="54">
        <f t="shared" si="168"/>
        <v>483953412</v>
      </c>
      <c r="CW1036" s="55">
        <f t="shared" si="169"/>
        <v>0</v>
      </c>
      <c r="CX1036" s="16"/>
      <c r="CY1036" s="8"/>
      <c r="CZ1036" s="8"/>
      <c r="DA1036" s="8"/>
      <c r="DB1036" s="8"/>
      <c r="DC1036" s="8"/>
      <c r="DD1036" s="8"/>
    </row>
    <row r="1037" spans="1:108" ht="15" customHeight="1" x14ac:dyDescent="0.2">
      <c r="A1037" s="1">
        <v>8922008397</v>
      </c>
      <c r="B1037" s="1">
        <v>892200839</v>
      </c>
      <c r="C1037" s="9">
        <v>212070820</v>
      </c>
      <c r="D1037" s="10" t="s">
        <v>910</v>
      </c>
      <c r="E1037" s="46" t="s">
        <v>1926</v>
      </c>
      <c r="F1037" s="21"/>
      <c r="G1037" s="50"/>
      <c r="H1037" s="21"/>
      <c r="I1037" s="50"/>
      <c r="J1037" s="21"/>
      <c r="K1037" s="21"/>
      <c r="L1037" s="50"/>
      <c r="M1037" s="51"/>
      <c r="N1037" s="21"/>
      <c r="O1037" s="50"/>
      <c r="P1037" s="21"/>
      <c r="Q1037" s="50"/>
      <c r="R1037" s="21"/>
      <c r="S1037" s="21"/>
      <c r="T1037" s="50"/>
      <c r="U1037" s="51">
        <f t="shared" si="163"/>
        <v>0</v>
      </c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>
        <v>24755854</v>
      </c>
      <c r="AN1037" s="51">
        <f>SUBTOTAL(9,AC1037:AM1037)</f>
        <v>24755854</v>
      </c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>
        <v>232946955</v>
      </c>
      <c r="AZ1037" s="51"/>
      <c r="BA1037" s="51">
        <f>VLOOKUP(B1037,[1]Hoja3!J$3:K$674,2,0)</f>
        <v>460456134</v>
      </c>
      <c r="BB1037" s="51"/>
      <c r="BC1037" s="52">
        <f t="shared" si="166"/>
        <v>718158943</v>
      </c>
      <c r="BD1037" s="51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>
        <v>46589391</v>
      </c>
      <c r="BO1037" s="51"/>
      <c r="BP1037" s="52">
        <v>764748334</v>
      </c>
      <c r="BQ1037" s="52"/>
      <c r="BR1037" s="52"/>
      <c r="BS1037" s="52"/>
      <c r="BT1037" s="52"/>
      <c r="BU1037" s="52"/>
      <c r="BV1037" s="52"/>
      <c r="BW1037" s="52"/>
      <c r="BX1037" s="52"/>
      <c r="BY1037" s="52"/>
      <c r="BZ1037" s="52"/>
      <c r="CA1037" s="52"/>
      <c r="CB1037" s="52"/>
      <c r="CC1037" s="52">
        <v>46589391</v>
      </c>
      <c r="CD1037" s="52"/>
      <c r="CE1037" s="52"/>
      <c r="CF1037" s="52"/>
      <c r="CG1037" s="52">
        <f t="shared" si="167"/>
        <v>811337725</v>
      </c>
      <c r="CH1037" s="52"/>
      <c r="CI1037" s="52"/>
      <c r="CJ1037" s="52"/>
      <c r="CK1037" s="52"/>
      <c r="CL1037" s="52"/>
      <c r="CM1037" s="52"/>
      <c r="CN1037" s="52"/>
      <c r="CO1037" s="52"/>
      <c r="CP1037" s="52"/>
      <c r="CQ1037" s="52">
        <v>46589391</v>
      </c>
      <c r="CR1037" s="52"/>
      <c r="CS1037" s="52">
        <f t="shared" si="164"/>
        <v>857927116</v>
      </c>
      <c r="CT1037" s="53">
        <v>372715128</v>
      </c>
      <c r="CU1037" s="53">
        <f t="shared" si="165"/>
        <v>485211988</v>
      </c>
      <c r="CV1037" s="54">
        <f t="shared" si="168"/>
        <v>857927116</v>
      </c>
      <c r="CW1037" s="55">
        <f t="shared" si="169"/>
        <v>0</v>
      </c>
      <c r="CX1037" s="16"/>
      <c r="CY1037" s="16"/>
      <c r="CZ1037" s="16"/>
    </row>
    <row r="1038" spans="1:108" ht="15" customHeight="1" x14ac:dyDescent="0.2">
      <c r="A1038" s="1">
        <v>8001007514</v>
      </c>
      <c r="B1038" s="1">
        <v>800100751</v>
      </c>
      <c r="C1038" s="9">
        <v>212370823</v>
      </c>
      <c r="D1038" s="10" t="s">
        <v>911</v>
      </c>
      <c r="E1038" s="46" t="s">
        <v>1927</v>
      </c>
      <c r="F1038" s="21"/>
      <c r="G1038" s="50"/>
      <c r="H1038" s="21"/>
      <c r="I1038" s="50"/>
      <c r="J1038" s="21"/>
      <c r="K1038" s="21"/>
      <c r="L1038" s="50"/>
      <c r="M1038" s="51"/>
      <c r="N1038" s="21"/>
      <c r="O1038" s="50"/>
      <c r="P1038" s="21"/>
      <c r="Q1038" s="50"/>
      <c r="R1038" s="21"/>
      <c r="S1038" s="21"/>
      <c r="T1038" s="50"/>
      <c r="U1038" s="51">
        <f t="shared" si="163"/>
        <v>0</v>
      </c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>
        <v>44568000</v>
      </c>
      <c r="AN1038" s="51">
        <f>SUBTOTAL(9,AC1038:AM1038)</f>
        <v>44568000</v>
      </c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>
        <f>VLOOKUP(B1038,[1]Hoja3!J$3:K$674,2,0)</f>
        <v>355870404</v>
      </c>
      <c r="BB1038" s="51"/>
      <c r="BC1038" s="52">
        <f t="shared" si="166"/>
        <v>400438404</v>
      </c>
      <c r="BD1038" s="51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>
        <v>38252845</v>
      </c>
      <c r="BO1038" s="51"/>
      <c r="BP1038" s="52">
        <v>438691249</v>
      </c>
      <c r="BQ1038" s="52"/>
      <c r="BR1038" s="52"/>
      <c r="BS1038" s="52"/>
      <c r="BT1038" s="52"/>
      <c r="BU1038" s="52"/>
      <c r="BV1038" s="52"/>
      <c r="BW1038" s="52"/>
      <c r="BX1038" s="52"/>
      <c r="BY1038" s="52"/>
      <c r="BZ1038" s="52"/>
      <c r="CA1038" s="52"/>
      <c r="CB1038" s="52"/>
      <c r="CC1038" s="52">
        <v>38252845</v>
      </c>
      <c r="CD1038" s="52">
        <v>191264225</v>
      </c>
      <c r="CE1038" s="52"/>
      <c r="CF1038" s="52"/>
      <c r="CG1038" s="52">
        <f t="shared" si="167"/>
        <v>668208319</v>
      </c>
      <c r="CH1038" s="52"/>
      <c r="CI1038" s="52"/>
      <c r="CJ1038" s="52"/>
      <c r="CK1038" s="52"/>
      <c r="CL1038" s="52"/>
      <c r="CM1038" s="52"/>
      <c r="CN1038" s="52"/>
      <c r="CO1038" s="52"/>
      <c r="CP1038" s="52"/>
      <c r="CQ1038" s="52">
        <v>38252845</v>
      </c>
      <c r="CR1038" s="52"/>
      <c r="CS1038" s="52">
        <f t="shared" si="164"/>
        <v>706461164</v>
      </c>
      <c r="CT1038" s="53">
        <v>306022760</v>
      </c>
      <c r="CU1038" s="53">
        <f t="shared" si="165"/>
        <v>400438404</v>
      </c>
      <c r="CV1038" s="54">
        <f t="shared" si="168"/>
        <v>706461164</v>
      </c>
      <c r="CW1038" s="55">
        <f t="shared" si="169"/>
        <v>0</v>
      </c>
      <c r="CX1038" s="16"/>
      <c r="CY1038" s="16"/>
      <c r="CZ1038" s="16"/>
    </row>
    <row r="1039" spans="1:108" ht="15" customHeight="1" x14ac:dyDescent="0.2">
      <c r="A1039" s="1">
        <v>8902055818</v>
      </c>
      <c r="B1039" s="1">
        <v>890205581</v>
      </c>
      <c r="C1039" s="9">
        <v>212068820</v>
      </c>
      <c r="D1039" s="10" t="s">
        <v>885</v>
      </c>
      <c r="E1039" s="46" t="s">
        <v>1898</v>
      </c>
      <c r="F1039" s="21"/>
      <c r="G1039" s="50"/>
      <c r="H1039" s="21"/>
      <c r="I1039" s="50"/>
      <c r="J1039" s="21"/>
      <c r="K1039" s="21"/>
      <c r="L1039" s="50"/>
      <c r="M1039" s="51"/>
      <c r="N1039" s="21"/>
      <c r="O1039" s="50"/>
      <c r="P1039" s="21"/>
      <c r="Q1039" s="50"/>
      <c r="R1039" s="21"/>
      <c r="S1039" s="21"/>
      <c r="T1039" s="50"/>
      <c r="U1039" s="51">
        <f t="shared" si="163"/>
        <v>0</v>
      </c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>
        <v>78581023</v>
      </c>
      <c r="AN1039" s="51">
        <f>SUBTOTAL(9,AC1039:AM1039)</f>
        <v>78581023</v>
      </c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>
        <v>36955715</v>
      </c>
      <c r="AZ1039" s="51"/>
      <c r="BA1039" s="51">
        <f>VLOOKUP(B1039,[1]Hoja3!J$3:K$674,2,0)</f>
        <v>27277882</v>
      </c>
      <c r="BB1039" s="51"/>
      <c r="BC1039" s="52">
        <f t="shared" si="166"/>
        <v>142814620</v>
      </c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>
        <v>7391143</v>
      </c>
      <c r="BO1039" s="51"/>
      <c r="BP1039" s="52">
        <v>150205763</v>
      </c>
      <c r="BQ1039" s="52"/>
      <c r="BR1039" s="52"/>
      <c r="BS1039" s="52"/>
      <c r="BT1039" s="52"/>
      <c r="BU1039" s="52"/>
      <c r="BV1039" s="52"/>
      <c r="BW1039" s="52"/>
      <c r="BX1039" s="52"/>
      <c r="BY1039" s="52"/>
      <c r="BZ1039" s="52"/>
      <c r="CA1039" s="52"/>
      <c r="CB1039" s="52"/>
      <c r="CC1039" s="52">
        <v>7391143</v>
      </c>
      <c r="CD1039" s="52"/>
      <c r="CE1039" s="52"/>
      <c r="CF1039" s="52"/>
      <c r="CG1039" s="52">
        <f t="shared" si="167"/>
        <v>157596906</v>
      </c>
      <c r="CH1039" s="52"/>
      <c r="CI1039" s="52"/>
      <c r="CJ1039" s="52"/>
      <c r="CK1039" s="52"/>
      <c r="CL1039" s="52"/>
      <c r="CM1039" s="52"/>
      <c r="CN1039" s="52"/>
      <c r="CO1039" s="52"/>
      <c r="CP1039" s="52"/>
      <c r="CQ1039" s="52">
        <v>7391143</v>
      </c>
      <c r="CR1039" s="52"/>
      <c r="CS1039" s="52">
        <f t="shared" si="164"/>
        <v>164988049</v>
      </c>
      <c r="CT1039" s="53">
        <v>59129144</v>
      </c>
      <c r="CU1039" s="53">
        <f t="shared" si="165"/>
        <v>105858905</v>
      </c>
      <c r="CV1039" s="54">
        <f t="shared" si="168"/>
        <v>164988049</v>
      </c>
      <c r="CW1039" s="55">
        <f t="shared" si="169"/>
        <v>0</v>
      </c>
      <c r="CX1039" s="16"/>
      <c r="CY1039" s="16"/>
      <c r="CZ1039" s="16"/>
    </row>
    <row r="1040" spans="1:108" ht="15" customHeight="1" x14ac:dyDescent="0.2">
      <c r="A1040" s="1">
        <v>8918566251</v>
      </c>
      <c r="B1040" s="1">
        <v>891856625</v>
      </c>
      <c r="C1040" s="9">
        <v>212015820</v>
      </c>
      <c r="D1040" s="10" t="s">
        <v>326</v>
      </c>
      <c r="E1040" s="46" t="s">
        <v>1357</v>
      </c>
      <c r="F1040" s="21"/>
      <c r="G1040" s="50"/>
      <c r="H1040" s="21"/>
      <c r="I1040" s="50"/>
      <c r="J1040" s="21"/>
      <c r="K1040" s="21"/>
      <c r="L1040" s="50"/>
      <c r="M1040" s="51"/>
      <c r="N1040" s="21"/>
      <c r="O1040" s="50"/>
      <c r="P1040" s="21"/>
      <c r="Q1040" s="50"/>
      <c r="R1040" s="21"/>
      <c r="S1040" s="21"/>
      <c r="T1040" s="50"/>
      <c r="U1040" s="51">
        <f t="shared" si="163"/>
        <v>0</v>
      </c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>
        <v>27093615</v>
      </c>
      <c r="AZ1040" s="51"/>
      <c r="BA1040" s="51">
        <f>VLOOKUP(B1040,[1]Hoja3!J$3:K$674,2,0)</f>
        <v>56720917</v>
      </c>
      <c r="BB1040" s="51"/>
      <c r="BC1040" s="52">
        <f t="shared" si="166"/>
        <v>83814532</v>
      </c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>
        <v>5418723</v>
      </c>
      <c r="BO1040" s="51"/>
      <c r="BP1040" s="52">
        <v>89233255</v>
      </c>
      <c r="BQ1040" s="52"/>
      <c r="BR1040" s="52"/>
      <c r="BS1040" s="52"/>
      <c r="BT1040" s="52"/>
      <c r="BU1040" s="52"/>
      <c r="BV1040" s="52"/>
      <c r="BW1040" s="52"/>
      <c r="BX1040" s="52"/>
      <c r="BY1040" s="52"/>
      <c r="BZ1040" s="52"/>
      <c r="CA1040" s="52"/>
      <c r="CB1040" s="52"/>
      <c r="CC1040" s="52">
        <v>5418723</v>
      </c>
      <c r="CD1040" s="52"/>
      <c r="CE1040" s="52"/>
      <c r="CF1040" s="52"/>
      <c r="CG1040" s="52">
        <f t="shared" si="167"/>
        <v>94651978</v>
      </c>
      <c r="CH1040" s="52"/>
      <c r="CI1040" s="52"/>
      <c r="CJ1040" s="52"/>
      <c r="CK1040" s="52"/>
      <c r="CL1040" s="52"/>
      <c r="CM1040" s="52"/>
      <c r="CN1040" s="52"/>
      <c r="CO1040" s="52"/>
      <c r="CP1040" s="52"/>
      <c r="CQ1040" s="52">
        <v>5418723</v>
      </c>
      <c r="CR1040" s="52"/>
      <c r="CS1040" s="52">
        <f t="shared" si="164"/>
        <v>100070701</v>
      </c>
      <c r="CT1040" s="53">
        <v>43349784</v>
      </c>
      <c r="CU1040" s="53">
        <f t="shared" si="165"/>
        <v>56720917</v>
      </c>
      <c r="CV1040" s="54">
        <f t="shared" si="168"/>
        <v>100070701</v>
      </c>
      <c r="CW1040" s="55">
        <f t="shared" si="169"/>
        <v>0</v>
      </c>
      <c r="CX1040" s="16"/>
      <c r="CY1040" s="8"/>
      <c r="CZ1040" s="8"/>
      <c r="DA1040" s="8"/>
      <c r="DB1040" s="8"/>
      <c r="DC1040" s="8"/>
      <c r="DD1040" s="8"/>
    </row>
    <row r="1041" spans="1:108" ht="15" customHeight="1" x14ac:dyDescent="0.2">
      <c r="A1041" s="1">
        <v>8000727158</v>
      </c>
      <c r="B1041" s="1">
        <v>800072715</v>
      </c>
      <c r="C1041" s="9">
        <v>212325823</v>
      </c>
      <c r="D1041" s="10" t="s">
        <v>553</v>
      </c>
      <c r="E1041" s="46" t="s">
        <v>1576</v>
      </c>
      <c r="F1041" s="21"/>
      <c r="G1041" s="50"/>
      <c r="H1041" s="21"/>
      <c r="I1041" s="50"/>
      <c r="J1041" s="21"/>
      <c r="K1041" s="21"/>
      <c r="L1041" s="50"/>
      <c r="M1041" s="51"/>
      <c r="N1041" s="21"/>
      <c r="O1041" s="50"/>
      <c r="P1041" s="21"/>
      <c r="Q1041" s="50"/>
      <c r="R1041" s="21"/>
      <c r="S1041" s="21"/>
      <c r="T1041" s="50"/>
      <c r="U1041" s="51">
        <f t="shared" si="163"/>
        <v>0</v>
      </c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>
        <v>65911408</v>
      </c>
      <c r="AN1041" s="51">
        <f>SUBTOTAL(9,AC1041:AM1041)</f>
        <v>65911408</v>
      </c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2">
        <f t="shared" si="166"/>
        <v>65911408</v>
      </c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>
        <v>0</v>
      </c>
      <c r="BO1041" s="51"/>
      <c r="BP1041" s="52">
        <v>65911408</v>
      </c>
      <c r="BQ1041" s="52"/>
      <c r="BR1041" s="52"/>
      <c r="BS1041" s="52"/>
      <c r="BT1041" s="52"/>
      <c r="BU1041" s="52"/>
      <c r="BV1041" s="52"/>
      <c r="BW1041" s="52"/>
      <c r="BX1041" s="52"/>
      <c r="BY1041" s="52"/>
      <c r="BZ1041" s="52"/>
      <c r="CA1041" s="52"/>
      <c r="CB1041" s="52"/>
      <c r="CC1041" s="52">
        <v>0</v>
      </c>
      <c r="CD1041" s="52"/>
      <c r="CE1041" s="52"/>
      <c r="CF1041" s="52"/>
      <c r="CG1041" s="52">
        <f t="shared" si="167"/>
        <v>65911408</v>
      </c>
      <c r="CH1041" s="52"/>
      <c r="CI1041" s="52"/>
      <c r="CJ1041" s="52"/>
      <c r="CK1041" s="52"/>
      <c r="CL1041" s="52"/>
      <c r="CM1041" s="52"/>
      <c r="CN1041" s="52"/>
      <c r="CO1041" s="52"/>
      <c r="CP1041" s="52"/>
      <c r="CQ1041" s="52">
        <v>0</v>
      </c>
      <c r="CR1041" s="52"/>
      <c r="CS1041" s="52">
        <f t="shared" si="164"/>
        <v>65911408</v>
      </c>
      <c r="CT1041" s="53"/>
      <c r="CU1041" s="53">
        <f t="shared" si="165"/>
        <v>65911408</v>
      </c>
      <c r="CV1041" s="54">
        <f t="shared" si="168"/>
        <v>65911408</v>
      </c>
      <c r="CW1041" s="55">
        <f t="shared" si="169"/>
        <v>0</v>
      </c>
      <c r="CX1041" s="16"/>
      <c r="CY1041" s="16"/>
      <c r="CZ1041" s="16"/>
    </row>
    <row r="1042" spans="1:108" ht="15" customHeight="1" x14ac:dyDescent="0.2">
      <c r="A1042" s="1">
        <v>8915008874</v>
      </c>
      <c r="B1042" s="1">
        <v>891500887</v>
      </c>
      <c r="C1042" s="9">
        <v>212119821</v>
      </c>
      <c r="D1042" s="10" t="s">
        <v>410</v>
      </c>
      <c r="E1042" s="46" t="s">
        <v>1438</v>
      </c>
      <c r="F1042" s="21"/>
      <c r="G1042" s="50"/>
      <c r="H1042" s="21"/>
      <c r="I1042" s="50"/>
      <c r="J1042" s="21"/>
      <c r="K1042" s="21"/>
      <c r="L1042" s="50"/>
      <c r="M1042" s="51"/>
      <c r="N1042" s="21"/>
      <c r="O1042" s="50"/>
      <c r="P1042" s="21"/>
      <c r="Q1042" s="50"/>
      <c r="R1042" s="21"/>
      <c r="S1042" s="21"/>
      <c r="T1042" s="50"/>
      <c r="U1042" s="51">
        <f t="shared" si="163"/>
        <v>0</v>
      </c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>
        <v>330107665</v>
      </c>
      <c r="AZ1042" s="51"/>
      <c r="BA1042" s="51"/>
      <c r="BB1042" s="51"/>
      <c r="BC1042" s="52">
        <f t="shared" si="166"/>
        <v>330107665</v>
      </c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>
        <v>66021533</v>
      </c>
      <c r="BO1042" s="51"/>
      <c r="BP1042" s="52">
        <v>396129198</v>
      </c>
      <c r="BQ1042" s="52"/>
      <c r="BR1042" s="52"/>
      <c r="BS1042" s="52"/>
      <c r="BT1042" s="52"/>
      <c r="BU1042" s="52"/>
      <c r="BV1042" s="52"/>
      <c r="BW1042" s="52"/>
      <c r="BX1042" s="52"/>
      <c r="BY1042" s="52"/>
      <c r="BZ1042" s="52"/>
      <c r="CA1042" s="52"/>
      <c r="CB1042" s="52"/>
      <c r="CC1042" s="52">
        <v>66021533</v>
      </c>
      <c r="CD1042" s="52"/>
      <c r="CE1042" s="52"/>
      <c r="CF1042" s="52"/>
      <c r="CG1042" s="52">
        <f t="shared" si="167"/>
        <v>462150731</v>
      </c>
      <c r="CH1042" s="52"/>
      <c r="CI1042" s="52"/>
      <c r="CJ1042" s="52"/>
      <c r="CK1042" s="52"/>
      <c r="CL1042" s="52"/>
      <c r="CM1042" s="52"/>
      <c r="CN1042" s="52"/>
      <c r="CO1042" s="52"/>
      <c r="CP1042" s="52"/>
      <c r="CQ1042" s="52">
        <v>66021533</v>
      </c>
      <c r="CR1042" s="52"/>
      <c r="CS1042" s="52">
        <f t="shared" si="164"/>
        <v>528172264</v>
      </c>
      <c r="CT1042" s="53">
        <v>528172264</v>
      </c>
      <c r="CU1042" s="53">
        <f t="shared" si="165"/>
        <v>0</v>
      </c>
      <c r="CV1042" s="54">
        <f t="shared" si="168"/>
        <v>528172264</v>
      </c>
      <c r="CW1042" s="55">
        <f t="shared" si="169"/>
        <v>0</v>
      </c>
      <c r="CX1042" s="16"/>
      <c r="CY1042" s="8"/>
      <c r="CZ1042" s="8"/>
      <c r="DA1042" s="8"/>
      <c r="DB1042" s="8"/>
      <c r="DC1042" s="8"/>
      <c r="DD1042" s="8"/>
    </row>
    <row r="1043" spans="1:108" ht="15" customHeight="1" x14ac:dyDescent="0.2">
      <c r="A1043" s="1">
        <v>8919009854</v>
      </c>
      <c r="B1043" s="1">
        <v>891900985</v>
      </c>
      <c r="C1043" s="9">
        <v>212376823</v>
      </c>
      <c r="D1043" s="10" t="s">
        <v>940</v>
      </c>
      <c r="E1043" s="46" t="s">
        <v>2000</v>
      </c>
      <c r="F1043" s="21"/>
      <c r="G1043" s="50"/>
      <c r="H1043" s="21"/>
      <c r="I1043" s="50"/>
      <c r="J1043" s="21"/>
      <c r="K1043" s="21"/>
      <c r="L1043" s="50"/>
      <c r="M1043" s="51"/>
      <c r="N1043" s="21"/>
      <c r="O1043" s="50"/>
      <c r="P1043" s="21"/>
      <c r="Q1043" s="50"/>
      <c r="R1043" s="21"/>
      <c r="S1043" s="21"/>
      <c r="T1043" s="50"/>
      <c r="U1043" s="51">
        <f t="shared" si="163"/>
        <v>0</v>
      </c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>
        <v>116189260</v>
      </c>
      <c r="AZ1043" s="51"/>
      <c r="BA1043" s="51">
        <f>VLOOKUP(B1043,[1]Hoja3!J$3:K$674,2,0)</f>
        <v>192125232</v>
      </c>
      <c r="BB1043" s="51"/>
      <c r="BC1043" s="52">
        <f t="shared" si="166"/>
        <v>308314492</v>
      </c>
      <c r="BD1043" s="51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>
        <v>23237852</v>
      </c>
      <c r="BO1043" s="51"/>
      <c r="BP1043" s="52">
        <v>331552344</v>
      </c>
      <c r="BQ1043" s="52"/>
      <c r="BR1043" s="52"/>
      <c r="BS1043" s="52"/>
      <c r="BT1043" s="52"/>
      <c r="BU1043" s="52"/>
      <c r="BV1043" s="52"/>
      <c r="BW1043" s="52"/>
      <c r="BX1043" s="52"/>
      <c r="BY1043" s="52"/>
      <c r="BZ1043" s="52"/>
      <c r="CA1043" s="52"/>
      <c r="CB1043" s="52"/>
      <c r="CC1043" s="52">
        <v>23237852</v>
      </c>
      <c r="CD1043" s="52"/>
      <c r="CE1043" s="52"/>
      <c r="CF1043" s="52"/>
      <c r="CG1043" s="52">
        <f t="shared" si="167"/>
        <v>354790196</v>
      </c>
      <c r="CH1043" s="52"/>
      <c r="CI1043" s="52"/>
      <c r="CJ1043" s="52"/>
      <c r="CK1043" s="52"/>
      <c r="CL1043" s="52"/>
      <c r="CM1043" s="52"/>
      <c r="CN1043" s="52"/>
      <c r="CO1043" s="52"/>
      <c r="CP1043" s="52"/>
      <c r="CQ1043" s="52">
        <v>23237852</v>
      </c>
      <c r="CR1043" s="52"/>
      <c r="CS1043" s="52">
        <f t="shared" si="164"/>
        <v>378028048</v>
      </c>
      <c r="CT1043" s="53">
        <v>185902816</v>
      </c>
      <c r="CU1043" s="53">
        <f t="shared" si="165"/>
        <v>192125232</v>
      </c>
      <c r="CV1043" s="54">
        <f t="shared" si="168"/>
        <v>378028048</v>
      </c>
      <c r="CW1043" s="55">
        <f t="shared" si="169"/>
        <v>0</v>
      </c>
      <c r="CX1043" s="16"/>
      <c r="CY1043" s="16"/>
      <c r="CZ1043" s="16"/>
    </row>
    <row r="1044" spans="1:108" ht="15" customHeight="1" x14ac:dyDescent="0.2">
      <c r="A1044" s="1">
        <v>8000126350</v>
      </c>
      <c r="B1044" s="1">
        <v>800012635</v>
      </c>
      <c r="C1044" s="9">
        <v>212215822</v>
      </c>
      <c r="D1044" s="10" t="s">
        <v>327</v>
      </c>
      <c r="E1044" s="46" t="s">
        <v>1358</v>
      </c>
      <c r="F1044" s="21"/>
      <c r="G1044" s="50"/>
      <c r="H1044" s="21"/>
      <c r="I1044" s="50"/>
      <c r="J1044" s="21"/>
      <c r="K1044" s="21"/>
      <c r="L1044" s="50"/>
      <c r="M1044" s="51"/>
      <c r="N1044" s="21"/>
      <c r="O1044" s="50"/>
      <c r="P1044" s="21"/>
      <c r="Q1044" s="50"/>
      <c r="R1044" s="21"/>
      <c r="S1044" s="21"/>
      <c r="T1044" s="50"/>
      <c r="U1044" s="51">
        <f t="shared" si="163"/>
        <v>0</v>
      </c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>
        <v>53572525</v>
      </c>
      <c r="AZ1044" s="51"/>
      <c r="BA1044" s="51">
        <f>VLOOKUP(B1044,[1]Hoja3!J$3:K$674,2,0)</f>
        <v>81689489</v>
      </c>
      <c r="BB1044" s="51"/>
      <c r="BC1044" s="52">
        <f t="shared" si="166"/>
        <v>135262014</v>
      </c>
      <c r="BD1044" s="51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>
        <v>10714505</v>
      </c>
      <c r="BO1044" s="51"/>
      <c r="BP1044" s="52">
        <v>145976519</v>
      </c>
      <c r="BQ1044" s="52"/>
      <c r="BR1044" s="52"/>
      <c r="BS1044" s="52"/>
      <c r="BT1044" s="52"/>
      <c r="BU1044" s="52"/>
      <c r="BV1044" s="52"/>
      <c r="BW1044" s="52"/>
      <c r="BX1044" s="52"/>
      <c r="BY1044" s="52"/>
      <c r="BZ1044" s="52"/>
      <c r="CA1044" s="52"/>
      <c r="CB1044" s="52"/>
      <c r="CC1044" s="52">
        <v>10714505</v>
      </c>
      <c r="CD1044" s="52"/>
      <c r="CE1044" s="52"/>
      <c r="CF1044" s="52"/>
      <c r="CG1044" s="52">
        <f t="shared" si="167"/>
        <v>156691024</v>
      </c>
      <c r="CH1044" s="52"/>
      <c r="CI1044" s="52"/>
      <c r="CJ1044" s="52"/>
      <c r="CK1044" s="52"/>
      <c r="CL1044" s="52"/>
      <c r="CM1044" s="52"/>
      <c r="CN1044" s="52"/>
      <c r="CO1044" s="52"/>
      <c r="CP1044" s="52"/>
      <c r="CQ1044" s="52">
        <v>10714505</v>
      </c>
      <c r="CR1044" s="52"/>
      <c r="CS1044" s="52">
        <f t="shared" si="164"/>
        <v>167405529</v>
      </c>
      <c r="CT1044" s="53">
        <v>85716040</v>
      </c>
      <c r="CU1044" s="53">
        <f t="shared" si="165"/>
        <v>81689489</v>
      </c>
      <c r="CV1044" s="54">
        <f t="shared" si="168"/>
        <v>167405529</v>
      </c>
      <c r="CW1044" s="55">
        <f t="shared" si="169"/>
        <v>0</v>
      </c>
      <c r="CX1044" s="16"/>
      <c r="CY1044" s="8"/>
      <c r="CZ1044" s="8"/>
      <c r="DA1044" s="8"/>
      <c r="DB1044" s="8"/>
      <c r="DC1044" s="8"/>
      <c r="DD1044" s="8"/>
    </row>
    <row r="1045" spans="1:108" ht="15" customHeight="1" x14ac:dyDescent="0.2">
      <c r="A1045" s="1">
        <v>8000318745</v>
      </c>
      <c r="B1045" s="1">
        <v>800031874</v>
      </c>
      <c r="C1045" s="9">
        <v>212419824</v>
      </c>
      <c r="D1045" s="10" t="s">
        <v>411</v>
      </c>
      <c r="E1045" s="46" t="s">
        <v>1439</v>
      </c>
      <c r="F1045" s="21"/>
      <c r="G1045" s="50"/>
      <c r="H1045" s="21"/>
      <c r="I1045" s="50"/>
      <c r="J1045" s="21"/>
      <c r="K1045" s="21"/>
      <c r="L1045" s="50"/>
      <c r="M1045" s="51"/>
      <c r="N1045" s="21"/>
      <c r="O1045" s="50"/>
      <c r="P1045" s="21"/>
      <c r="Q1045" s="50"/>
      <c r="R1045" s="21"/>
      <c r="S1045" s="21"/>
      <c r="T1045" s="50"/>
      <c r="U1045" s="51">
        <f t="shared" si="163"/>
        <v>0</v>
      </c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>
        <v>119618536</v>
      </c>
      <c r="AN1045" s="51">
        <f>SUBTOTAL(9,AC1045:AM1045)</f>
        <v>119618536</v>
      </c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>
        <v>194306355</v>
      </c>
      <c r="AZ1045" s="51"/>
      <c r="BA1045" s="51">
        <f>VLOOKUP(B1045,[1]Hoja3!J$3:K$674,2,0)</f>
        <v>40490014</v>
      </c>
      <c r="BB1045" s="51"/>
      <c r="BC1045" s="52">
        <f t="shared" si="166"/>
        <v>354414905</v>
      </c>
      <c r="BD1045" s="51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>
        <v>38861271</v>
      </c>
      <c r="BO1045" s="51"/>
      <c r="BP1045" s="52">
        <v>393276176</v>
      </c>
      <c r="BQ1045" s="52"/>
      <c r="BR1045" s="52"/>
      <c r="BS1045" s="52"/>
      <c r="BT1045" s="52"/>
      <c r="BU1045" s="52"/>
      <c r="BV1045" s="52"/>
      <c r="BW1045" s="52"/>
      <c r="BX1045" s="52"/>
      <c r="BY1045" s="52"/>
      <c r="BZ1045" s="52"/>
      <c r="CA1045" s="52"/>
      <c r="CB1045" s="52"/>
      <c r="CC1045" s="52">
        <v>38861271</v>
      </c>
      <c r="CD1045" s="52"/>
      <c r="CE1045" s="52"/>
      <c r="CF1045" s="52"/>
      <c r="CG1045" s="52">
        <f t="shared" si="167"/>
        <v>432137447</v>
      </c>
      <c r="CH1045" s="52"/>
      <c r="CI1045" s="52"/>
      <c r="CJ1045" s="52"/>
      <c r="CK1045" s="52"/>
      <c r="CL1045" s="52"/>
      <c r="CM1045" s="52"/>
      <c r="CN1045" s="52"/>
      <c r="CO1045" s="52"/>
      <c r="CP1045" s="52"/>
      <c r="CQ1045" s="52">
        <v>38861271</v>
      </c>
      <c r="CR1045" s="52"/>
      <c r="CS1045" s="52">
        <f t="shared" si="164"/>
        <v>470998718</v>
      </c>
      <c r="CT1045" s="53">
        <v>310890168</v>
      </c>
      <c r="CU1045" s="53">
        <f t="shared" si="165"/>
        <v>160108550</v>
      </c>
      <c r="CV1045" s="54">
        <f t="shared" si="168"/>
        <v>470998718</v>
      </c>
      <c r="CW1045" s="55">
        <f t="shared" si="169"/>
        <v>0</v>
      </c>
      <c r="CX1045" s="16"/>
      <c r="CY1045" s="16"/>
      <c r="CZ1045" s="16"/>
    </row>
    <row r="1046" spans="1:108" ht="15" customHeight="1" x14ac:dyDescent="0.2">
      <c r="A1046" s="1">
        <v>8918578616</v>
      </c>
      <c r="B1046" s="1">
        <v>891857861</v>
      </c>
      <c r="C1046" s="9">
        <v>213085430</v>
      </c>
      <c r="D1046" s="10" t="s">
        <v>972</v>
      </c>
      <c r="E1046" s="46" t="s">
        <v>2031</v>
      </c>
      <c r="F1046" s="21"/>
      <c r="G1046" s="50"/>
      <c r="H1046" s="21"/>
      <c r="I1046" s="50"/>
      <c r="J1046" s="21"/>
      <c r="K1046" s="21"/>
      <c r="L1046" s="50"/>
      <c r="M1046" s="51"/>
      <c r="N1046" s="21"/>
      <c r="O1046" s="50"/>
      <c r="P1046" s="21"/>
      <c r="Q1046" s="50"/>
      <c r="R1046" s="21"/>
      <c r="S1046" s="21"/>
      <c r="T1046" s="50"/>
      <c r="U1046" s="51">
        <f t="shared" si="163"/>
        <v>0</v>
      </c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>
        <v>231368957</v>
      </c>
      <c r="AN1046" s="51">
        <f>SUBTOTAL(9,AC1046:AM1046)</f>
        <v>231368957</v>
      </c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>
        <v>119462670</v>
      </c>
      <c r="AZ1046" s="51"/>
      <c r="BA1046" s="51">
        <f>VLOOKUP(B1046,[1]Hoja3!J$3:K$674,2,0)</f>
        <v>13510889</v>
      </c>
      <c r="BB1046" s="51"/>
      <c r="BC1046" s="52">
        <f t="shared" si="166"/>
        <v>364342516</v>
      </c>
      <c r="BD1046" s="51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>
        <v>23892534</v>
      </c>
      <c r="BO1046" s="51"/>
      <c r="BP1046" s="52">
        <v>388235050</v>
      </c>
      <c r="BQ1046" s="52"/>
      <c r="BR1046" s="52"/>
      <c r="BS1046" s="52"/>
      <c r="BT1046" s="52"/>
      <c r="BU1046" s="52"/>
      <c r="BV1046" s="52"/>
      <c r="BW1046" s="52"/>
      <c r="BX1046" s="52"/>
      <c r="BY1046" s="52"/>
      <c r="BZ1046" s="52"/>
      <c r="CA1046" s="52"/>
      <c r="CB1046" s="52"/>
      <c r="CC1046" s="52">
        <v>23892534</v>
      </c>
      <c r="CD1046" s="52"/>
      <c r="CE1046" s="52"/>
      <c r="CF1046" s="52"/>
      <c r="CG1046" s="52">
        <f t="shared" si="167"/>
        <v>412127584</v>
      </c>
      <c r="CH1046" s="52"/>
      <c r="CI1046" s="52"/>
      <c r="CJ1046" s="52"/>
      <c r="CK1046" s="52"/>
      <c r="CL1046" s="52"/>
      <c r="CM1046" s="52"/>
      <c r="CN1046" s="52"/>
      <c r="CO1046" s="52"/>
      <c r="CP1046" s="52"/>
      <c r="CQ1046" s="52">
        <v>23892534</v>
      </c>
      <c r="CR1046" s="52"/>
      <c r="CS1046" s="52">
        <f t="shared" si="164"/>
        <v>436020118</v>
      </c>
      <c r="CT1046" s="53">
        <v>191140272</v>
      </c>
      <c r="CU1046" s="53">
        <f t="shared" si="165"/>
        <v>244879846</v>
      </c>
      <c r="CV1046" s="54">
        <f t="shared" si="168"/>
        <v>436020118</v>
      </c>
      <c r="CW1046" s="55">
        <f t="shared" si="169"/>
        <v>0</v>
      </c>
      <c r="CX1046" s="16"/>
      <c r="CY1046" s="16"/>
      <c r="CZ1046" s="16"/>
    </row>
    <row r="1047" spans="1:108" ht="15" customHeight="1" x14ac:dyDescent="0.2">
      <c r="A1047" s="1">
        <v>8919007643</v>
      </c>
      <c r="B1047" s="1">
        <v>891900764</v>
      </c>
      <c r="C1047" s="9">
        <v>212876828</v>
      </c>
      <c r="D1047" s="10" t="s">
        <v>941</v>
      </c>
      <c r="E1047" s="46" t="s">
        <v>2001</v>
      </c>
      <c r="F1047" s="21"/>
      <c r="G1047" s="50"/>
      <c r="H1047" s="21"/>
      <c r="I1047" s="50"/>
      <c r="J1047" s="21"/>
      <c r="K1047" s="21"/>
      <c r="L1047" s="50"/>
      <c r="M1047" s="51"/>
      <c r="N1047" s="21"/>
      <c r="O1047" s="50"/>
      <c r="P1047" s="21"/>
      <c r="Q1047" s="50"/>
      <c r="R1047" s="21"/>
      <c r="S1047" s="21"/>
      <c r="T1047" s="50"/>
      <c r="U1047" s="51">
        <f t="shared" si="163"/>
        <v>0</v>
      </c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>
        <v>118875605</v>
      </c>
      <c r="AZ1047" s="51"/>
      <c r="BA1047" s="51">
        <f>VLOOKUP(B1047,[1]Hoja3!J$3:K$674,2,0)</f>
        <v>251301432</v>
      </c>
      <c r="BB1047" s="51"/>
      <c r="BC1047" s="52">
        <f t="shared" si="166"/>
        <v>370177037</v>
      </c>
      <c r="BD1047" s="51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>
        <v>23775121</v>
      </c>
      <c r="BO1047" s="51"/>
      <c r="BP1047" s="52">
        <v>393952158</v>
      </c>
      <c r="BQ1047" s="52"/>
      <c r="BR1047" s="52"/>
      <c r="BS1047" s="52"/>
      <c r="BT1047" s="52"/>
      <c r="BU1047" s="52"/>
      <c r="BV1047" s="52"/>
      <c r="BW1047" s="52"/>
      <c r="BX1047" s="52"/>
      <c r="BY1047" s="52"/>
      <c r="BZ1047" s="52"/>
      <c r="CA1047" s="52"/>
      <c r="CB1047" s="52"/>
      <c r="CC1047" s="52">
        <v>23775121</v>
      </c>
      <c r="CD1047" s="52"/>
      <c r="CE1047" s="52"/>
      <c r="CF1047" s="52"/>
      <c r="CG1047" s="52">
        <f t="shared" si="167"/>
        <v>417727279</v>
      </c>
      <c r="CH1047" s="52"/>
      <c r="CI1047" s="52"/>
      <c r="CJ1047" s="52"/>
      <c r="CK1047" s="52"/>
      <c r="CL1047" s="52"/>
      <c r="CM1047" s="52"/>
      <c r="CN1047" s="52"/>
      <c r="CO1047" s="52"/>
      <c r="CP1047" s="52"/>
      <c r="CQ1047" s="52">
        <v>23775121</v>
      </c>
      <c r="CR1047" s="52"/>
      <c r="CS1047" s="52">
        <f t="shared" si="164"/>
        <v>441502400</v>
      </c>
      <c r="CT1047" s="53">
        <v>190200968</v>
      </c>
      <c r="CU1047" s="53">
        <f t="shared" si="165"/>
        <v>251301432</v>
      </c>
      <c r="CV1047" s="54">
        <f t="shared" si="168"/>
        <v>441502400</v>
      </c>
      <c r="CW1047" s="55">
        <f t="shared" si="169"/>
        <v>0</v>
      </c>
      <c r="CX1047" s="16"/>
      <c r="CY1047" s="16"/>
      <c r="CZ1047" s="16"/>
    </row>
    <row r="1048" spans="1:108" ht="15" customHeight="1" x14ac:dyDescent="0.2">
      <c r="A1048" s="1">
        <v>8000535523</v>
      </c>
      <c r="B1048" s="1">
        <v>800053552</v>
      </c>
      <c r="C1048" s="9">
        <v>213208832</v>
      </c>
      <c r="D1048" s="10" t="s">
        <v>179</v>
      </c>
      <c r="E1048" s="46" t="s">
        <v>1208</v>
      </c>
      <c r="F1048" s="21"/>
      <c r="G1048" s="50"/>
      <c r="H1048" s="21"/>
      <c r="I1048" s="50"/>
      <c r="J1048" s="21"/>
      <c r="K1048" s="21"/>
      <c r="L1048" s="50"/>
      <c r="M1048" s="51"/>
      <c r="N1048" s="21"/>
      <c r="O1048" s="50"/>
      <c r="P1048" s="21"/>
      <c r="Q1048" s="50"/>
      <c r="R1048" s="21"/>
      <c r="S1048" s="21"/>
      <c r="T1048" s="50"/>
      <c r="U1048" s="51">
        <f t="shared" si="163"/>
        <v>0</v>
      </c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>
        <v>134110063</v>
      </c>
      <c r="AN1048" s="51">
        <f>SUBTOTAL(9,AC1048:AM1048)</f>
        <v>134110063</v>
      </c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>
        <v>70521760</v>
      </c>
      <c r="AZ1048" s="51"/>
      <c r="BA1048" s="51">
        <f>VLOOKUP(B1048,[1]Hoja3!J$3:K$674,2,0)</f>
        <v>40913866</v>
      </c>
      <c r="BB1048" s="51"/>
      <c r="BC1048" s="52">
        <f t="shared" si="166"/>
        <v>245545689</v>
      </c>
      <c r="BD1048" s="51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>
        <v>14104352</v>
      </c>
      <c r="BO1048" s="51"/>
      <c r="BP1048" s="52">
        <v>259650041</v>
      </c>
      <c r="BQ1048" s="52"/>
      <c r="BR1048" s="52"/>
      <c r="BS1048" s="52"/>
      <c r="BT1048" s="52"/>
      <c r="BU1048" s="52"/>
      <c r="BV1048" s="52"/>
      <c r="BW1048" s="52"/>
      <c r="BX1048" s="52"/>
      <c r="BY1048" s="52"/>
      <c r="BZ1048" s="52"/>
      <c r="CA1048" s="52"/>
      <c r="CB1048" s="52"/>
      <c r="CC1048" s="52">
        <v>14104352</v>
      </c>
      <c r="CD1048" s="52"/>
      <c r="CE1048" s="52"/>
      <c r="CF1048" s="52"/>
      <c r="CG1048" s="52">
        <f t="shared" si="167"/>
        <v>273754393</v>
      </c>
      <c r="CH1048" s="52"/>
      <c r="CI1048" s="52"/>
      <c r="CJ1048" s="52"/>
      <c r="CK1048" s="52"/>
      <c r="CL1048" s="52"/>
      <c r="CM1048" s="52"/>
      <c r="CN1048" s="52"/>
      <c r="CO1048" s="52"/>
      <c r="CP1048" s="52"/>
      <c r="CQ1048" s="52">
        <v>14104352</v>
      </c>
      <c r="CR1048" s="52"/>
      <c r="CS1048" s="52">
        <f t="shared" si="164"/>
        <v>287858745</v>
      </c>
      <c r="CT1048" s="53">
        <v>112834816</v>
      </c>
      <c r="CU1048" s="53">
        <f t="shared" si="165"/>
        <v>175023929</v>
      </c>
      <c r="CV1048" s="54">
        <f t="shared" si="168"/>
        <v>287858745</v>
      </c>
      <c r="CW1048" s="55">
        <f t="shared" si="169"/>
        <v>0</v>
      </c>
      <c r="CX1048" s="16"/>
      <c r="CY1048" s="16"/>
      <c r="CZ1048" s="16"/>
    </row>
    <row r="1049" spans="1:108" ht="15" customHeight="1" x14ac:dyDescent="0.2">
      <c r="A1049" s="1">
        <v>9002201472</v>
      </c>
      <c r="B1049" s="1">
        <v>900220147</v>
      </c>
      <c r="C1049" s="9">
        <v>923271490</v>
      </c>
      <c r="D1049" s="10" t="s">
        <v>1001</v>
      </c>
      <c r="E1049" s="46" t="s">
        <v>2058</v>
      </c>
      <c r="F1049" s="21"/>
      <c r="G1049" s="50"/>
      <c r="H1049" s="21"/>
      <c r="I1049" s="50"/>
      <c r="J1049" s="21"/>
      <c r="K1049" s="21"/>
      <c r="L1049" s="50"/>
      <c r="M1049" s="51"/>
      <c r="N1049" s="21"/>
      <c r="O1049" s="50"/>
      <c r="P1049" s="21"/>
      <c r="Q1049" s="50"/>
      <c r="R1049" s="21"/>
      <c r="S1049" s="21"/>
      <c r="T1049" s="50"/>
      <c r="U1049" s="51">
        <f t="shared" si="163"/>
        <v>0</v>
      </c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>
        <v>622857365</v>
      </c>
      <c r="AZ1049" s="51"/>
      <c r="BA1049" s="51"/>
      <c r="BB1049" s="51"/>
      <c r="BC1049" s="52">
        <f t="shared" si="166"/>
        <v>622857365</v>
      </c>
      <c r="BD1049" s="51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>
        <v>124571473</v>
      </c>
      <c r="BO1049" s="51"/>
      <c r="BP1049" s="52">
        <v>747428838</v>
      </c>
      <c r="BQ1049" s="52"/>
      <c r="BR1049" s="52"/>
      <c r="BS1049" s="52"/>
      <c r="BT1049" s="52"/>
      <c r="BU1049" s="52"/>
      <c r="BV1049" s="52"/>
      <c r="BW1049" s="52"/>
      <c r="BX1049" s="52"/>
      <c r="BY1049" s="52"/>
      <c r="BZ1049" s="52"/>
      <c r="CA1049" s="52"/>
      <c r="CB1049" s="52"/>
      <c r="CC1049" s="52">
        <v>124571473</v>
      </c>
      <c r="CD1049" s="52"/>
      <c r="CE1049" s="52">
        <v>771145475</v>
      </c>
      <c r="CF1049" s="52"/>
      <c r="CG1049" s="52">
        <f t="shared" si="167"/>
        <v>1643145786</v>
      </c>
      <c r="CH1049" s="52"/>
      <c r="CI1049" s="52"/>
      <c r="CJ1049" s="52"/>
      <c r="CK1049" s="52"/>
      <c r="CL1049" s="52"/>
      <c r="CM1049" s="52"/>
      <c r="CN1049" s="52"/>
      <c r="CO1049" s="52"/>
      <c r="CP1049" s="52"/>
      <c r="CQ1049" s="52">
        <v>124571473</v>
      </c>
      <c r="CR1049" s="52"/>
      <c r="CS1049" s="52">
        <f t="shared" si="164"/>
        <v>1767717259</v>
      </c>
      <c r="CT1049" s="53">
        <v>996571784</v>
      </c>
      <c r="CU1049" s="53">
        <f t="shared" si="165"/>
        <v>771145475</v>
      </c>
      <c r="CV1049" s="54">
        <f t="shared" si="168"/>
        <v>1767717259</v>
      </c>
      <c r="CW1049" s="55">
        <f t="shared" si="169"/>
        <v>0</v>
      </c>
      <c r="CX1049" s="16"/>
      <c r="CY1049" s="16"/>
      <c r="CZ1049" s="16"/>
    </row>
    <row r="1050" spans="1:108" ht="15" customHeight="1" x14ac:dyDescent="0.2">
      <c r="A1050" s="1">
        <v>8919002721</v>
      </c>
      <c r="B1050" s="1">
        <v>891900272</v>
      </c>
      <c r="C1050" s="9">
        <v>213476834</v>
      </c>
      <c r="D1050" s="10" t="s">
        <v>2187</v>
      </c>
      <c r="E1050" s="47" t="s">
        <v>1064</v>
      </c>
      <c r="F1050" s="21"/>
      <c r="G1050" s="50"/>
      <c r="H1050" s="21"/>
      <c r="I1050" s="50">
        <f>4234936436+175888467</f>
        <v>4410824903</v>
      </c>
      <c r="J1050" s="21">
        <v>293140901</v>
      </c>
      <c r="K1050" s="21">
        <v>584373716</v>
      </c>
      <c r="L1050" s="50"/>
      <c r="M1050" s="52">
        <f>SUM(F1050:L1050)</f>
        <v>5288339520</v>
      </c>
      <c r="N1050" s="21"/>
      <c r="O1050" s="50"/>
      <c r="P1050" s="21"/>
      <c r="Q1050" s="50">
        <f>4093395787+79949303</f>
        <v>4173345090</v>
      </c>
      <c r="R1050" s="21">
        <v>293140901</v>
      </c>
      <c r="S1050" s="21">
        <f>291232815+293140901</f>
        <v>584373716</v>
      </c>
      <c r="T1050" s="50"/>
      <c r="U1050" s="51">
        <f t="shared" si="163"/>
        <v>10339199227</v>
      </c>
      <c r="V1050" s="51"/>
      <c r="W1050" s="51"/>
      <c r="X1050" s="51"/>
      <c r="Y1050" s="51">
        <v>4961198219</v>
      </c>
      <c r="Z1050" s="51">
        <v>256103915</v>
      </c>
      <c r="AA1050" s="51">
        <v>609629757</v>
      </c>
      <c r="AB1050" s="51"/>
      <c r="AC1050" s="51">
        <f t="shared" ref="AC1050:AC1081" si="170">SUM(U1050:AB1050)</f>
        <v>16166131118</v>
      </c>
      <c r="AD1050" s="51"/>
      <c r="AE1050" s="51"/>
      <c r="AF1050" s="51"/>
      <c r="AG1050" s="51"/>
      <c r="AH1050" s="51">
        <v>4262998629</v>
      </c>
      <c r="AI1050" s="51">
        <v>851900436</v>
      </c>
      <c r="AJ1050" s="51">
        <v>288198111</v>
      </c>
      <c r="AK1050" s="51">
        <v>726547182</v>
      </c>
      <c r="AL1050" s="51"/>
      <c r="AM1050" s="51">
        <v>2142519143</v>
      </c>
      <c r="AN1050" s="51">
        <f>SUBTOTAL(9,AC1050:AM1050)</f>
        <v>24438294619</v>
      </c>
      <c r="AO1050" s="51"/>
      <c r="AP1050" s="51"/>
      <c r="AQ1050" s="51">
        <v>702056415</v>
      </c>
      <c r="AR1050" s="51"/>
      <c r="AS1050" s="51"/>
      <c r="AT1050" s="51">
        <v>4262998629</v>
      </c>
      <c r="AU1050" s="51"/>
      <c r="AV1050" s="51">
        <v>288198111</v>
      </c>
      <c r="AW1050" s="51">
        <v>492076800</v>
      </c>
      <c r="AX1050" s="51"/>
      <c r="AY1050" s="51"/>
      <c r="AZ1050" s="51">
        <v>496722004</v>
      </c>
      <c r="BA1050" s="51">
        <f>VLOOKUP(B1050,[1]Hoja3!J$3:K$674,2,0)</f>
        <v>46523648</v>
      </c>
      <c r="BB1050" s="51"/>
      <c r="BC1050" s="52">
        <f t="shared" si="166"/>
        <v>30726870226</v>
      </c>
      <c r="BD1050" s="51"/>
      <c r="BE1050" s="51"/>
      <c r="BF1050" s="51">
        <v>140411283</v>
      </c>
      <c r="BG1050" s="51"/>
      <c r="BH1050" s="51"/>
      <c r="BI1050" s="51">
        <v>4194045302</v>
      </c>
      <c r="BJ1050" s="51">
        <v>124176795</v>
      </c>
      <c r="BK1050" s="51">
        <v>282400987</v>
      </c>
      <c r="BL1050" s="51">
        <v>707850837</v>
      </c>
      <c r="BM1050" s="51"/>
      <c r="BN1050" s="51"/>
      <c r="BO1050" s="51"/>
      <c r="BP1050" s="52">
        <v>36175755430</v>
      </c>
      <c r="BQ1050" s="52"/>
      <c r="BR1050" s="52"/>
      <c r="BS1050" s="52">
        <v>140411283</v>
      </c>
      <c r="BT1050" s="52"/>
      <c r="BU1050" s="52"/>
      <c r="BV1050" s="52"/>
      <c r="BW1050" s="52">
        <v>4193116809</v>
      </c>
      <c r="BX1050" s="52"/>
      <c r="BY1050" s="52">
        <v>1779405207</v>
      </c>
      <c r="BZ1050" s="52">
        <v>285569577</v>
      </c>
      <c r="CA1050" s="52">
        <v>753150952</v>
      </c>
      <c r="CB1050" s="52"/>
      <c r="CC1050" s="52"/>
      <c r="CD1050" s="52"/>
      <c r="CE1050" s="52"/>
      <c r="CF1050" s="52"/>
      <c r="CG1050" s="52">
        <f t="shared" si="167"/>
        <v>43327409258</v>
      </c>
      <c r="CH1050" s="52"/>
      <c r="CI1050" s="52"/>
      <c r="CJ1050" s="52">
        <v>140411283</v>
      </c>
      <c r="CK1050" s="52"/>
      <c r="CL1050" s="52">
        <v>4167416481</v>
      </c>
      <c r="CM1050" s="52">
        <v>41886155</v>
      </c>
      <c r="CN1050" s="52">
        <v>286795609</v>
      </c>
      <c r="CO1050" s="52">
        <v>522676737</v>
      </c>
      <c r="CP1050" s="52"/>
      <c r="CQ1050" s="52"/>
      <c r="CR1050" s="52"/>
      <c r="CS1050" s="52">
        <f t="shared" si="164"/>
        <v>48486595523</v>
      </c>
      <c r="CT1050" s="53">
        <v>46297552732</v>
      </c>
      <c r="CU1050" s="53">
        <f t="shared" si="165"/>
        <v>2189042791</v>
      </c>
      <c r="CV1050" s="54">
        <f t="shared" si="168"/>
        <v>48486595523</v>
      </c>
      <c r="CW1050" s="55">
        <f t="shared" si="169"/>
        <v>0</v>
      </c>
      <c r="CX1050" s="16"/>
      <c r="CY1050" s="16"/>
      <c r="CZ1050" s="16"/>
    </row>
    <row r="1051" spans="1:108" ht="15" customHeight="1" x14ac:dyDescent="0.2">
      <c r="A1051" s="1">
        <v>8912009162</v>
      </c>
      <c r="B1051" s="1">
        <v>891200916</v>
      </c>
      <c r="C1051" s="9">
        <v>213552835</v>
      </c>
      <c r="D1051" s="10" t="s">
        <v>2188</v>
      </c>
      <c r="E1051" s="47" t="s">
        <v>1052</v>
      </c>
      <c r="F1051" s="21"/>
      <c r="G1051" s="50"/>
      <c r="H1051" s="21"/>
      <c r="I1051" s="50">
        <f>5857593007+64321189</f>
        <v>5921914196</v>
      </c>
      <c r="J1051" s="21">
        <v>428824791</v>
      </c>
      <c r="K1051" s="21">
        <v>865799278</v>
      </c>
      <c r="L1051" s="50"/>
      <c r="M1051" s="52">
        <f>SUM(F1051:L1051)</f>
        <v>7216538265</v>
      </c>
      <c r="N1051" s="21"/>
      <c r="O1051" s="50"/>
      <c r="P1051" s="21"/>
      <c r="Q1051" s="50">
        <f>5895127977+29236904</f>
        <v>5924364881</v>
      </c>
      <c r="R1051" s="21">
        <v>429144842</v>
      </c>
      <c r="S1051" s="21">
        <f>436974487+429144842</f>
        <v>866119329</v>
      </c>
      <c r="T1051" s="50"/>
      <c r="U1051" s="51">
        <f t="shared" si="163"/>
        <v>14436167317</v>
      </c>
      <c r="V1051" s="51"/>
      <c r="W1051" s="51"/>
      <c r="X1051" s="51"/>
      <c r="Y1051" s="51">
        <v>8178102451</v>
      </c>
      <c r="Z1051" s="51">
        <v>355475353</v>
      </c>
      <c r="AA1051" s="51">
        <v>806042195</v>
      </c>
      <c r="AB1051" s="51"/>
      <c r="AC1051" s="51">
        <f t="shared" si="170"/>
        <v>23775787316</v>
      </c>
      <c r="AD1051" s="51"/>
      <c r="AE1051" s="51"/>
      <c r="AF1051" s="51"/>
      <c r="AG1051" s="51"/>
      <c r="AH1051" s="51">
        <v>5720691033</v>
      </c>
      <c r="AI1051" s="51">
        <v>555725631</v>
      </c>
      <c r="AJ1051" s="51">
        <v>407489292</v>
      </c>
      <c r="AK1051" s="51">
        <v>1030536206</v>
      </c>
      <c r="AL1051" s="51"/>
      <c r="AM1051" s="51">
        <v>3259084177</v>
      </c>
      <c r="AN1051" s="51">
        <f>SUBTOTAL(9,AC1051:AM1051)</f>
        <v>34749313655</v>
      </c>
      <c r="AO1051" s="51"/>
      <c r="AP1051" s="51"/>
      <c r="AQ1051" s="51">
        <v>1817489975</v>
      </c>
      <c r="AR1051" s="51"/>
      <c r="AS1051" s="51"/>
      <c r="AT1051" s="51">
        <v>5818540023</v>
      </c>
      <c r="AU1051" s="51">
        <v>1984000000</v>
      </c>
      <c r="AV1051" s="51">
        <v>407489292</v>
      </c>
      <c r="AW1051" s="51">
        <v>698586322</v>
      </c>
      <c r="AX1051" s="51"/>
      <c r="AY1051" s="51"/>
      <c r="AZ1051" s="51"/>
      <c r="BA1051" s="51"/>
      <c r="BB1051" s="51"/>
      <c r="BC1051" s="52">
        <f t="shared" si="166"/>
        <v>45475419267</v>
      </c>
      <c r="BD1051" s="51"/>
      <c r="BE1051" s="51"/>
      <c r="BF1051" s="51">
        <v>363497995</v>
      </c>
      <c r="BG1051" s="51"/>
      <c r="BH1051" s="51"/>
      <c r="BI1051" s="51">
        <v>5803244394</v>
      </c>
      <c r="BJ1051" s="51">
        <v>2492539796</v>
      </c>
      <c r="BK1051" s="51">
        <v>430738860</v>
      </c>
      <c r="BL1051" s="51">
        <v>1088480517</v>
      </c>
      <c r="BM1051" s="51"/>
      <c r="BN1051" s="51"/>
      <c r="BO1051" s="51"/>
      <c r="BP1051" s="52">
        <v>55653920829</v>
      </c>
      <c r="BQ1051" s="52"/>
      <c r="BR1051" s="52"/>
      <c r="BS1051" s="52">
        <v>363497995</v>
      </c>
      <c r="BT1051" s="52"/>
      <c r="BU1051" s="52"/>
      <c r="BV1051" s="52"/>
      <c r="BW1051" s="52">
        <v>5761281539</v>
      </c>
      <c r="BX1051" s="52">
        <v>2547539796</v>
      </c>
      <c r="BY1051" s="52">
        <v>2671089433</v>
      </c>
      <c r="BZ1051" s="52">
        <v>412702000</v>
      </c>
      <c r="CA1051" s="52">
        <v>1092642959</v>
      </c>
      <c r="CB1051" s="52"/>
      <c r="CC1051" s="52"/>
      <c r="CD1051" s="52"/>
      <c r="CE1051" s="52">
        <v>106425300</v>
      </c>
      <c r="CF1051" s="52"/>
      <c r="CG1051" s="52">
        <f t="shared" si="167"/>
        <v>68609099851</v>
      </c>
      <c r="CH1051" s="52"/>
      <c r="CI1051" s="52"/>
      <c r="CJ1051" s="52">
        <v>363497995</v>
      </c>
      <c r="CK1051" s="52"/>
      <c r="CL1051" s="52">
        <v>5824889023</v>
      </c>
      <c r="CM1051" s="52">
        <v>1224110083</v>
      </c>
      <c r="CN1051" s="52">
        <v>413467900</v>
      </c>
      <c r="CO1051" s="52">
        <v>759949059</v>
      </c>
      <c r="CP1051" s="52"/>
      <c r="CQ1051" s="52"/>
      <c r="CR1051" s="52"/>
      <c r="CS1051" s="52">
        <f t="shared" si="164"/>
        <v>77195013911</v>
      </c>
      <c r="CT1051" s="53">
        <v>73829504434</v>
      </c>
      <c r="CU1051" s="53">
        <f t="shared" si="165"/>
        <v>3365509477</v>
      </c>
      <c r="CV1051" s="54">
        <f t="shared" si="168"/>
        <v>77195013911</v>
      </c>
      <c r="CW1051" s="55">
        <f t="shared" si="169"/>
        <v>0</v>
      </c>
      <c r="CX1051" s="16"/>
      <c r="CY1051" s="16"/>
      <c r="CZ1051" s="16"/>
    </row>
    <row r="1052" spans="1:108" ht="15" customHeight="1" x14ac:dyDescent="0.2">
      <c r="A1052" s="1">
        <v>8918008461</v>
      </c>
      <c r="B1052" s="1">
        <v>891800846</v>
      </c>
      <c r="C1052" s="9">
        <v>210115001</v>
      </c>
      <c r="D1052" s="10" t="s">
        <v>2189</v>
      </c>
      <c r="E1052" s="47" t="s">
        <v>1062</v>
      </c>
      <c r="F1052" s="21"/>
      <c r="G1052" s="50"/>
      <c r="H1052" s="21"/>
      <c r="I1052" s="50">
        <f>4147291741+118424968</f>
        <v>4265716709</v>
      </c>
      <c r="J1052" s="21">
        <v>232198560</v>
      </c>
      <c r="K1052" s="21">
        <v>459843908</v>
      </c>
      <c r="L1052" s="50"/>
      <c r="M1052" s="52">
        <f>SUM(F1052:L1052)</f>
        <v>4957759177</v>
      </c>
      <c r="N1052" s="21"/>
      <c r="O1052" s="50"/>
      <c r="P1052" s="21"/>
      <c r="Q1052" s="50">
        <f>3917743999+53829531</f>
        <v>3971573530</v>
      </c>
      <c r="R1052" s="21">
        <v>232198560</v>
      </c>
      <c r="S1052" s="21">
        <f>227645348+232198560</f>
        <v>459843908</v>
      </c>
      <c r="T1052" s="50"/>
      <c r="U1052" s="51">
        <f t="shared" si="163"/>
        <v>9621375175</v>
      </c>
      <c r="V1052" s="51"/>
      <c r="W1052" s="51"/>
      <c r="X1052" s="51"/>
      <c r="Y1052" s="51">
        <v>6210747951</v>
      </c>
      <c r="Z1052" s="51">
        <v>234751586</v>
      </c>
      <c r="AA1052" s="51">
        <v>531660791</v>
      </c>
      <c r="AB1052" s="51"/>
      <c r="AC1052" s="51">
        <f t="shared" si="170"/>
        <v>16598535503</v>
      </c>
      <c r="AD1052" s="51"/>
      <c r="AE1052" s="51"/>
      <c r="AF1052" s="51"/>
      <c r="AG1052" s="51"/>
      <c r="AH1052" s="51">
        <v>3477096877</v>
      </c>
      <c r="AI1052" s="51">
        <v>496290527</v>
      </c>
      <c r="AJ1052" s="51">
        <v>240260728</v>
      </c>
      <c r="AK1052" s="51">
        <v>605462928</v>
      </c>
      <c r="AL1052" s="51"/>
      <c r="AM1052" s="51">
        <v>1155568554</v>
      </c>
      <c r="AN1052" s="51">
        <f>SUBTOTAL(9,AC1052:AM1052)</f>
        <v>22573215117</v>
      </c>
      <c r="AO1052" s="51"/>
      <c r="AP1052" s="51"/>
      <c r="AQ1052" s="51">
        <v>505268405</v>
      </c>
      <c r="AR1052" s="51"/>
      <c r="AS1052" s="51"/>
      <c r="AT1052" s="51">
        <v>3477096877</v>
      </c>
      <c r="AU1052" s="51"/>
      <c r="AV1052" s="51">
        <v>240260728</v>
      </c>
      <c r="AW1052" s="51">
        <v>409982776</v>
      </c>
      <c r="AX1052" s="51"/>
      <c r="AY1052" s="51"/>
      <c r="AZ1052" s="51">
        <v>494772303</v>
      </c>
      <c r="BA1052" s="51">
        <f>VLOOKUP(B1052,[1]Hoja3!J$3:K$674,2,0)</f>
        <v>205010146</v>
      </c>
      <c r="BB1052" s="51"/>
      <c r="BC1052" s="52">
        <f t="shared" si="166"/>
        <v>27905606352</v>
      </c>
      <c r="BD1052" s="51"/>
      <c r="BE1052" s="51"/>
      <c r="BF1052" s="51">
        <v>101053681</v>
      </c>
      <c r="BG1052" s="51"/>
      <c r="BH1052" s="51"/>
      <c r="BI1052" s="51">
        <v>3723731629</v>
      </c>
      <c r="BJ1052" s="51">
        <v>192071744</v>
      </c>
      <c r="BK1052" s="51">
        <v>238726684</v>
      </c>
      <c r="BL1052" s="51">
        <v>620490668</v>
      </c>
      <c r="BM1052" s="51"/>
      <c r="BN1052" s="51"/>
      <c r="BO1052" s="51"/>
      <c r="BP1052" s="52">
        <v>32781680758</v>
      </c>
      <c r="BQ1052" s="52"/>
      <c r="BR1052" s="52"/>
      <c r="BS1052" s="52">
        <v>101053681</v>
      </c>
      <c r="BT1052" s="52"/>
      <c r="BU1052" s="52"/>
      <c r="BV1052" s="52"/>
      <c r="BW1052" s="52">
        <v>3806262956</v>
      </c>
      <c r="BX1052" s="52"/>
      <c r="BY1052" s="52">
        <v>1636077544</v>
      </c>
      <c r="BZ1052" s="52">
        <v>238757117</v>
      </c>
      <c r="CA1052" s="52">
        <v>630774391</v>
      </c>
      <c r="CB1052" s="52"/>
      <c r="CC1052" s="52"/>
      <c r="CD1052" s="52"/>
      <c r="CE1052" s="52"/>
      <c r="CF1052" s="52"/>
      <c r="CG1052" s="52">
        <f t="shared" si="167"/>
        <v>39194606447</v>
      </c>
      <c r="CH1052" s="52"/>
      <c r="CI1052" s="52"/>
      <c r="CJ1052" s="52">
        <v>101053681</v>
      </c>
      <c r="CK1052" s="52"/>
      <c r="CL1052" s="52">
        <v>3717978132</v>
      </c>
      <c r="CM1052" s="52">
        <v>406654914</v>
      </c>
      <c r="CN1052" s="52">
        <v>244334217</v>
      </c>
      <c r="CO1052" s="52">
        <v>440857932</v>
      </c>
      <c r="CP1052" s="52"/>
      <c r="CQ1052" s="52"/>
      <c r="CR1052" s="52"/>
      <c r="CS1052" s="52">
        <f t="shared" si="164"/>
        <v>44105485323</v>
      </c>
      <c r="CT1052" s="53">
        <v>42744906623</v>
      </c>
      <c r="CU1052" s="53">
        <f t="shared" si="165"/>
        <v>1360578700</v>
      </c>
      <c r="CV1052" s="54">
        <f t="shared" si="168"/>
        <v>44105485323</v>
      </c>
      <c r="CW1052" s="55">
        <f t="shared" si="169"/>
        <v>0</v>
      </c>
      <c r="CX1052" s="16"/>
      <c r="CY1052" s="16"/>
      <c r="CZ1052" s="16"/>
    </row>
    <row r="1053" spans="1:108" ht="15" customHeight="1" x14ac:dyDescent="0.2">
      <c r="A1053" s="1">
        <v>8000996393</v>
      </c>
      <c r="B1053" s="1">
        <v>800099639</v>
      </c>
      <c r="C1053" s="9">
        <v>213215832</v>
      </c>
      <c r="D1053" s="10" t="s">
        <v>328</v>
      </c>
      <c r="E1053" s="46" t="s">
        <v>1359</v>
      </c>
      <c r="F1053" s="21"/>
      <c r="G1053" s="50"/>
      <c r="H1053" s="21"/>
      <c r="I1053" s="50"/>
      <c r="J1053" s="21"/>
      <c r="K1053" s="21"/>
      <c r="L1053" s="50"/>
      <c r="M1053" s="51"/>
      <c r="N1053" s="21"/>
      <c r="O1053" s="50"/>
      <c r="P1053" s="21"/>
      <c r="Q1053" s="50"/>
      <c r="R1053" s="21"/>
      <c r="S1053" s="21"/>
      <c r="T1053" s="50"/>
      <c r="U1053" s="51">
        <f t="shared" si="163"/>
        <v>0</v>
      </c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1"/>
      <c r="AX1053" s="51"/>
      <c r="AY1053" s="51">
        <v>12430490</v>
      </c>
      <c r="AZ1053" s="51"/>
      <c r="BA1053" s="51">
        <f>VLOOKUP(B1053,[1]Hoja3!J$3:K$674,2,0)</f>
        <v>22425385</v>
      </c>
      <c r="BB1053" s="51"/>
      <c r="BC1053" s="52">
        <f t="shared" si="166"/>
        <v>34855875</v>
      </c>
      <c r="BD1053" s="51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>
        <v>2486098</v>
      </c>
      <c r="BO1053" s="51"/>
      <c r="BP1053" s="52">
        <v>37341973</v>
      </c>
      <c r="BQ1053" s="52"/>
      <c r="BR1053" s="52"/>
      <c r="BS1053" s="52"/>
      <c r="BT1053" s="52"/>
      <c r="BU1053" s="52"/>
      <c r="BV1053" s="52"/>
      <c r="BW1053" s="52"/>
      <c r="BX1053" s="52"/>
      <c r="BY1053" s="52"/>
      <c r="BZ1053" s="52"/>
      <c r="CA1053" s="52"/>
      <c r="CB1053" s="52"/>
      <c r="CC1053" s="52">
        <v>2486098</v>
      </c>
      <c r="CD1053" s="52"/>
      <c r="CE1053" s="52"/>
      <c r="CF1053" s="52"/>
      <c r="CG1053" s="52">
        <f t="shared" si="167"/>
        <v>39828071</v>
      </c>
      <c r="CH1053" s="52"/>
      <c r="CI1053" s="52"/>
      <c r="CJ1053" s="52"/>
      <c r="CK1053" s="52"/>
      <c r="CL1053" s="52"/>
      <c r="CM1053" s="52"/>
      <c r="CN1053" s="52"/>
      <c r="CO1053" s="52"/>
      <c r="CP1053" s="52"/>
      <c r="CQ1053" s="52">
        <v>2486098</v>
      </c>
      <c r="CR1053" s="52"/>
      <c r="CS1053" s="52">
        <f t="shared" si="164"/>
        <v>42314169</v>
      </c>
      <c r="CT1053" s="53">
        <v>19888784</v>
      </c>
      <c r="CU1053" s="53">
        <f t="shared" si="165"/>
        <v>22425385</v>
      </c>
      <c r="CV1053" s="54">
        <f t="shared" si="168"/>
        <v>42314169</v>
      </c>
      <c r="CW1053" s="55">
        <f t="shared" si="169"/>
        <v>0</v>
      </c>
      <c r="CX1053" s="16"/>
      <c r="CY1053" s="8"/>
      <c r="CZ1053" s="8"/>
      <c r="DA1053" s="8"/>
      <c r="DB1053" s="8"/>
      <c r="DC1053" s="8"/>
      <c r="DD1053" s="8"/>
    </row>
    <row r="1054" spans="1:108" ht="15" customHeight="1" x14ac:dyDescent="0.2">
      <c r="A1054" s="1">
        <v>8000991529</v>
      </c>
      <c r="B1054" s="1">
        <v>800099152</v>
      </c>
      <c r="C1054" s="9">
        <v>213852838</v>
      </c>
      <c r="D1054" s="10" t="s">
        <v>749</v>
      </c>
      <c r="E1054" s="46" t="s">
        <v>1769</v>
      </c>
      <c r="F1054" s="21"/>
      <c r="G1054" s="50"/>
      <c r="H1054" s="21"/>
      <c r="I1054" s="50"/>
      <c r="J1054" s="21"/>
      <c r="K1054" s="21"/>
      <c r="L1054" s="50"/>
      <c r="M1054" s="51"/>
      <c r="N1054" s="21"/>
      <c r="O1054" s="50"/>
      <c r="P1054" s="21"/>
      <c r="Q1054" s="50"/>
      <c r="R1054" s="21"/>
      <c r="S1054" s="21"/>
      <c r="T1054" s="50"/>
      <c r="U1054" s="51">
        <f t="shared" si="163"/>
        <v>0</v>
      </c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>
        <v>612953068</v>
      </c>
      <c r="AN1054" s="51">
        <f t="shared" ref="AN1054:AN1059" si="171">SUBTOTAL(9,AC1054:AM1054)</f>
        <v>612953068</v>
      </c>
      <c r="AO1054" s="51"/>
      <c r="AP1054" s="51"/>
      <c r="AQ1054" s="51"/>
      <c r="AR1054" s="51"/>
      <c r="AS1054" s="51"/>
      <c r="AT1054" s="51"/>
      <c r="AU1054" s="51"/>
      <c r="AV1054" s="51"/>
      <c r="AW1054" s="51"/>
      <c r="AX1054" s="51"/>
      <c r="AY1054" s="51">
        <v>293546890</v>
      </c>
      <c r="AZ1054" s="51"/>
      <c r="BA1054" s="51"/>
      <c r="BB1054" s="51"/>
      <c r="BC1054" s="52">
        <f t="shared" si="166"/>
        <v>906499958</v>
      </c>
      <c r="BD1054" s="51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>
        <v>58709378</v>
      </c>
      <c r="BO1054" s="51"/>
      <c r="BP1054" s="52">
        <v>965209336</v>
      </c>
      <c r="BQ1054" s="52"/>
      <c r="BR1054" s="52"/>
      <c r="BS1054" s="52"/>
      <c r="BT1054" s="52"/>
      <c r="BU1054" s="52"/>
      <c r="BV1054" s="52"/>
      <c r="BW1054" s="52"/>
      <c r="BX1054" s="52"/>
      <c r="BY1054" s="52"/>
      <c r="BZ1054" s="52"/>
      <c r="CA1054" s="52"/>
      <c r="CB1054" s="52"/>
      <c r="CC1054" s="52">
        <v>58709378</v>
      </c>
      <c r="CD1054" s="52"/>
      <c r="CE1054" s="52"/>
      <c r="CF1054" s="52"/>
      <c r="CG1054" s="52">
        <f t="shared" si="167"/>
        <v>1023918714</v>
      </c>
      <c r="CH1054" s="52"/>
      <c r="CI1054" s="52"/>
      <c r="CJ1054" s="52"/>
      <c r="CK1054" s="52"/>
      <c r="CL1054" s="52"/>
      <c r="CM1054" s="52"/>
      <c r="CN1054" s="52"/>
      <c r="CO1054" s="52"/>
      <c r="CP1054" s="52"/>
      <c r="CQ1054" s="52">
        <v>58709378</v>
      </c>
      <c r="CR1054" s="52"/>
      <c r="CS1054" s="52">
        <f t="shared" si="164"/>
        <v>1082628092</v>
      </c>
      <c r="CT1054" s="53">
        <v>469675024</v>
      </c>
      <c r="CU1054" s="53">
        <f t="shared" si="165"/>
        <v>612953068</v>
      </c>
      <c r="CV1054" s="54">
        <f t="shared" si="168"/>
        <v>1082628092</v>
      </c>
      <c r="CW1054" s="55">
        <f t="shared" si="169"/>
        <v>0</v>
      </c>
      <c r="CX1054" s="16"/>
      <c r="CY1054" s="16"/>
      <c r="CZ1054" s="16"/>
    </row>
    <row r="1055" spans="1:108" ht="15" customHeight="1" x14ac:dyDescent="0.2">
      <c r="A1055" s="1">
        <v>8904811490</v>
      </c>
      <c r="B1055" s="1">
        <v>890481149</v>
      </c>
      <c r="C1055" s="9">
        <v>213613836</v>
      </c>
      <c r="D1055" s="10" t="s">
        <v>213</v>
      </c>
      <c r="E1055" s="46" t="s">
        <v>1248</v>
      </c>
      <c r="F1055" s="21"/>
      <c r="G1055" s="50"/>
      <c r="H1055" s="21"/>
      <c r="I1055" s="50"/>
      <c r="J1055" s="21"/>
      <c r="K1055" s="21"/>
      <c r="L1055" s="50"/>
      <c r="M1055" s="51"/>
      <c r="N1055" s="21"/>
      <c r="O1055" s="50"/>
      <c r="P1055" s="21"/>
      <c r="Q1055" s="50"/>
      <c r="R1055" s="21"/>
      <c r="S1055" s="21"/>
      <c r="T1055" s="50"/>
      <c r="U1055" s="51">
        <f t="shared" si="163"/>
        <v>0</v>
      </c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>
        <v>972668324</v>
      </c>
      <c r="AN1055" s="51">
        <f t="shared" si="171"/>
        <v>972668324</v>
      </c>
      <c r="AO1055" s="51"/>
      <c r="AP1055" s="51"/>
      <c r="AQ1055" s="51"/>
      <c r="AR1055" s="51"/>
      <c r="AS1055" s="51"/>
      <c r="AT1055" s="51"/>
      <c r="AU1055" s="51"/>
      <c r="AV1055" s="51"/>
      <c r="AW1055" s="51"/>
      <c r="AX1055" s="51"/>
      <c r="AY1055" s="51"/>
      <c r="AZ1055" s="51"/>
      <c r="BA1055" s="51"/>
      <c r="BB1055" s="51"/>
      <c r="BC1055" s="52">
        <f t="shared" si="166"/>
        <v>972668324</v>
      </c>
      <c r="BD1055" s="51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>
        <v>0</v>
      </c>
      <c r="BO1055" s="51"/>
      <c r="BP1055" s="52">
        <v>972668324</v>
      </c>
      <c r="BQ1055" s="52"/>
      <c r="BR1055" s="52"/>
      <c r="BS1055" s="52"/>
      <c r="BT1055" s="52"/>
      <c r="BU1055" s="52"/>
      <c r="BV1055" s="52"/>
      <c r="BW1055" s="52"/>
      <c r="BX1055" s="52"/>
      <c r="BY1055" s="52"/>
      <c r="BZ1055" s="52"/>
      <c r="CA1055" s="52"/>
      <c r="CB1055" s="52"/>
      <c r="CC1055" s="52">
        <v>0</v>
      </c>
      <c r="CD1055" s="52"/>
      <c r="CE1055" s="52"/>
      <c r="CF1055" s="52"/>
      <c r="CG1055" s="52">
        <f t="shared" si="167"/>
        <v>972668324</v>
      </c>
      <c r="CH1055" s="52"/>
      <c r="CI1055" s="52"/>
      <c r="CJ1055" s="52"/>
      <c r="CK1055" s="52"/>
      <c r="CL1055" s="52"/>
      <c r="CM1055" s="52"/>
      <c r="CN1055" s="52"/>
      <c r="CO1055" s="52"/>
      <c r="CP1055" s="52"/>
      <c r="CQ1055" s="52">
        <v>0</v>
      </c>
      <c r="CR1055" s="52"/>
      <c r="CS1055" s="52">
        <f t="shared" si="164"/>
        <v>972668324</v>
      </c>
      <c r="CT1055" s="53"/>
      <c r="CU1055" s="53">
        <f t="shared" si="165"/>
        <v>972668324</v>
      </c>
      <c r="CV1055" s="54">
        <f t="shared" si="168"/>
        <v>972668324</v>
      </c>
      <c r="CW1055" s="55">
        <f t="shared" si="169"/>
        <v>0</v>
      </c>
      <c r="CX1055" s="16"/>
      <c r="CY1055" s="8"/>
      <c r="CZ1055" s="8"/>
      <c r="DA1055" s="8"/>
      <c r="DB1055" s="8"/>
      <c r="DC1055" s="8"/>
      <c r="DD1055" s="8"/>
    </row>
    <row r="1056" spans="1:108" ht="15" customHeight="1" x14ac:dyDescent="0.2">
      <c r="A1056" s="1">
        <v>8904813243</v>
      </c>
      <c r="B1056" s="1">
        <v>890481324</v>
      </c>
      <c r="C1056" s="9">
        <v>213813838</v>
      </c>
      <c r="D1056" s="10" t="s">
        <v>214</v>
      </c>
      <c r="E1056" s="46" t="s">
        <v>1249</v>
      </c>
      <c r="F1056" s="21"/>
      <c r="G1056" s="50"/>
      <c r="H1056" s="21"/>
      <c r="I1056" s="50"/>
      <c r="J1056" s="21"/>
      <c r="K1056" s="21"/>
      <c r="L1056" s="50"/>
      <c r="M1056" s="51"/>
      <c r="N1056" s="21"/>
      <c r="O1056" s="50"/>
      <c r="P1056" s="21"/>
      <c r="Q1056" s="50"/>
      <c r="R1056" s="21"/>
      <c r="S1056" s="21"/>
      <c r="T1056" s="50"/>
      <c r="U1056" s="51">
        <f t="shared" si="163"/>
        <v>0</v>
      </c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>
        <v>252341191</v>
      </c>
      <c r="AN1056" s="51">
        <f t="shared" si="171"/>
        <v>252341191</v>
      </c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2">
        <f t="shared" si="166"/>
        <v>252341191</v>
      </c>
      <c r="BD1056" s="51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>
        <v>0</v>
      </c>
      <c r="BO1056" s="51"/>
      <c r="BP1056" s="52">
        <v>252341191</v>
      </c>
      <c r="BQ1056" s="52"/>
      <c r="BR1056" s="52"/>
      <c r="BS1056" s="52"/>
      <c r="BT1056" s="52"/>
      <c r="BU1056" s="52"/>
      <c r="BV1056" s="52"/>
      <c r="BW1056" s="52"/>
      <c r="BX1056" s="52"/>
      <c r="BY1056" s="52"/>
      <c r="BZ1056" s="52"/>
      <c r="CA1056" s="52"/>
      <c r="CB1056" s="52"/>
      <c r="CC1056" s="52">
        <v>0</v>
      </c>
      <c r="CD1056" s="52"/>
      <c r="CE1056" s="52"/>
      <c r="CF1056" s="52"/>
      <c r="CG1056" s="52">
        <f t="shared" si="167"/>
        <v>252341191</v>
      </c>
      <c r="CH1056" s="52"/>
      <c r="CI1056" s="52"/>
      <c r="CJ1056" s="52"/>
      <c r="CK1056" s="52"/>
      <c r="CL1056" s="52"/>
      <c r="CM1056" s="52"/>
      <c r="CN1056" s="52"/>
      <c r="CO1056" s="52"/>
      <c r="CP1056" s="52"/>
      <c r="CQ1056" s="52"/>
      <c r="CR1056" s="52"/>
      <c r="CS1056" s="52">
        <f t="shared" si="164"/>
        <v>252341191</v>
      </c>
      <c r="CT1056" s="53"/>
      <c r="CU1056" s="53">
        <f t="shared" si="165"/>
        <v>252341191</v>
      </c>
      <c r="CV1056" s="54">
        <f t="shared" si="168"/>
        <v>252341191</v>
      </c>
      <c r="CW1056" s="55">
        <f t="shared" si="169"/>
        <v>0</v>
      </c>
      <c r="CX1056" s="16"/>
      <c r="CY1056" s="8"/>
      <c r="CZ1056" s="8"/>
      <c r="DA1056" s="8"/>
      <c r="DB1056" s="8"/>
      <c r="DC1056" s="8"/>
      <c r="DD1056" s="8"/>
    </row>
    <row r="1057" spans="1:108" ht="15" customHeight="1" x14ac:dyDescent="0.2">
      <c r="A1057" s="1">
        <v>8909811385</v>
      </c>
      <c r="B1057" s="1">
        <v>890981138</v>
      </c>
      <c r="C1057" s="9">
        <v>213705837</v>
      </c>
      <c r="D1057" s="10" t="s">
        <v>2190</v>
      </c>
      <c r="E1057" s="47" t="s">
        <v>1051</v>
      </c>
      <c r="F1057" s="21"/>
      <c r="G1057" s="50"/>
      <c r="H1057" s="21"/>
      <c r="I1057" s="57">
        <f>4624284426+79098404</f>
        <v>4703382830</v>
      </c>
      <c r="J1057" s="21">
        <v>353485309</v>
      </c>
      <c r="K1057" s="21">
        <v>712809842</v>
      </c>
      <c r="L1057" s="50"/>
      <c r="M1057" s="52">
        <f>SUM(F1057:L1057)</f>
        <v>5769677981</v>
      </c>
      <c r="N1057" s="21"/>
      <c r="O1057" s="50"/>
      <c r="P1057" s="21"/>
      <c r="Q1057" s="50">
        <f>4556760823+35953820</f>
        <v>4592714643</v>
      </c>
      <c r="R1057" s="21">
        <v>353485309</v>
      </c>
      <c r="S1057" s="21">
        <f>359324533+353485309</f>
        <v>712809842</v>
      </c>
      <c r="T1057" s="50"/>
      <c r="U1057" s="51">
        <f t="shared" si="163"/>
        <v>11428687775</v>
      </c>
      <c r="V1057" s="51"/>
      <c r="W1057" s="51"/>
      <c r="X1057" s="51"/>
      <c r="Y1057" s="51">
        <v>7123493429</v>
      </c>
      <c r="Z1057" s="51">
        <v>369425542</v>
      </c>
      <c r="AA1057" s="51">
        <v>800160296</v>
      </c>
      <c r="AB1057" s="51"/>
      <c r="AC1057" s="51">
        <f t="shared" si="170"/>
        <v>19721767042</v>
      </c>
      <c r="AD1057" s="51"/>
      <c r="AE1057" s="51"/>
      <c r="AF1057" s="51"/>
      <c r="AG1057" s="51"/>
      <c r="AH1057" s="51">
        <v>5058817204</v>
      </c>
      <c r="AI1057" s="51">
        <v>2730412199</v>
      </c>
      <c r="AJ1057" s="51">
        <v>359875299</v>
      </c>
      <c r="AK1057" s="51">
        <v>909401529</v>
      </c>
      <c r="AL1057" s="51"/>
      <c r="AM1057" s="51">
        <v>2933066854</v>
      </c>
      <c r="AN1057" s="51">
        <f t="shared" si="171"/>
        <v>31713340127</v>
      </c>
      <c r="AO1057" s="51"/>
      <c r="AP1057" s="51"/>
      <c r="AQ1057" s="51">
        <v>1699086055</v>
      </c>
      <c r="AR1057" s="51"/>
      <c r="AS1057" s="51"/>
      <c r="AT1057" s="51">
        <v>5058817204</v>
      </c>
      <c r="AU1057" s="51"/>
      <c r="AV1057" s="51">
        <v>359875299</v>
      </c>
      <c r="AW1057" s="51">
        <v>616459295</v>
      </c>
      <c r="AX1057" s="51"/>
      <c r="AY1057" s="51"/>
      <c r="AZ1057" s="51">
        <v>525626693</v>
      </c>
      <c r="BA1057" s="51">
        <f>VLOOKUP(B1057,[1]Hoja3!J$3:K$674,2,0)</f>
        <v>92150650</v>
      </c>
      <c r="BB1057" s="51">
        <f>VLOOKUP(B1057,'[2]anuladas en mayo gratuidad}'!K$2:L$55,2,0)</f>
        <v>179922972</v>
      </c>
      <c r="BC1057" s="52">
        <f t="shared" si="166"/>
        <v>39885432351</v>
      </c>
      <c r="BD1057" s="51"/>
      <c r="BE1057" s="51"/>
      <c r="BF1057" s="51">
        <v>339817211</v>
      </c>
      <c r="BG1057" s="51"/>
      <c r="BH1057" s="51"/>
      <c r="BI1057" s="51">
        <v>4987617169</v>
      </c>
      <c r="BJ1057" s="51">
        <v>587603705</v>
      </c>
      <c r="BK1057" s="51">
        <v>358893792</v>
      </c>
      <c r="BL1057" s="51">
        <v>995519030</v>
      </c>
      <c r="BM1057" s="51"/>
      <c r="BN1057" s="51"/>
      <c r="BO1057" s="51"/>
      <c r="BP1057" s="52">
        <v>47154883258</v>
      </c>
      <c r="BQ1057" s="52"/>
      <c r="BR1057" s="52"/>
      <c r="BS1057" s="52">
        <v>339817211</v>
      </c>
      <c r="BT1057" s="52"/>
      <c r="BU1057" s="52"/>
      <c r="BV1057" s="52"/>
      <c r="BW1057" s="52">
        <v>5028134318</v>
      </c>
      <c r="BX1057" s="52"/>
      <c r="BY1057" s="52">
        <v>2311180830</v>
      </c>
      <c r="BZ1057" s="52">
        <v>393641644</v>
      </c>
      <c r="CA1057" s="52">
        <v>1003911228</v>
      </c>
      <c r="CB1057" s="52"/>
      <c r="CC1057" s="52"/>
      <c r="CD1057" s="52"/>
      <c r="CE1057" s="52">
        <v>179922972</v>
      </c>
      <c r="CF1057" s="52"/>
      <c r="CG1057" s="52">
        <f t="shared" si="167"/>
        <v>56411491461</v>
      </c>
      <c r="CH1057" s="52"/>
      <c r="CI1057" s="52"/>
      <c r="CJ1057" s="52">
        <v>339817211</v>
      </c>
      <c r="CK1057" s="52"/>
      <c r="CL1057" s="52">
        <v>5065581444</v>
      </c>
      <c r="CM1057" s="52">
        <v>4232000000</v>
      </c>
      <c r="CN1057" s="52">
        <v>386247956</v>
      </c>
      <c r="CO1057" s="52">
        <v>696743033</v>
      </c>
      <c r="CP1057" s="52"/>
      <c r="CQ1057" s="52"/>
      <c r="CR1057" s="52"/>
      <c r="CS1057" s="52">
        <f t="shared" si="164"/>
        <v>67131881105</v>
      </c>
      <c r="CT1057" s="53">
        <v>64106663601</v>
      </c>
      <c r="CU1057" s="53">
        <f t="shared" si="165"/>
        <v>3025217504</v>
      </c>
      <c r="CV1057" s="54">
        <f t="shared" si="168"/>
        <v>67131881105</v>
      </c>
      <c r="CW1057" s="55">
        <f t="shared" si="169"/>
        <v>0</v>
      </c>
      <c r="CX1057" s="16"/>
      <c r="CY1057" s="16"/>
      <c r="CZ1057" s="16"/>
    </row>
    <row r="1058" spans="1:108" ht="15" customHeight="1" x14ac:dyDescent="0.2">
      <c r="A1058" s="1">
        <v>8918017878</v>
      </c>
      <c r="B1058" s="1">
        <v>891801787</v>
      </c>
      <c r="C1058" s="9">
        <v>213515835</v>
      </c>
      <c r="D1058" s="10" t="s">
        <v>329</v>
      </c>
      <c r="E1058" s="46" t="s">
        <v>1360</v>
      </c>
      <c r="F1058" s="21"/>
      <c r="G1058" s="50"/>
      <c r="H1058" s="21"/>
      <c r="I1058" s="50"/>
      <c r="J1058" s="21"/>
      <c r="K1058" s="21"/>
      <c r="L1058" s="50"/>
      <c r="M1058" s="51"/>
      <c r="N1058" s="21"/>
      <c r="O1058" s="50"/>
      <c r="P1058" s="21"/>
      <c r="Q1058" s="50"/>
      <c r="R1058" s="21"/>
      <c r="S1058" s="21"/>
      <c r="T1058" s="50"/>
      <c r="U1058" s="51">
        <f t="shared" si="163"/>
        <v>0</v>
      </c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>
        <v>15989704</v>
      </c>
      <c r="AN1058" s="51">
        <f t="shared" si="171"/>
        <v>15989704</v>
      </c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>
        <v>52047645</v>
      </c>
      <c r="AZ1058" s="51"/>
      <c r="BA1058" s="51">
        <f>VLOOKUP(B1058,[1]Hoja3!J$3:K$674,2,0)</f>
        <v>106810019</v>
      </c>
      <c r="BB1058" s="51"/>
      <c r="BC1058" s="52">
        <f t="shared" si="166"/>
        <v>174847368</v>
      </c>
      <c r="BD1058" s="51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>
        <v>10409529</v>
      </c>
      <c r="BO1058" s="51"/>
      <c r="BP1058" s="52">
        <v>185256897</v>
      </c>
      <c r="BQ1058" s="52"/>
      <c r="BR1058" s="52"/>
      <c r="BS1058" s="52"/>
      <c r="BT1058" s="52"/>
      <c r="BU1058" s="52"/>
      <c r="BV1058" s="52"/>
      <c r="BW1058" s="52"/>
      <c r="BX1058" s="52"/>
      <c r="BY1058" s="52"/>
      <c r="BZ1058" s="52"/>
      <c r="CA1058" s="52"/>
      <c r="CB1058" s="52"/>
      <c r="CC1058" s="52">
        <v>10409529</v>
      </c>
      <c r="CD1058" s="52"/>
      <c r="CE1058" s="52"/>
      <c r="CF1058" s="52"/>
      <c r="CG1058" s="52">
        <f t="shared" si="167"/>
        <v>195666426</v>
      </c>
      <c r="CH1058" s="52"/>
      <c r="CI1058" s="52"/>
      <c r="CJ1058" s="52"/>
      <c r="CK1058" s="52"/>
      <c r="CL1058" s="52"/>
      <c r="CM1058" s="52"/>
      <c r="CN1058" s="52"/>
      <c r="CO1058" s="52"/>
      <c r="CP1058" s="52"/>
      <c r="CQ1058" s="52">
        <v>10409529</v>
      </c>
      <c r="CR1058" s="52"/>
      <c r="CS1058" s="52">
        <f t="shared" si="164"/>
        <v>206075955</v>
      </c>
      <c r="CT1058" s="53">
        <v>83276232</v>
      </c>
      <c r="CU1058" s="53">
        <f t="shared" si="165"/>
        <v>122799723</v>
      </c>
      <c r="CV1058" s="54">
        <f t="shared" si="168"/>
        <v>206075955</v>
      </c>
      <c r="CW1058" s="55">
        <f t="shared" si="169"/>
        <v>0</v>
      </c>
      <c r="CX1058" s="16"/>
      <c r="CY1058" s="8"/>
      <c r="CZ1058" s="8"/>
      <c r="DA1058" s="8"/>
      <c r="DB1058" s="8"/>
      <c r="DC1058" s="8"/>
      <c r="DD1058" s="8"/>
    </row>
    <row r="1059" spans="1:108" ht="15" customHeight="1" x14ac:dyDescent="0.2">
      <c r="A1059" s="1">
        <v>8000272923</v>
      </c>
      <c r="B1059" s="1">
        <v>800027292</v>
      </c>
      <c r="C1059" s="9">
        <v>213715837</v>
      </c>
      <c r="D1059" s="10" t="s">
        <v>330</v>
      </c>
      <c r="E1059" s="46" t="s">
        <v>1361</v>
      </c>
      <c r="F1059" s="21"/>
      <c r="G1059" s="50"/>
      <c r="H1059" s="21"/>
      <c r="I1059" s="50"/>
      <c r="J1059" s="21"/>
      <c r="K1059" s="21"/>
      <c r="L1059" s="50"/>
      <c r="M1059" s="51"/>
      <c r="N1059" s="21"/>
      <c r="O1059" s="50"/>
      <c r="P1059" s="21"/>
      <c r="Q1059" s="50"/>
      <c r="R1059" s="21"/>
      <c r="S1059" s="21"/>
      <c r="T1059" s="50"/>
      <c r="U1059" s="51">
        <f t="shared" si="163"/>
        <v>0</v>
      </c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>
        <v>78153866</v>
      </c>
      <c r="AN1059" s="51">
        <f t="shared" si="171"/>
        <v>78153866</v>
      </c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>
        <v>64509595</v>
      </c>
      <c r="AZ1059" s="51"/>
      <c r="BA1059" s="51">
        <f>VLOOKUP(B1059,[1]Hoja3!J$3:K$674,2,0)</f>
        <v>87075345</v>
      </c>
      <c r="BB1059" s="51"/>
      <c r="BC1059" s="52">
        <f t="shared" si="166"/>
        <v>229738806</v>
      </c>
      <c r="BD1059" s="51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>
        <v>12901919</v>
      </c>
      <c r="BO1059" s="51"/>
      <c r="BP1059" s="52">
        <v>242640725</v>
      </c>
      <c r="BQ1059" s="52"/>
      <c r="BR1059" s="52"/>
      <c r="BS1059" s="52"/>
      <c r="BT1059" s="52"/>
      <c r="BU1059" s="52"/>
      <c r="BV1059" s="52"/>
      <c r="BW1059" s="52"/>
      <c r="BX1059" s="52"/>
      <c r="BY1059" s="52"/>
      <c r="BZ1059" s="52"/>
      <c r="CA1059" s="52"/>
      <c r="CB1059" s="52"/>
      <c r="CC1059" s="52">
        <v>12901919</v>
      </c>
      <c r="CD1059" s="52"/>
      <c r="CE1059" s="52"/>
      <c r="CF1059" s="52"/>
      <c r="CG1059" s="52">
        <f t="shared" si="167"/>
        <v>255542644</v>
      </c>
      <c r="CH1059" s="52"/>
      <c r="CI1059" s="52"/>
      <c r="CJ1059" s="52"/>
      <c r="CK1059" s="52"/>
      <c r="CL1059" s="52"/>
      <c r="CM1059" s="52"/>
      <c r="CN1059" s="52"/>
      <c r="CO1059" s="52"/>
      <c r="CP1059" s="52"/>
      <c r="CQ1059" s="52">
        <v>12901919</v>
      </c>
      <c r="CR1059" s="52"/>
      <c r="CS1059" s="52">
        <f t="shared" si="164"/>
        <v>268444563</v>
      </c>
      <c r="CT1059" s="53">
        <v>103215352</v>
      </c>
      <c r="CU1059" s="53">
        <f t="shared" si="165"/>
        <v>165229211</v>
      </c>
      <c r="CV1059" s="54">
        <f t="shared" si="168"/>
        <v>268444563</v>
      </c>
      <c r="CW1059" s="55">
        <f t="shared" si="169"/>
        <v>0</v>
      </c>
      <c r="CX1059" s="16"/>
      <c r="CY1059" s="8"/>
      <c r="CZ1059" s="8"/>
      <c r="DA1059" s="8"/>
      <c r="DB1059" s="8"/>
      <c r="DC1059" s="8"/>
      <c r="DD1059" s="8"/>
    </row>
    <row r="1060" spans="1:108" ht="15" customHeight="1" x14ac:dyDescent="0.2">
      <c r="A1060" s="1">
        <v>8000996354</v>
      </c>
      <c r="B1060" s="1">
        <v>800099635</v>
      </c>
      <c r="C1060" s="9">
        <v>213915839</v>
      </c>
      <c r="D1060" s="10" t="s">
        <v>331</v>
      </c>
      <c r="E1060" s="46" t="s">
        <v>1362</v>
      </c>
      <c r="F1060" s="21"/>
      <c r="G1060" s="50"/>
      <c r="H1060" s="21"/>
      <c r="I1060" s="50"/>
      <c r="J1060" s="21"/>
      <c r="K1060" s="21"/>
      <c r="L1060" s="50"/>
      <c r="M1060" s="51"/>
      <c r="N1060" s="21"/>
      <c r="O1060" s="50"/>
      <c r="P1060" s="21"/>
      <c r="Q1060" s="50"/>
      <c r="R1060" s="21"/>
      <c r="S1060" s="21"/>
      <c r="T1060" s="50"/>
      <c r="U1060" s="51">
        <f t="shared" si="163"/>
        <v>0</v>
      </c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>
        <f>VLOOKUP(B1060,[1]Hoja3!J$3:K$674,2,0)</f>
        <v>36086375</v>
      </c>
      <c r="BB1060" s="51"/>
      <c r="BC1060" s="52">
        <f t="shared" si="166"/>
        <v>36086375</v>
      </c>
      <c r="BD1060" s="51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>
        <v>0</v>
      </c>
      <c r="BO1060" s="51"/>
      <c r="BP1060" s="52">
        <v>36086375</v>
      </c>
      <c r="BQ1060" s="52"/>
      <c r="BR1060" s="52"/>
      <c r="BS1060" s="52"/>
      <c r="BT1060" s="52"/>
      <c r="BU1060" s="52"/>
      <c r="BV1060" s="52"/>
      <c r="BW1060" s="52"/>
      <c r="BX1060" s="52"/>
      <c r="BY1060" s="52"/>
      <c r="BZ1060" s="52"/>
      <c r="CA1060" s="52"/>
      <c r="CB1060" s="52"/>
      <c r="CC1060" s="52">
        <v>0</v>
      </c>
      <c r="CD1060" s="52"/>
      <c r="CE1060" s="52"/>
      <c r="CF1060" s="52"/>
      <c r="CG1060" s="52">
        <f t="shared" si="167"/>
        <v>36086375</v>
      </c>
      <c r="CH1060" s="52"/>
      <c r="CI1060" s="52"/>
      <c r="CJ1060" s="52"/>
      <c r="CK1060" s="52"/>
      <c r="CL1060" s="52"/>
      <c r="CM1060" s="52"/>
      <c r="CN1060" s="52"/>
      <c r="CO1060" s="52"/>
      <c r="CP1060" s="52"/>
      <c r="CQ1060" s="52">
        <v>0</v>
      </c>
      <c r="CR1060" s="52"/>
      <c r="CS1060" s="52">
        <f t="shared" si="164"/>
        <v>36086375</v>
      </c>
      <c r="CT1060" s="53"/>
      <c r="CU1060" s="53">
        <f t="shared" si="165"/>
        <v>36086375</v>
      </c>
      <c r="CV1060" s="54">
        <f t="shared" si="168"/>
        <v>36086375</v>
      </c>
      <c r="CW1060" s="55">
        <f t="shared" si="169"/>
        <v>0</v>
      </c>
      <c r="CX1060" s="16"/>
      <c r="CY1060" s="8"/>
      <c r="CZ1060" s="8"/>
      <c r="DA1060" s="8"/>
      <c r="DB1060" s="8"/>
      <c r="DC1060" s="8"/>
      <c r="DD1060" s="8"/>
    </row>
    <row r="1061" spans="1:108" ht="15" customHeight="1" x14ac:dyDescent="0.2">
      <c r="A1061" s="1">
        <v>8999993851</v>
      </c>
      <c r="B1061" s="1">
        <v>899999385</v>
      </c>
      <c r="C1061" s="9">
        <v>213925839</v>
      </c>
      <c r="D1061" s="10" t="s">
        <v>554</v>
      </c>
      <c r="E1061" s="46" t="s">
        <v>2074</v>
      </c>
      <c r="F1061" s="21"/>
      <c r="G1061" s="50"/>
      <c r="H1061" s="21"/>
      <c r="I1061" s="50"/>
      <c r="J1061" s="21"/>
      <c r="K1061" s="21"/>
      <c r="L1061" s="50"/>
      <c r="M1061" s="51"/>
      <c r="N1061" s="21"/>
      <c r="O1061" s="50"/>
      <c r="P1061" s="21"/>
      <c r="Q1061" s="50"/>
      <c r="R1061" s="21"/>
      <c r="S1061" s="21"/>
      <c r="T1061" s="50"/>
      <c r="U1061" s="51">
        <f t="shared" si="163"/>
        <v>0</v>
      </c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>
        <v>180474721</v>
      </c>
      <c r="AN1061" s="51">
        <f>SUBTOTAL(9,AC1061:AM1061)</f>
        <v>180474721</v>
      </c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2">
        <f t="shared" si="166"/>
        <v>180474721</v>
      </c>
      <c r="BD1061" s="51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>
        <v>0</v>
      </c>
      <c r="BO1061" s="51"/>
      <c r="BP1061" s="52">
        <v>180474721</v>
      </c>
      <c r="BQ1061" s="52"/>
      <c r="BR1061" s="52"/>
      <c r="BS1061" s="52"/>
      <c r="BT1061" s="52"/>
      <c r="BU1061" s="52"/>
      <c r="BV1061" s="52"/>
      <c r="BW1061" s="52"/>
      <c r="BX1061" s="52"/>
      <c r="BY1061" s="52"/>
      <c r="BZ1061" s="52"/>
      <c r="CA1061" s="52"/>
      <c r="CB1061" s="52"/>
      <c r="CC1061" s="52">
        <v>0</v>
      </c>
      <c r="CD1061" s="52"/>
      <c r="CE1061" s="52"/>
      <c r="CF1061" s="52"/>
      <c r="CG1061" s="52">
        <f t="shared" si="167"/>
        <v>180474721</v>
      </c>
      <c r="CH1061" s="52"/>
      <c r="CI1061" s="52"/>
      <c r="CJ1061" s="52"/>
      <c r="CK1061" s="52"/>
      <c r="CL1061" s="52"/>
      <c r="CM1061" s="52"/>
      <c r="CN1061" s="52"/>
      <c r="CO1061" s="52"/>
      <c r="CP1061" s="52"/>
      <c r="CQ1061" s="52">
        <v>125613504</v>
      </c>
      <c r="CR1061" s="52"/>
      <c r="CS1061" s="52">
        <f t="shared" si="164"/>
        <v>306088225</v>
      </c>
      <c r="CT1061" s="53">
        <v>125613504</v>
      </c>
      <c r="CU1061" s="53">
        <f t="shared" si="165"/>
        <v>180474721</v>
      </c>
      <c r="CV1061" s="54">
        <f t="shared" si="168"/>
        <v>306088225</v>
      </c>
      <c r="CW1061" s="55">
        <f t="shared" si="169"/>
        <v>0</v>
      </c>
      <c r="CX1061" s="16"/>
      <c r="CY1061" s="16"/>
      <c r="CZ1061" s="16"/>
    </row>
    <row r="1062" spans="1:108" ht="15" customHeight="1" x14ac:dyDescent="0.2">
      <c r="A1062" s="1">
        <v>8000955680</v>
      </c>
      <c r="B1062" s="1">
        <v>800095568</v>
      </c>
      <c r="C1062" s="9">
        <v>214125841</v>
      </c>
      <c r="D1062" s="10" t="s">
        <v>555</v>
      </c>
      <c r="E1062" s="46" t="s">
        <v>1577</v>
      </c>
      <c r="F1062" s="21"/>
      <c r="G1062" s="50"/>
      <c r="H1062" s="21"/>
      <c r="I1062" s="50"/>
      <c r="J1062" s="21"/>
      <c r="K1062" s="21"/>
      <c r="L1062" s="50"/>
      <c r="M1062" s="51"/>
      <c r="N1062" s="21"/>
      <c r="O1062" s="50"/>
      <c r="P1062" s="21"/>
      <c r="Q1062" s="50"/>
      <c r="R1062" s="21"/>
      <c r="S1062" s="21"/>
      <c r="T1062" s="50"/>
      <c r="U1062" s="51">
        <f t="shared" si="163"/>
        <v>0</v>
      </c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>
        <v>96905037</v>
      </c>
      <c r="AN1062" s="51">
        <f>SUBTOTAL(9,AC1062:AM1062)</f>
        <v>96905037</v>
      </c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2">
        <f t="shared" si="166"/>
        <v>96905037</v>
      </c>
      <c r="BD1062" s="51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>
        <v>8405366</v>
      </c>
      <c r="BO1062" s="51"/>
      <c r="BP1062" s="52">
        <v>105310403</v>
      </c>
      <c r="BQ1062" s="52"/>
      <c r="BR1062" s="52"/>
      <c r="BS1062" s="52"/>
      <c r="BT1062" s="52"/>
      <c r="BU1062" s="52"/>
      <c r="BV1062" s="52"/>
      <c r="BW1062" s="52"/>
      <c r="BX1062" s="52"/>
      <c r="BY1062" s="52"/>
      <c r="BZ1062" s="52"/>
      <c r="CA1062" s="52"/>
      <c r="CB1062" s="52"/>
      <c r="CC1062" s="52">
        <v>8405366</v>
      </c>
      <c r="CD1062" s="52">
        <v>42026830</v>
      </c>
      <c r="CE1062" s="52"/>
      <c r="CF1062" s="52"/>
      <c r="CG1062" s="52">
        <f t="shared" si="167"/>
        <v>155742599</v>
      </c>
      <c r="CH1062" s="52"/>
      <c r="CI1062" s="52"/>
      <c r="CJ1062" s="52"/>
      <c r="CK1062" s="52"/>
      <c r="CL1062" s="52"/>
      <c r="CM1062" s="52"/>
      <c r="CN1062" s="52"/>
      <c r="CO1062" s="52"/>
      <c r="CP1062" s="52"/>
      <c r="CQ1062" s="52">
        <v>8405366</v>
      </c>
      <c r="CR1062" s="52"/>
      <c r="CS1062" s="52">
        <f t="shared" si="164"/>
        <v>164147965</v>
      </c>
      <c r="CT1062" s="53">
        <v>67242928</v>
      </c>
      <c r="CU1062" s="53">
        <f t="shared" si="165"/>
        <v>96905037</v>
      </c>
      <c r="CV1062" s="54">
        <f t="shared" si="168"/>
        <v>164147965</v>
      </c>
      <c r="CW1062" s="55">
        <f t="shared" si="169"/>
        <v>0</v>
      </c>
      <c r="CX1062" s="16"/>
      <c r="CY1062" s="16"/>
      <c r="CZ1062" s="16"/>
    </row>
    <row r="1063" spans="1:108" ht="15" customHeight="1" x14ac:dyDescent="0.2">
      <c r="A1063" s="1">
        <v>8999992812</v>
      </c>
      <c r="B1063" s="1">
        <v>899999281</v>
      </c>
      <c r="C1063" s="9">
        <v>214325843</v>
      </c>
      <c r="D1063" s="10" t="s">
        <v>556</v>
      </c>
      <c r="E1063" s="46" t="s">
        <v>1507</v>
      </c>
      <c r="F1063" s="21"/>
      <c r="G1063" s="50"/>
      <c r="H1063" s="21"/>
      <c r="I1063" s="50"/>
      <c r="J1063" s="21"/>
      <c r="K1063" s="21"/>
      <c r="L1063" s="50"/>
      <c r="M1063" s="51"/>
      <c r="N1063" s="21"/>
      <c r="O1063" s="50"/>
      <c r="P1063" s="21"/>
      <c r="Q1063" s="50"/>
      <c r="R1063" s="21"/>
      <c r="S1063" s="21"/>
      <c r="T1063" s="50"/>
      <c r="U1063" s="51">
        <f t="shared" si="163"/>
        <v>0</v>
      </c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>
        <v>510537150</v>
      </c>
      <c r="AN1063" s="51">
        <f>SUBTOTAL(9,AC1063:AM1063)</f>
        <v>510537150</v>
      </c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2">
        <f t="shared" si="166"/>
        <v>510537150</v>
      </c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>
        <v>0</v>
      </c>
      <c r="BO1063" s="51"/>
      <c r="BP1063" s="52">
        <v>510537150</v>
      </c>
      <c r="BQ1063" s="52"/>
      <c r="BR1063" s="52"/>
      <c r="BS1063" s="52"/>
      <c r="BT1063" s="52"/>
      <c r="BU1063" s="52"/>
      <c r="BV1063" s="52"/>
      <c r="BW1063" s="52"/>
      <c r="BX1063" s="52"/>
      <c r="BY1063" s="52"/>
      <c r="BZ1063" s="52"/>
      <c r="CA1063" s="52"/>
      <c r="CB1063" s="52"/>
      <c r="CC1063" s="52">
        <v>0</v>
      </c>
      <c r="CD1063" s="52"/>
      <c r="CE1063" s="52"/>
      <c r="CF1063" s="52"/>
      <c r="CG1063" s="52">
        <f t="shared" si="167"/>
        <v>510537150</v>
      </c>
      <c r="CH1063" s="52"/>
      <c r="CI1063" s="52"/>
      <c r="CJ1063" s="52"/>
      <c r="CK1063" s="52"/>
      <c r="CL1063" s="52"/>
      <c r="CM1063" s="52"/>
      <c r="CN1063" s="52"/>
      <c r="CO1063" s="52"/>
      <c r="CP1063" s="52"/>
      <c r="CQ1063" s="52">
        <v>332772056</v>
      </c>
      <c r="CR1063" s="52"/>
      <c r="CS1063" s="52">
        <f t="shared" si="164"/>
        <v>843309206</v>
      </c>
      <c r="CT1063" s="53">
        <v>332772056</v>
      </c>
      <c r="CU1063" s="53">
        <f t="shared" si="165"/>
        <v>510537150</v>
      </c>
      <c r="CV1063" s="54">
        <f t="shared" si="168"/>
        <v>843309206</v>
      </c>
      <c r="CW1063" s="55">
        <f t="shared" si="169"/>
        <v>0</v>
      </c>
      <c r="CX1063" s="16"/>
      <c r="CY1063" s="16"/>
      <c r="CZ1063" s="16"/>
    </row>
    <row r="1064" spans="1:108" ht="15" customHeight="1" x14ac:dyDescent="0.2">
      <c r="A1064" s="1">
        <v>8001005295</v>
      </c>
      <c r="B1064" s="1">
        <v>800100529</v>
      </c>
      <c r="C1064" s="9">
        <v>214576845</v>
      </c>
      <c r="D1064" s="10" t="s">
        <v>942</v>
      </c>
      <c r="E1064" s="46" t="s">
        <v>2002</v>
      </c>
      <c r="F1064" s="21"/>
      <c r="G1064" s="50"/>
      <c r="H1064" s="21"/>
      <c r="I1064" s="50"/>
      <c r="J1064" s="21"/>
      <c r="K1064" s="21"/>
      <c r="L1064" s="50"/>
      <c r="M1064" s="51"/>
      <c r="N1064" s="21"/>
      <c r="O1064" s="50"/>
      <c r="P1064" s="21"/>
      <c r="Q1064" s="50"/>
      <c r="R1064" s="21"/>
      <c r="S1064" s="21"/>
      <c r="T1064" s="50"/>
      <c r="U1064" s="51">
        <f t="shared" si="163"/>
        <v>0</v>
      </c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>
        <v>33236615</v>
      </c>
      <c r="AZ1064" s="51"/>
      <c r="BA1064" s="51">
        <f>VLOOKUP(B1064,[1]Hoja3!J$3:K$674,2,0)</f>
        <v>75458308</v>
      </c>
      <c r="BB1064" s="51"/>
      <c r="BC1064" s="52">
        <f t="shared" si="166"/>
        <v>108694923</v>
      </c>
      <c r="BD1064" s="51"/>
      <c r="BE1064" s="51"/>
      <c r="BF1064" s="51"/>
      <c r="BG1064" s="51"/>
      <c r="BH1064" s="51"/>
      <c r="BI1064" s="51"/>
      <c r="BJ1064" s="51"/>
      <c r="BK1064" s="51"/>
      <c r="BL1064" s="51"/>
      <c r="BM1064" s="51"/>
      <c r="BN1064" s="51">
        <v>6647323</v>
      </c>
      <c r="BO1064" s="51"/>
      <c r="BP1064" s="52">
        <v>115342246</v>
      </c>
      <c r="BQ1064" s="52"/>
      <c r="BR1064" s="52"/>
      <c r="BS1064" s="52"/>
      <c r="BT1064" s="52"/>
      <c r="BU1064" s="52"/>
      <c r="BV1064" s="52"/>
      <c r="BW1064" s="52"/>
      <c r="BX1064" s="52"/>
      <c r="BY1064" s="52"/>
      <c r="BZ1064" s="52"/>
      <c r="CA1064" s="52"/>
      <c r="CB1064" s="52"/>
      <c r="CC1064" s="52">
        <v>6647323</v>
      </c>
      <c r="CD1064" s="52"/>
      <c r="CE1064" s="52"/>
      <c r="CF1064" s="52"/>
      <c r="CG1064" s="52">
        <f t="shared" si="167"/>
        <v>121989569</v>
      </c>
      <c r="CH1064" s="52"/>
      <c r="CI1064" s="52"/>
      <c r="CJ1064" s="52"/>
      <c r="CK1064" s="52"/>
      <c r="CL1064" s="52"/>
      <c r="CM1064" s="52"/>
      <c r="CN1064" s="52"/>
      <c r="CO1064" s="52"/>
      <c r="CP1064" s="52"/>
      <c r="CQ1064" s="52">
        <v>6647323</v>
      </c>
      <c r="CR1064" s="52"/>
      <c r="CS1064" s="52">
        <f t="shared" si="164"/>
        <v>128636892</v>
      </c>
      <c r="CT1064" s="53">
        <v>53178584</v>
      </c>
      <c r="CU1064" s="53">
        <f t="shared" si="165"/>
        <v>75458308</v>
      </c>
      <c r="CV1064" s="54">
        <f t="shared" si="168"/>
        <v>128636892</v>
      </c>
      <c r="CW1064" s="55">
        <f t="shared" si="169"/>
        <v>0</v>
      </c>
      <c r="CX1064" s="16"/>
      <c r="CY1064" s="16"/>
      <c r="CZ1064" s="16"/>
    </row>
    <row r="1065" spans="1:108" ht="15" customHeight="1" x14ac:dyDescent="0.2">
      <c r="A1065" s="1">
        <v>8000996315</v>
      </c>
      <c r="B1065" s="1">
        <v>800099631</v>
      </c>
      <c r="C1065" s="9">
        <v>214215842</v>
      </c>
      <c r="D1065" s="10" t="s">
        <v>332</v>
      </c>
      <c r="E1065" s="46" t="s">
        <v>1363</v>
      </c>
      <c r="F1065" s="21"/>
      <c r="G1065" s="50"/>
      <c r="H1065" s="21"/>
      <c r="I1065" s="50"/>
      <c r="J1065" s="21"/>
      <c r="K1065" s="21"/>
      <c r="L1065" s="50"/>
      <c r="M1065" s="51"/>
      <c r="N1065" s="21"/>
      <c r="O1065" s="50"/>
      <c r="P1065" s="21"/>
      <c r="Q1065" s="50"/>
      <c r="R1065" s="21"/>
      <c r="S1065" s="21"/>
      <c r="T1065" s="50"/>
      <c r="U1065" s="51">
        <f t="shared" si="163"/>
        <v>0</v>
      </c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>
        <v>58616700</v>
      </c>
      <c r="AZ1065" s="51"/>
      <c r="BA1065" s="51">
        <f>VLOOKUP(B1065,[1]Hoja3!J$3:K$674,2,0)</f>
        <v>115871514</v>
      </c>
      <c r="BB1065" s="51"/>
      <c r="BC1065" s="52">
        <f t="shared" si="166"/>
        <v>174488214</v>
      </c>
      <c r="BD1065" s="51"/>
      <c r="BE1065" s="51"/>
      <c r="BF1065" s="51"/>
      <c r="BG1065" s="51"/>
      <c r="BH1065" s="51"/>
      <c r="BI1065" s="51"/>
      <c r="BJ1065" s="51"/>
      <c r="BK1065" s="51"/>
      <c r="BL1065" s="51"/>
      <c r="BM1065" s="51"/>
      <c r="BN1065" s="51">
        <v>11723340</v>
      </c>
      <c r="BO1065" s="51"/>
      <c r="BP1065" s="52">
        <v>186211554</v>
      </c>
      <c r="BQ1065" s="52"/>
      <c r="BR1065" s="52"/>
      <c r="BS1065" s="52"/>
      <c r="BT1065" s="52"/>
      <c r="BU1065" s="52"/>
      <c r="BV1065" s="52"/>
      <c r="BW1065" s="52"/>
      <c r="BX1065" s="52"/>
      <c r="BY1065" s="52"/>
      <c r="BZ1065" s="52"/>
      <c r="CA1065" s="52"/>
      <c r="CB1065" s="52"/>
      <c r="CC1065" s="52">
        <v>11723340</v>
      </c>
      <c r="CD1065" s="52"/>
      <c r="CE1065" s="52"/>
      <c r="CF1065" s="52"/>
      <c r="CG1065" s="52">
        <f t="shared" si="167"/>
        <v>197934894</v>
      </c>
      <c r="CH1065" s="52"/>
      <c r="CI1065" s="52"/>
      <c r="CJ1065" s="52"/>
      <c r="CK1065" s="52"/>
      <c r="CL1065" s="52"/>
      <c r="CM1065" s="52"/>
      <c r="CN1065" s="52"/>
      <c r="CO1065" s="52"/>
      <c r="CP1065" s="52"/>
      <c r="CQ1065" s="52">
        <v>11723340</v>
      </c>
      <c r="CR1065" s="52"/>
      <c r="CS1065" s="52">
        <f t="shared" si="164"/>
        <v>209658234</v>
      </c>
      <c r="CT1065" s="53">
        <v>93786720</v>
      </c>
      <c r="CU1065" s="53">
        <f t="shared" si="165"/>
        <v>115871514</v>
      </c>
      <c r="CV1065" s="54">
        <f t="shared" si="168"/>
        <v>209658234</v>
      </c>
      <c r="CW1065" s="55">
        <f t="shared" si="169"/>
        <v>0</v>
      </c>
      <c r="CX1065" s="16"/>
      <c r="CY1065" s="8"/>
      <c r="CZ1065" s="8"/>
      <c r="DA1065" s="8"/>
      <c r="DB1065" s="8"/>
      <c r="DC1065" s="8"/>
      <c r="DD1065" s="8"/>
    </row>
    <row r="1066" spans="1:108" ht="15" customHeight="1" x14ac:dyDescent="0.2">
      <c r="A1066" s="1">
        <v>8999993881</v>
      </c>
      <c r="B1066" s="1">
        <v>899999388</v>
      </c>
      <c r="C1066" s="9">
        <v>214525845</v>
      </c>
      <c r="D1066" s="10" t="s">
        <v>557</v>
      </c>
      <c r="E1066" s="46" t="s">
        <v>2073</v>
      </c>
      <c r="F1066" s="21"/>
      <c r="G1066" s="50"/>
      <c r="H1066" s="21"/>
      <c r="I1066" s="50"/>
      <c r="J1066" s="21"/>
      <c r="K1066" s="21"/>
      <c r="L1066" s="50"/>
      <c r="M1066" s="51"/>
      <c r="N1066" s="21"/>
      <c r="O1066" s="50"/>
      <c r="P1066" s="21"/>
      <c r="Q1066" s="50"/>
      <c r="R1066" s="21"/>
      <c r="S1066" s="21"/>
      <c r="T1066" s="50"/>
      <c r="U1066" s="51">
        <f t="shared" si="163"/>
        <v>0</v>
      </c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>
        <v>95696470</v>
      </c>
      <c r="AN1066" s="51">
        <f t="shared" ref="AN1066:AN1072" si="172">SUBTOTAL(9,AC1066:AM1066)</f>
        <v>95696470</v>
      </c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>
        <v>44791515</v>
      </c>
      <c r="AZ1066" s="51"/>
      <c r="BA1066" s="51"/>
      <c r="BB1066" s="51"/>
      <c r="BC1066" s="52">
        <f t="shared" si="166"/>
        <v>140487985</v>
      </c>
      <c r="BD1066" s="51"/>
      <c r="BE1066" s="51"/>
      <c r="BF1066" s="51"/>
      <c r="BG1066" s="51"/>
      <c r="BH1066" s="51"/>
      <c r="BI1066" s="51"/>
      <c r="BJ1066" s="51"/>
      <c r="BK1066" s="51"/>
      <c r="BL1066" s="51"/>
      <c r="BM1066" s="51"/>
      <c r="BN1066" s="51">
        <v>8958303</v>
      </c>
      <c r="BO1066" s="51"/>
      <c r="BP1066" s="52">
        <v>149446288</v>
      </c>
      <c r="BQ1066" s="52"/>
      <c r="BR1066" s="52"/>
      <c r="BS1066" s="52"/>
      <c r="BT1066" s="52"/>
      <c r="BU1066" s="52"/>
      <c r="BV1066" s="52"/>
      <c r="BW1066" s="52"/>
      <c r="BX1066" s="52"/>
      <c r="BY1066" s="52"/>
      <c r="BZ1066" s="52"/>
      <c r="CA1066" s="52"/>
      <c r="CB1066" s="52"/>
      <c r="CC1066" s="52">
        <v>8958303</v>
      </c>
      <c r="CD1066" s="52"/>
      <c r="CE1066" s="52"/>
      <c r="CF1066" s="52"/>
      <c r="CG1066" s="52">
        <f t="shared" si="167"/>
        <v>158404591</v>
      </c>
      <c r="CH1066" s="52"/>
      <c r="CI1066" s="52"/>
      <c r="CJ1066" s="52"/>
      <c r="CK1066" s="52"/>
      <c r="CL1066" s="52"/>
      <c r="CM1066" s="52"/>
      <c r="CN1066" s="52"/>
      <c r="CO1066" s="52"/>
      <c r="CP1066" s="52"/>
      <c r="CQ1066" s="52">
        <v>8958303</v>
      </c>
      <c r="CR1066" s="52"/>
      <c r="CS1066" s="52">
        <f t="shared" si="164"/>
        <v>167362894</v>
      </c>
      <c r="CT1066" s="53">
        <v>71666424</v>
      </c>
      <c r="CU1066" s="53">
        <f t="shared" si="165"/>
        <v>95696470</v>
      </c>
      <c r="CV1066" s="54">
        <f t="shared" si="168"/>
        <v>167362894</v>
      </c>
      <c r="CW1066" s="55">
        <f t="shared" si="169"/>
        <v>0</v>
      </c>
      <c r="CX1066" s="16"/>
      <c r="CY1066" s="16"/>
      <c r="CZ1066" s="16"/>
    </row>
    <row r="1067" spans="1:108" ht="15" customHeight="1" x14ac:dyDescent="0.2">
      <c r="A1067" s="1">
        <v>8916801964</v>
      </c>
      <c r="B1067" s="1">
        <v>891680196</v>
      </c>
      <c r="C1067" s="9">
        <v>210027800</v>
      </c>
      <c r="D1067" s="10" t="s">
        <v>591</v>
      </c>
      <c r="E1067" s="46" t="s">
        <v>1612</v>
      </c>
      <c r="F1067" s="21"/>
      <c r="G1067" s="50"/>
      <c r="H1067" s="21"/>
      <c r="I1067" s="50"/>
      <c r="J1067" s="21"/>
      <c r="K1067" s="21"/>
      <c r="L1067" s="50"/>
      <c r="M1067" s="51"/>
      <c r="N1067" s="21"/>
      <c r="O1067" s="50"/>
      <c r="P1067" s="21"/>
      <c r="Q1067" s="50"/>
      <c r="R1067" s="21"/>
      <c r="S1067" s="21"/>
      <c r="T1067" s="50"/>
      <c r="U1067" s="51">
        <f t="shared" si="163"/>
        <v>0</v>
      </c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>
        <v>247839748</v>
      </c>
      <c r="AN1067" s="51">
        <f t="shared" si="172"/>
        <v>247839748</v>
      </c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51"/>
      <c r="BC1067" s="52">
        <f t="shared" si="166"/>
        <v>247839748</v>
      </c>
      <c r="BD1067" s="51"/>
      <c r="BE1067" s="51"/>
      <c r="BF1067" s="51"/>
      <c r="BG1067" s="51"/>
      <c r="BH1067" s="51"/>
      <c r="BI1067" s="51"/>
      <c r="BJ1067" s="51"/>
      <c r="BK1067" s="51"/>
      <c r="BL1067" s="51"/>
      <c r="BM1067" s="51"/>
      <c r="BN1067" s="51">
        <v>0</v>
      </c>
      <c r="BO1067" s="51"/>
      <c r="BP1067" s="52">
        <v>247839748</v>
      </c>
      <c r="BQ1067" s="52"/>
      <c r="BR1067" s="52"/>
      <c r="BS1067" s="52"/>
      <c r="BT1067" s="52"/>
      <c r="BU1067" s="52"/>
      <c r="BV1067" s="52"/>
      <c r="BW1067" s="52"/>
      <c r="BX1067" s="52"/>
      <c r="BY1067" s="52"/>
      <c r="BZ1067" s="52"/>
      <c r="CA1067" s="52"/>
      <c r="CB1067" s="52"/>
      <c r="CC1067" s="52">
        <v>0</v>
      </c>
      <c r="CD1067" s="52"/>
      <c r="CE1067" s="52"/>
      <c r="CF1067" s="52"/>
      <c r="CG1067" s="52">
        <f t="shared" si="167"/>
        <v>247839748</v>
      </c>
      <c r="CH1067" s="52"/>
      <c r="CI1067" s="52"/>
      <c r="CJ1067" s="52"/>
      <c r="CK1067" s="52"/>
      <c r="CL1067" s="52"/>
      <c r="CM1067" s="52"/>
      <c r="CN1067" s="52"/>
      <c r="CO1067" s="52"/>
      <c r="CP1067" s="52"/>
      <c r="CQ1067" s="52">
        <v>0</v>
      </c>
      <c r="CR1067" s="52"/>
      <c r="CS1067" s="52">
        <f t="shared" si="164"/>
        <v>247839748</v>
      </c>
      <c r="CT1067" s="53"/>
      <c r="CU1067" s="53">
        <f t="shared" si="165"/>
        <v>247839748</v>
      </c>
      <c r="CV1067" s="54">
        <f t="shared" si="168"/>
        <v>247839748</v>
      </c>
      <c r="CW1067" s="55">
        <f t="shared" si="169"/>
        <v>0</v>
      </c>
      <c r="CX1067" s="16"/>
      <c r="CY1067" s="16"/>
      <c r="CZ1067" s="16"/>
    </row>
    <row r="1068" spans="1:108" ht="15" customHeight="1" x14ac:dyDescent="0.2">
      <c r="A1068" s="1">
        <v>8906800084</v>
      </c>
      <c r="B1068" s="1">
        <v>890680008</v>
      </c>
      <c r="C1068" s="9">
        <v>219025290</v>
      </c>
      <c r="D1068" s="10" t="s">
        <v>2165</v>
      </c>
      <c r="E1068" s="47" t="s">
        <v>1043</v>
      </c>
      <c r="F1068" s="21"/>
      <c r="G1068" s="50"/>
      <c r="H1068" s="21"/>
      <c r="I1068" s="57">
        <f>2731725207+89232918</f>
        <v>2820958125</v>
      </c>
      <c r="J1068" s="21">
        <v>197213198</v>
      </c>
      <c r="K1068" s="21">
        <v>390744693</v>
      </c>
      <c r="L1068" s="50"/>
      <c r="M1068" s="52">
        <f>SUM(F1068:L1068)</f>
        <v>3408916016</v>
      </c>
      <c r="N1068" s="21"/>
      <c r="O1068" s="50"/>
      <c r="P1068" s="21"/>
      <c r="Q1068" s="50">
        <f>2594904169+40560417</f>
        <v>2635464586</v>
      </c>
      <c r="R1068" s="21">
        <v>197213198</v>
      </c>
      <c r="S1068" s="21">
        <f>193531495+197213198</f>
        <v>390744693</v>
      </c>
      <c r="T1068" s="50"/>
      <c r="U1068" s="51">
        <f t="shared" si="163"/>
        <v>6632338493</v>
      </c>
      <c r="V1068" s="51"/>
      <c r="W1068" s="51"/>
      <c r="X1068" s="51"/>
      <c r="Y1068" s="51">
        <v>3433815669</v>
      </c>
      <c r="Z1068" s="51">
        <v>216493604</v>
      </c>
      <c r="AA1068" s="51">
        <v>427145476</v>
      </c>
      <c r="AB1068" s="51"/>
      <c r="AC1068" s="51">
        <f t="shared" si="170"/>
        <v>10709793242</v>
      </c>
      <c r="AD1068" s="51"/>
      <c r="AE1068" s="51"/>
      <c r="AF1068" s="51"/>
      <c r="AG1068" s="51"/>
      <c r="AH1068" s="51">
        <v>2640212833</v>
      </c>
      <c r="AI1068" s="51">
        <v>412375783</v>
      </c>
      <c r="AJ1068" s="51">
        <v>197794356</v>
      </c>
      <c r="AK1068" s="51">
        <v>498428595</v>
      </c>
      <c r="AL1068" s="51"/>
      <c r="AM1068" s="51">
        <v>1247312458</v>
      </c>
      <c r="AN1068" s="51">
        <f t="shared" si="172"/>
        <v>15705917267</v>
      </c>
      <c r="AO1068" s="51"/>
      <c r="AP1068" s="51"/>
      <c r="AQ1068" s="51">
        <v>428995335</v>
      </c>
      <c r="AR1068" s="51"/>
      <c r="AS1068" s="51"/>
      <c r="AT1068" s="51">
        <v>2640212833</v>
      </c>
      <c r="AU1068" s="51"/>
      <c r="AV1068" s="51">
        <v>197794356</v>
      </c>
      <c r="AW1068" s="51">
        <v>337599761</v>
      </c>
      <c r="AX1068" s="51"/>
      <c r="AY1068" s="51"/>
      <c r="AZ1068" s="51">
        <v>243423860</v>
      </c>
      <c r="BA1068" s="51"/>
      <c r="BB1068" s="51"/>
      <c r="BC1068" s="52">
        <f t="shared" si="166"/>
        <v>19553943412</v>
      </c>
      <c r="BD1068" s="51"/>
      <c r="BE1068" s="51"/>
      <c r="BF1068" s="51">
        <v>85799067</v>
      </c>
      <c r="BG1068" s="51"/>
      <c r="BH1068" s="51"/>
      <c r="BI1068" s="51">
        <v>2705068254</v>
      </c>
      <c r="BJ1068" s="51">
        <v>236558567</v>
      </c>
      <c r="BK1068" s="51">
        <v>170509372</v>
      </c>
      <c r="BL1068" s="51">
        <v>548917072</v>
      </c>
      <c r="BM1068" s="51"/>
      <c r="BN1068" s="51"/>
      <c r="BO1068" s="51"/>
      <c r="BP1068" s="52">
        <v>23300795744</v>
      </c>
      <c r="BQ1068" s="52"/>
      <c r="BR1068" s="52"/>
      <c r="BS1068" s="52">
        <v>85799067</v>
      </c>
      <c r="BT1068" s="52"/>
      <c r="BU1068" s="52"/>
      <c r="BV1068" s="52"/>
      <c r="BW1068" s="52">
        <v>2743407401</v>
      </c>
      <c r="BX1068" s="52"/>
      <c r="BY1068" s="52">
        <v>1261657514</v>
      </c>
      <c r="BZ1068" s="52">
        <v>215097807</v>
      </c>
      <c r="CA1068" s="52">
        <v>540016728</v>
      </c>
      <c r="CB1068" s="52"/>
      <c r="CC1068" s="52"/>
      <c r="CD1068" s="52"/>
      <c r="CE1068" s="52"/>
      <c r="CF1068" s="52"/>
      <c r="CG1068" s="52">
        <f t="shared" si="167"/>
        <v>28146774261</v>
      </c>
      <c r="CH1068" s="52"/>
      <c r="CI1068" s="52"/>
      <c r="CJ1068" s="52">
        <v>85799067</v>
      </c>
      <c r="CK1068" s="52"/>
      <c r="CL1068" s="52">
        <v>2680829382</v>
      </c>
      <c r="CM1068" s="52">
        <v>212451191</v>
      </c>
      <c r="CN1068" s="52">
        <v>197232389</v>
      </c>
      <c r="CO1068" s="52">
        <v>356349562</v>
      </c>
      <c r="CP1068" s="52"/>
      <c r="CQ1068" s="52"/>
      <c r="CR1068" s="52"/>
      <c r="CS1068" s="52">
        <f t="shared" si="164"/>
        <v>31679435852</v>
      </c>
      <c r="CT1068" s="53">
        <v>30432123394</v>
      </c>
      <c r="CU1068" s="53">
        <f t="shared" si="165"/>
        <v>1247312458</v>
      </c>
      <c r="CV1068" s="54">
        <f t="shared" si="168"/>
        <v>31679435852</v>
      </c>
      <c r="CW1068" s="55">
        <f t="shared" si="169"/>
        <v>0</v>
      </c>
      <c r="CX1068" s="16"/>
      <c r="CY1068" s="16"/>
      <c r="CZ1068" s="16"/>
    </row>
    <row r="1069" spans="1:108" ht="15" customHeight="1" x14ac:dyDescent="0.2">
      <c r="A1069" s="1">
        <v>8180009610</v>
      </c>
      <c r="B1069" s="1">
        <v>818000961</v>
      </c>
      <c r="C1069" s="9">
        <v>211027810</v>
      </c>
      <c r="D1069" s="10" t="s">
        <v>592</v>
      </c>
      <c r="E1069" s="46" t="s">
        <v>1613</v>
      </c>
      <c r="F1069" s="21"/>
      <c r="G1069" s="50"/>
      <c r="H1069" s="21"/>
      <c r="I1069" s="50"/>
      <c r="J1069" s="21"/>
      <c r="K1069" s="21"/>
      <c r="L1069" s="50"/>
      <c r="M1069" s="51"/>
      <c r="N1069" s="21"/>
      <c r="O1069" s="50"/>
      <c r="P1069" s="21"/>
      <c r="Q1069" s="50"/>
      <c r="R1069" s="21"/>
      <c r="S1069" s="21"/>
      <c r="T1069" s="50"/>
      <c r="U1069" s="51">
        <f t="shared" si="163"/>
        <v>0</v>
      </c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>
        <v>125139528</v>
      </c>
      <c r="AN1069" s="51">
        <f t="shared" si="172"/>
        <v>125139528</v>
      </c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>
        <v>64427725</v>
      </c>
      <c r="AZ1069" s="51"/>
      <c r="BA1069" s="51"/>
      <c r="BB1069" s="51"/>
      <c r="BC1069" s="52">
        <f t="shared" si="166"/>
        <v>189567253</v>
      </c>
      <c r="BD1069" s="51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>
        <v>12885545</v>
      </c>
      <c r="BO1069" s="51"/>
      <c r="BP1069" s="52">
        <v>202452798</v>
      </c>
      <c r="BQ1069" s="52"/>
      <c r="BR1069" s="52"/>
      <c r="BS1069" s="52"/>
      <c r="BT1069" s="52"/>
      <c r="BU1069" s="52"/>
      <c r="BV1069" s="52"/>
      <c r="BW1069" s="52"/>
      <c r="BX1069" s="52"/>
      <c r="BY1069" s="52"/>
      <c r="BZ1069" s="52"/>
      <c r="CA1069" s="52"/>
      <c r="CB1069" s="52"/>
      <c r="CC1069" s="52">
        <v>12885545</v>
      </c>
      <c r="CD1069" s="52"/>
      <c r="CE1069" s="52"/>
      <c r="CF1069" s="52"/>
      <c r="CG1069" s="52">
        <f t="shared" si="167"/>
        <v>215338343</v>
      </c>
      <c r="CH1069" s="52"/>
      <c r="CI1069" s="52"/>
      <c r="CJ1069" s="52"/>
      <c r="CK1069" s="52"/>
      <c r="CL1069" s="52"/>
      <c r="CM1069" s="52"/>
      <c r="CN1069" s="52"/>
      <c r="CO1069" s="52"/>
      <c r="CP1069" s="52"/>
      <c r="CQ1069" s="52">
        <v>12885545</v>
      </c>
      <c r="CR1069" s="52"/>
      <c r="CS1069" s="52">
        <f t="shared" si="164"/>
        <v>228223888</v>
      </c>
      <c r="CT1069" s="53">
        <v>103084360</v>
      </c>
      <c r="CU1069" s="53">
        <f t="shared" si="165"/>
        <v>125139528</v>
      </c>
      <c r="CV1069" s="54">
        <f t="shared" si="168"/>
        <v>228223888</v>
      </c>
      <c r="CW1069" s="55">
        <f t="shared" si="169"/>
        <v>0</v>
      </c>
      <c r="CX1069" s="16"/>
      <c r="CY1069" s="16"/>
      <c r="CZ1069" s="16"/>
    </row>
    <row r="1070" spans="1:108" ht="15" customHeight="1" x14ac:dyDescent="0.2">
      <c r="A1070" s="1">
        <v>8909845754</v>
      </c>
      <c r="B1070" s="1">
        <v>890984575</v>
      </c>
      <c r="C1070" s="9">
        <v>214205842</v>
      </c>
      <c r="D1070" s="10" t="s">
        <v>149</v>
      </c>
      <c r="E1070" s="46" t="s">
        <v>1178</v>
      </c>
      <c r="F1070" s="21"/>
      <c r="G1070" s="50"/>
      <c r="H1070" s="21"/>
      <c r="I1070" s="50"/>
      <c r="J1070" s="21"/>
      <c r="K1070" s="21"/>
      <c r="L1070" s="50"/>
      <c r="M1070" s="51"/>
      <c r="N1070" s="21"/>
      <c r="O1070" s="50"/>
      <c r="P1070" s="21"/>
      <c r="Q1070" s="50"/>
      <c r="R1070" s="21"/>
      <c r="S1070" s="21"/>
      <c r="T1070" s="50"/>
      <c r="U1070" s="51">
        <f t="shared" si="163"/>
        <v>0</v>
      </c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>
        <v>114018837</v>
      </c>
      <c r="AN1070" s="51">
        <f t="shared" si="172"/>
        <v>114018837</v>
      </c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>
        <v>71429765</v>
      </c>
      <c r="AZ1070" s="51"/>
      <c r="BA1070" s="51"/>
      <c r="BB1070" s="51"/>
      <c r="BC1070" s="52">
        <f t="shared" si="166"/>
        <v>185448602</v>
      </c>
      <c r="BD1070" s="51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>
        <v>14285953</v>
      </c>
      <c r="BO1070" s="51"/>
      <c r="BP1070" s="52">
        <v>199734555</v>
      </c>
      <c r="BQ1070" s="52"/>
      <c r="BR1070" s="52"/>
      <c r="BS1070" s="52"/>
      <c r="BT1070" s="52"/>
      <c r="BU1070" s="52"/>
      <c r="BV1070" s="52"/>
      <c r="BW1070" s="52"/>
      <c r="BX1070" s="52"/>
      <c r="BY1070" s="52"/>
      <c r="BZ1070" s="52"/>
      <c r="CA1070" s="52"/>
      <c r="CB1070" s="52"/>
      <c r="CC1070" s="52">
        <v>14285953</v>
      </c>
      <c r="CD1070" s="52"/>
      <c r="CE1070" s="52"/>
      <c r="CF1070" s="52"/>
      <c r="CG1070" s="52">
        <f t="shared" si="167"/>
        <v>214020508</v>
      </c>
      <c r="CH1070" s="52"/>
      <c r="CI1070" s="52"/>
      <c r="CJ1070" s="52"/>
      <c r="CK1070" s="52"/>
      <c r="CL1070" s="52"/>
      <c r="CM1070" s="52"/>
      <c r="CN1070" s="52"/>
      <c r="CO1070" s="52"/>
      <c r="CP1070" s="52"/>
      <c r="CQ1070" s="52">
        <v>14285953</v>
      </c>
      <c r="CR1070" s="52"/>
      <c r="CS1070" s="52">
        <f t="shared" si="164"/>
        <v>228306461</v>
      </c>
      <c r="CT1070" s="53">
        <v>114287624</v>
      </c>
      <c r="CU1070" s="53">
        <f t="shared" si="165"/>
        <v>114018837</v>
      </c>
      <c r="CV1070" s="54">
        <f t="shared" si="168"/>
        <v>228306461</v>
      </c>
      <c r="CW1070" s="55">
        <f t="shared" si="169"/>
        <v>0</v>
      </c>
      <c r="CX1070" s="16"/>
      <c r="CY1070" s="16"/>
      <c r="CZ1070" s="16"/>
    </row>
    <row r="1071" spans="1:108" ht="15" customHeight="1" x14ac:dyDescent="0.2">
      <c r="A1071" s="1">
        <v>8921151554</v>
      </c>
      <c r="B1071" s="1">
        <v>892115155</v>
      </c>
      <c r="C1071" s="9">
        <v>214744847</v>
      </c>
      <c r="D1071" s="10" t="s">
        <v>2199</v>
      </c>
      <c r="E1071" s="47" t="s">
        <v>1070</v>
      </c>
      <c r="F1071" s="21"/>
      <c r="G1071" s="50"/>
      <c r="H1071" s="21"/>
      <c r="I1071" s="50">
        <f>2278747717+294227763</f>
        <v>2572975480</v>
      </c>
      <c r="J1071" s="21">
        <v>179254019</v>
      </c>
      <c r="K1071" s="21">
        <v>369181765</v>
      </c>
      <c r="L1071" s="50"/>
      <c r="M1071" s="52">
        <f>SUM(F1071:L1071)</f>
        <v>3121411264</v>
      </c>
      <c r="N1071" s="21"/>
      <c r="O1071" s="50"/>
      <c r="P1071" s="21"/>
      <c r="Q1071" s="50">
        <f>2437120901+558984276</f>
        <v>2996105177</v>
      </c>
      <c r="R1071" s="21">
        <v>179356618</v>
      </c>
      <c r="S1071" s="21">
        <f>189927746+179356618</f>
        <v>369284364</v>
      </c>
      <c r="T1071" s="50"/>
      <c r="U1071" s="51">
        <f t="shared" si="163"/>
        <v>6666157423</v>
      </c>
      <c r="V1071" s="51"/>
      <c r="W1071" s="51"/>
      <c r="X1071" s="51"/>
      <c r="Y1071" s="51">
        <f>5289036688+3000000000</f>
        <v>8289036688</v>
      </c>
      <c r="Z1071" s="51">
        <v>40389512</v>
      </c>
      <c r="AA1071" s="51">
        <v>117209428</v>
      </c>
      <c r="AB1071" s="51"/>
      <c r="AC1071" s="51">
        <f t="shared" si="170"/>
        <v>15112793051</v>
      </c>
      <c r="AD1071" s="51"/>
      <c r="AE1071" s="51"/>
      <c r="AF1071" s="51"/>
      <c r="AG1071" s="51"/>
      <c r="AH1071" s="51">
        <v>3529006523</v>
      </c>
      <c r="AI1071" s="51">
        <v>3969939467</v>
      </c>
      <c r="AJ1071" s="51">
        <v>134011707</v>
      </c>
      <c r="AK1071" s="51">
        <v>346074171</v>
      </c>
      <c r="AL1071" s="51"/>
      <c r="AM1071" s="51">
        <v>240731451</v>
      </c>
      <c r="AN1071" s="51">
        <f t="shared" si="172"/>
        <v>23332556370</v>
      </c>
      <c r="AO1071" s="51"/>
      <c r="AP1071" s="51"/>
      <c r="AQ1071" s="51">
        <v>2523101600</v>
      </c>
      <c r="AR1071" s="51"/>
      <c r="AS1071" s="51"/>
      <c r="AT1071" s="51">
        <v>3529006523</v>
      </c>
      <c r="AU1071" s="51">
        <v>1472557236</v>
      </c>
      <c r="AV1071" s="51">
        <v>134011707</v>
      </c>
      <c r="AW1071" s="51">
        <v>236706965</v>
      </c>
      <c r="AX1071" s="51"/>
      <c r="AY1071" s="51"/>
      <c r="AZ1071" s="51">
        <v>2807431074</v>
      </c>
      <c r="BA1071" s="51"/>
      <c r="BB1071" s="51"/>
      <c r="BC1071" s="52">
        <f t="shared" si="166"/>
        <v>34035371475</v>
      </c>
      <c r="BD1071" s="51"/>
      <c r="BE1071" s="51"/>
      <c r="BF1071" s="51">
        <v>504620320</v>
      </c>
      <c r="BG1071" s="51"/>
      <c r="BH1071" s="51"/>
      <c r="BI1071" s="51">
        <v>2815437224</v>
      </c>
      <c r="BJ1071" s="51">
        <v>2647004822</v>
      </c>
      <c r="BK1071" s="51">
        <v>387268152</v>
      </c>
      <c r="BL1071" s="51">
        <v>898884858</v>
      </c>
      <c r="BM1071" s="51"/>
      <c r="BN1071" s="51"/>
      <c r="BO1071" s="51"/>
      <c r="BP1071" s="52">
        <v>41288586851</v>
      </c>
      <c r="BQ1071" s="52"/>
      <c r="BR1071" s="52"/>
      <c r="BS1071" s="52">
        <v>504620320</v>
      </c>
      <c r="BT1071" s="52"/>
      <c r="BU1071" s="52"/>
      <c r="BV1071" s="52"/>
      <c r="BW1071" s="52">
        <v>2568221174</v>
      </c>
      <c r="BX1071" s="52">
        <v>1323500597</v>
      </c>
      <c r="BY1071" s="52">
        <v>1183888010</v>
      </c>
      <c r="BZ1071" s="52">
        <v>188717296</v>
      </c>
      <c r="CA1071" s="52">
        <v>497123715</v>
      </c>
      <c r="CB1071" s="52"/>
      <c r="CC1071" s="52"/>
      <c r="CD1071" s="52"/>
      <c r="CE1071" s="52">
        <v>2499805047</v>
      </c>
      <c r="CF1071" s="52"/>
      <c r="CG1071" s="52">
        <f t="shared" si="167"/>
        <v>50054463010</v>
      </c>
      <c r="CH1071" s="52"/>
      <c r="CI1071" s="52"/>
      <c r="CJ1071" s="52">
        <v>504620320</v>
      </c>
      <c r="CK1071" s="52"/>
      <c r="CL1071" s="52">
        <v>2699533261</v>
      </c>
      <c r="CM1071" s="52">
        <v>1693597752</v>
      </c>
      <c r="CN1071" s="52">
        <v>186854304</v>
      </c>
      <c r="CO1071" s="52">
        <v>351045926</v>
      </c>
      <c r="CP1071" s="52"/>
      <c r="CQ1071" s="52"/>
      <c r="CR1071" s="52"/>
      <c r="CS1071" s="52">
        <f t="shared" si="164"/>
        <v>55490114573</v>
      </c>
      <c r="CT1071" s="53">
        <v>52749578075</v>
      </c>
      <c r="CU1071" s="53">
        <f t="shared" si="165"/>
        <v>2740536498</v>
      </c>
      <c r="CV1071" s="54">
        <f t="shared" si="168"/>
        <v>55490114573</v>
      </c>
      <c r="CW1071" s="55">
        <f t="shared" si="169"/>
        <v>0</v>
      </c>
      <c r="CX1071" s="16"/>
      <c r="CY1071" s="8"/>
      <c r="CZ1071" s="8"/>
      <c r="DA1071" s="8"/>
      <c r="DB1071" s="8"/>
      <c r="DC1071" s="8"/>
      <c r="DD1071" s="8"/>
    </row>
    <row r="1072" spans="1:108" ht="15" customHeight="1" x14ac:dyDescent="0.2">
      <c r="A1072" s="1">
        <v>8909075154</v>
      </c>
      <c r="B1072" s="1">
        <v>890907515</v>
      </c>
      <c r="C1072" s="9">
        <v>214705847</v>
      </c>
      <c r="D1072" s="10" t="s">
        <v>150</v>
      </c>
      <c r="E1072" s="46" t="s">
        <v>1179</v>
      </c>
      <c r="F1072" s="21"/>
      <c r="G1072" s="50"/>
      <c r="H1072" s="21"/>
      <c r="I1072" s="50"/>
      <c r="J1072" s="21"/>
      <c r="K1072" s="21"/>
      <c r="L1072" s="50"/>
      <c r="M1072" s="51"/>
      <c r="N1072" s="21"/>
      <c r="O1072" s="50"/>
      <c r="P1072" s="21"/>
      <c r="Q1072" s="50"/>
      <c r="R1072" s="21"/>
      <c r="S1072" s="21"/>
      <c r="T1072" s="50"/>
      <c r="U1072" s="51">
        <f t="shared" si="163"/>
        <v>0</v>
      </c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>
        <v>487482501</v>
      </c>
      <c r="AN1072" s="51">
        <f t="shared" si="172"/>
        <v>487482501</v>
      </c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>
        <v>238674975</v>
      </c>
      <c r="AZ1072" s="51"/>
      <c r="BA1072" s="51"/>
      <c r="BB1072" s="51"/>
      <c r="BC1072" s="52">
        <f t="shared" si="166"/>
        <v>726157476</v>
      </c>
      <c r="BD1072" s="51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>
        <v>47734995</v>
      </c>
      <c r="BO1072" s="51"/>
      <c r="BP1072" s="52">
        <v>773892471</v>
      </c>
      <c r="BQ1072" s="52"/>
      <c r="BR1072" s="52"/>
      <c r="BS1072" s="52"/>
      <c r="BT1072" s="52"/>
      <c r="BU1072" s="52"/>
      <c r="BV1072" s="52"/>
      <c r="BW1072" s="52"/>
      <c r="BX1072" s="52"/>
      <c r="BY1072" s="52"/>
      <c r="BZ1072" s="52"/>
      <c r="CA1072" s="52"/>
      <c r="CB1072" s="52"/>
      <c r="CC1072" s="52">
        <v>47734995</v>
      </c>
      <c r="CD1072" s="52"/>
      <c r="CE1072" s="52"/>
      <c r="CF1072" s="52"/>
      <c r="CG1072" s="52">
        <f t="shared" si="167"/>
        <v>821627466</v>
      </c>
      <c r="CH1072" s="52"/>
      <c r="CI1072" s="52"/>
      <c r="CJ1072" s="52"/>
      <c r="CK1072" s="52"/>
      <c r="CL1072" s="52"/>
      <c r="CM1072" s="52"/>
      <c r="CN1072" s="52"/>
      <c r="CO1072" s="52"/>
      <c r="CP1072" s="52"/>
      <c r="CQ1072" s="52">
        <v>47734995</v>
      </c>
      <c r="CR1072" s="52"/>
      <c r="CS1072" s="52">
        <f t="shared" si="164"/>
        <v>869362461</v>
      </c>
      <c r="CT1072" s="53">
        <v>381879960</v>
      </c>
      <c r="CU1072" s="53">
        <f t="shared" si="165"/>
        <v>487482501</v>
      </c>
      <c r="CV1072" s="54">
        <f t="shared" si="168"/>
        <v>869362461</v>
      </c>
      <c r="CW1072" s="55">
        <f t="shared" si="169"/>
        <v>0</v>
      </c>
      <c r="CX1072" s="16"/>
      <c r="CY1072" s="16"/>
      <c r="CZ1072" s="16"/>
    </row>
    <row r="1073" spans="1:108" ht="15" customHeight="1" x14ac:dyDescent="0.2">
      <c r="A1073" s="1">
        <v>8000594056</v>
      </c>
      <c r="B1073" s="1">
        <v>800059405</v>
      </c>
      <c r="C1073" s="9">
        <v>215544855</v>
      </c>
      <c r="D1073" s="10" t="s">
        <v>638</v>
      </c>
      <c r="E1073" s="46" t="s">
        <v>1657</v>
      </c>
      <c r="F1073" s="21"/>
      <c r="G1073" s="50"/>
      <c r="H1073" s="21"/>
      <c r="I1073" s="50"/>
      <c r="J1073" s="21"/>
      <c r="K1073" s="21"/>
      <c r="L1073" s="50"/>
      <c r="M1073" s="51"/>
      <c r="N1073" s="21"/>
      <c r="O1073" s="50"/>
      <c r="P1073" s="21"/>
      <c r="Q1073" s="50"/>
      <c r="R1073" s="21"/>
      <c r="S1073" s="21"/>
      <c r="T1073" s="50"/>
      <c r="U1073" s="51">
        <f t="shared" si="163"/>
        <v>0</v>
      </c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>
        <f>VLOOKUP(B1073,[1]Hoja3!J$3:K$674,2,0)</f>
        <v>149160432</v>
      </c>
      <c r="BB1073" s="51"/>
      <c r="BC1073" s="52">
        <f t="shared" si="166"/>
        <v>149160432</v>
      </c>
      <c r="BD1073" s="51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>
        <v>19204439</v>
      </c>
      <c r="BO1073" s="51"/>
      <c r="BP1073" s="52">
        <v>168364871</v>
      </c>
      <c r="BQ1073" s="52"/>
      <c r="BR1073" s="52"/>
      <c r="BS1073" s="52"/>
      <c r="BT1073" s="52"/>
      <c r="BU1073" s="52"/>
      <c r="BV1073" s="52"/>
      <c r="BW1073" s="52"/>
      <c r="BX1073" s="52"/>
      <c r="BY1073" s="52"/>
      <c r="BZ1073" s="52"/>
      <c r="CA1073" s="52"/>
      <c r="CB1073" s="52"/>
      <c r="CC1073" s="52">
        <v>19204439</v>
      </c>
      <c r="CD1073" s="52">
        <v>96022195</v>
      </c>
      <c r="CE1073" s="52"/>
      <c r="CF1073" s="52"/>
      <c r="CG1073" s="52">
        <f t="shared" si="167"/>
        <v>283591505</v>
      </c>
      <c r="CH1073" s="52"/>
      <c r="CI1073" s="52"/>
      <c r="CJ1073" s="52"/>
      <c r="CK1073" s="52"/>
      <c r="CL1073" s="52"/>
      <c r="CM1073" s="52"/>
      <c r="CN1073" s="52"/>
      <c r="CO1073" s="52"/>
      <c r="CP1073" s="52"/>
      <c r="CQ1073" s="52">
        <v>19204439</v>
      </c>
      <c r="CR1073" s="52"/>
      <c r="CS1073" s="52">
        <f t="shared" si="164"/>
        <v>302795944</v>
      </c>
      <c r="CT1073" s="53">
        <v>153635512</v>
      </c>
      <c r="CU1073" s="53">
        <f t="shared" si="165"/>
        <v>149160432</v>
      </c>
      <c r="CV1073" s="54">
        <f t="shared" si="168"/>
        <v>302795944</v>
      </c>
      <c r="CW1073" s="55">
        <f t="shared" si="169"/>
        <v>0</v>
      </c>
      <c r="CX1073" s="16"/>
      <c r="CY1073" s="16"/>
      <c r="CZ1073" s="16"/>
    </row>
    <row r="1074" spans="1:108" ht="15" customHeight="1" x14ac:dyDescent="0.2">
      <c r="A1074" s="1">
        <v>8000943783</v>
      </c>
      <c r="B1074" s="1">
        <v>800094378</v>
      </c>
      <c r="C1074" s="9">
        <v>214908849</v>
      </c>
      <c r="D1074" s="10" t="s">
        <v>180</v>
      </c>
      <c r="E1074" s="46" t="s">
        <v>1209</v>
      </c>
      <c r="F1074" s="21"/>
      <c r="G1074" s="50"/>
      <c r="H1074" s="21"/>
      <c r="I1074" s="50"/>
      <c r="J1074" s="21"/>
      <c r="K1074" s="21"/>
      <c r="L1074" s="50"/>
      <c r="M1074" s="51"/>
      <c r="N1074" s="21"/>
      <c r="O1074" s="50"/>
      <c r="P1074" s="21"/>
      <c r="Q1074" s="50"/>
      <c r="R1074" s="21"/>
      <c r="S1074" s="21"/>
      <c r="T1074" s="50"/>
      <c r="U1074" s="51">
        <f t="shared" si="163"/>
        <v>0</v>
      </c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>
        <v>61971710</v>
      </c>
      <c r="AZ1074" s="51"/>
      <c r="BA1074" s="51">
        <f>VLOOKUP(B1074,[1]Hoja3!J$3:K$674,2,0)</f>
        <v>117164688</v>
      </c>
      <c r="BB1074" s="51"/>
      <c r="BC1074" s="52">
        <f t="shared" si="166"/>
        <v>179136398</v>
      </c>
      <c r="BD1074" s="51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>
        <v>12394342</v>
      </c>
      <c r="BO1074" s="51"/>
      <c r="BP1074" s="52">
        <v>191530740</v>
      </c>
      <c r="BQ1074" s="52"/>
      <c r="BR1074" s="52"/>
      <c r="BS1074" s="52"/>
      <c r="BT1074" s="52"/>
      <c r="BU1074" s="52"/>
      <c r="BV1074" s="52"/>
      <c r="BW1074" s="52"/>
      <c r="BX1074" s="52"/>
      <c r="BY1074" s="52"/>
      <c r="BZ1074" s="52"/>
      <c r="CA1074" s="52"/>
      <c r="CB1074" s="52"/>
      <c r="CC1074" s="52">
        <v>12394342</v>
      </c>
      <c r="CD1074" s="52"/>
      <c r="CE1074" s="52"/>
      <c r="CF1074" s="52"/>
      <c r="CG1074" s="52">
        <f t="shared" si="167"/>
        <v>203925082</v>
      </c>
      <c r="CH1074" s="52"/>
      <c r="CI1074" s="52"/>
      <c r="CJ1074" s="52"/>
      <c r="CK1074" s="52"/>
      <c r="CL1074" s="52"/>
      <c r="CM1074" s="52"/>
      <c r="CN1074" s="52"/>
      <c r="CO1074" s="52"/>
      <c r="CP1074" s="52"/>
      <c r="CQ1074" s="52">
        <v>12394342</v>
      </c>
      <c r="CR1074" s="52"/>
      <c r="CS1074" s="52">
        <f t="shared" si="164"/>
        <v>216319424</v>
      </c>
      <c r="CT1074" s="53">
        <v>99154736</v>
      </c>
      <c r="CU1074" s="53">
        <f t="shared" si="165"/>
        <v>117164688</v>
      </c>
      <c r="CV1074" s="54">
        <f t="shared" si="168"/>
        <v>216319424</v>
      </c>
      <c r="CW1074" s="55">
        <f t="shared" si="169"/>
        <v>0</v>
      </c>
      <c r="CX1074" s="16"/>
      <c r="CY1074" s="16"/>
      <c r="CZ1074" s="16"/>
    </row>
    <row r="1075" spans="1:108" ht="15" customHeight="1" x14ac:dyDescent="0.2">
      <c r="A1075" s="1">
        <v>8999994073</v>
      </c>
      <c r="B1075" s="1">
        <v>899999407</v>
      </c>
      <c r="C1075" s="9">
        <v>215125851</v>
      </c>
      <c r="D1075" s="10" t="s">
        <v>558</v>
      </c>
      <c r="E1075" s="46" t="s">
        <v>1578</v>
      </c>
      <c r="F1075" s="21"/>
      <c r="G1075" s="50"/>
      <c r="H1075" s="21"/>
      <c r="I1075" s="50"/>
      <c r="J1075" s="21"/>
      <c r="K1075" s="21"/>
      <c r="L1075" s="50"/>
      <c r="M1075" s="51"/>
      <c r="N1075" s="21"/>
      <c r="O1075" s="50"/>
      <c r="P1075" s="21"/>
      <c r="Q1075" s="50"/>
      <c r="R1075" s="21"/>
      <c r="S1075" s="21"/>
      <c r="T1075" s="50"/>
      <c r="U1075" s="51">
        <f t="shared" si="163"/>
        <v>0</v>
      </c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>
        <v>45357577</v>
      </c>
      <c r="AN1075" s="51">
        <f>SUBTOTAL(9,AC1075:AM1075)</f>
        <v>45357577</v>
      </c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>
        <v>28191155</v>
      </c>
      <c r="AZ1075" s="51"/>
      <c r="BA1075" s="51"/>
      <c r="BB1075" s="51">
        <f>VLOOKUP(B1075,'[2]anuladas en mayo gratuidad}'!K$2:L$55,2,0)</f>
        <v>45357577</v>
      </c>
      <c r="BC1075" s="52">
        <f t="shared" si="166"/>
        <v>28191155</v>
      </c>
      <c r="BD1075" s="51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>
        <v>5638231</v>
      </c>
      <c r="BO1075" s="51"/>
      <c r="BP1075" s="52">
        <v>33829386</v>
      </c>
      <c r="BQ1075" s="52"/>
      <c r="BR1075" s="52"/>
      <c r="BS1075" s="52"/>
      <c r="BT1075" s="52"/>
      <c r="BU1075" s="52"/>
      <c r="BV1075" s="52"/>
      <c r="BW1075" s="52"/>
      <c r="BX1075" s="52"/>
      <c r="BY1075" s="52"/>
      <c r="BZ1075" s="52"/>
      <c r="CA1075" s="52"/>
      <c r="CB1075" s="52"/>
      <c r="CC1075" s="52">
        <v>5638231</v>
      </c>
      <c r="CD1075" s="52"/>
      <c r="CE1075" s="52"/>
      <c r="CF1075" s="52"/>
      <c r="CG1075" s="52">
        <f t="shared" si="167"/>
        <v>39467617</v>
      </c>
      <c r="CH1075" s="52"/>
      <c r="CI1075" s="52"/>
      <c r="CJ1075" s="52"/>
      <c r="CK1075" s="52"/>
      <c r="CL1075" s="52"/>
      <c r="CM1075" s="52"/>
      <c r="CN1075" s="52"/>
      <c r="CO1075" s="52"/>
      <c r="CP1075" s="52"/>
      <c r="CQ1075" s="52">
        <v>5638231</v>
      </c>
      <c r="CR1075" s="52">
        <v>45357577</v>
      </c>
      <c r="CS1075" s="52">
        <f t="shared" si="164"/>
        <v>90463425</v>
      </c>
      <c r="CT1075" s="53">
        <v>45105848</v>
      </c>
      <c r="CU1075" s="53">
        <f t="shared" si="165"/>
        <v>45357577</v>
      </c>
      <c r="CV1075" s="54">
        <f t="shared" si="168"/>
        <v>90463425</v>
      </c>
      <c r="CW1075" s="55">
        <f t="shared" si="169"/>
        <v>0</v>
      </c>
      <c r="CX1075" s="16"/>
      <c r="CY1075" s="16"/>
      <c r="CZ1075" s="16"/>
    </row>
    <row r="1076" spans="1:108" ht="15" customHeight="1" x14ac:dyDescent="0.2">
      <c r="A1076" s="1">
        <v>8909811061</v>
      </c>
      <c r="B1076" s="1">
        <v>890981106</v>
      </c>
      <c r="C1076" s="9">
        <v>215405854</v>
      </c>
      <c r="D1076" s="10" t="s">
        <v>151</v>
      </c>
      <c r="E1076" s="46" t="s">
        <v>1180</v>
      </c>
      <c r="F1076" s="21"/>
      <c r="G1076" s="50"/>
      <c r="H1076" s="21"/>
      <c r="I1076" s="50"/>
      <c r="J1076" s="21"/>
      <c r="K1076" s="21"/>
      <c r="L1076" s="50"/>
      <c r="M1076" s="51"/>
      <c r="N1076" s="21"/>
      <c r="O1076" s="50"/>
      <c r="P1076" s="21"/>
      <c r="Q1076" s="50"/>
      <c r="R1076" s="21"/>
      <c r="S1076" s="21"/>
      <c r="T1076" s="50"/>
      <c r="U1076" s="51">
        <f t="shared" si="163"/>
        <v>0</v>
      </c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>
        <v>145010885</v>
      </c>
      <c r="AZ1076" s="51"/>
      <c r="BA1076" s="51">
        <f>VLOOKUP(B1076,[1]Hoja3!J$3:K$674,2,0)</f>
        <v>260075606</v>
      </c>
      <c r="BB1076" s="51"/>
      <c r="BC1076" s="52">
        <f t="shared" si="166"/>
        <v>405086491</v>
      </c>
      <c r="BD1076" s="51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>
        <v>29002177</v>
      </c>
      <c r="BO1076" s="51"/>
      <c r="BP1076" s="52">
        <v>434088668</v>
      </c>
      <c r="BQ1076" s="52"/>
      <c r="BR1076" s="52"/>
      <c r="BS1076" s="52"/>
      <c r="BT1076" s="52"/>
      <c r="BU1076" s="52"/>
      <c r="BV1076" s="52"/>
      <c r="BW1076" s="52"/>
      <c r="BX1076" s="52"/>
      <c r="BY1076" s="52"/>
      <c r="BZ1076" s="52"/>
      <c r="CA1076" s="52"/>
      <c r="CB1076" s="52"/>
      <c r="CC1076" s="52">
        <v>29002177</v>
      </c>
      <c r="CD1076" s="52"/>
      <c r="CE1076" s="52"/>
      <c r="CF1076" s="52"/>
      <c r="CG1076" s="52">
        <f t="shared" si="167"/>
        <v>463090845</v>
      </c>
      <c r="CH1076" s="52"/>
      <c r="CI1076" s="52"/>
      <c r="CJ1076" s="52"/>
      <c r="CK1076" s="52"/>
      <c r="CL1076" s="52"/>
      <c r="CM1076" s="52"/>
      <c r="CN1076" s="52"/>
      <c r="CO1076" s="52"/>
      <c r="CP1076" s="52"/>
      <c r="CQ1076" s="52">
        <v>29002177</v>
      </c>
      <c r="CR1076" s="52"/>
      <c r="CS1076" s="52">
        <f t="shared" si="164"/>
        <v>492093022</v>
      </c>
      <c r="CT1076" s="53">
        <v>232017416</v>
      </c>
      <c r="CU1076" s="53">
        <f t="shared" si="165"/>
        <v>260075606</v>
      </c>
      <c r="CV1076" s="54">
        <f t="shared" si="168"/>
        <v>492093022</v>
      </c>
      <c r="CW1076" s="55">
        <f t="shared" si="169"/>
        <v>0</v>
      </c>
      <c r="CX1076" s="16"/>
      <c r="CY1076" s="16"/>
      <c r="CZ1076" s="16"/>
    </row>
    <row r="1077" spans="1:108" ht="15" customHeight="1" x14ac:dyDescent="0.2">
      <c r="A1077" s="1">
        <v>8000968088</v>
      </c>
      <c r="B1077" s="1">
        <v>800096808</v>
      </c>
      <c r="C1077" s="9">
        <v>215523855</v>
      </c>
      <c r="D1077" s="10" t="s">
        <v>459</v>
      </c>
      <c r="E1077" s="46" t="s">
        <v>1486</v>
      </c>
      <c r="F1077" s="21"/>
      <c r="G1077" s="50"/>
      <c r="H1077" s="21"/>
      <c r="I1077" s="50"/>
      <c r="J1077" s="21"/>
      <c r="K1077" s="21"/>
      <c r="L1077" s="50"/>
      <c r="M1077" s="51"/>
      <c r="N1077" s="21"/>
      <c r="O1077" s="50"/>
      <c r="P1077" s="21"/>
      <c r="Q1077" s="50"/>
      <c r="R1077" s="21"/>
      <c r="S1077" s="21"/>
      <c r="T1077" s="50"/>
      <c r="U1077" s="51">
        <f t="shared" si="163"/>
        <v>0</v>
      </c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>
        <v>463837804</v>
      </c>
      <c r="AN1077" s="51">
        <f>SUBTOTAL(9,AC1077:AM1077)</f>
        <v>463837804</v>
      </c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>
        <v>498408475</v>
      </c>
      <c r="AZ1077" s="51"/>
      <c r="BA1077" s="51"/>
      <c r="BB1077" s="51"/>
      <c r="BC1077" s="52">
        <f t="shared" si="166"/>
        <v>962246279</v>
      </c>
      <c r="BD1077" s="51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>
        <v>99681695</v>
      </c>
      <c r="BO1077" s="51"/>
      <c r="BP1077" s="52">
        <v>1061927974</v>
      </c>
      <c r="BQ1077" s="52"/>
      <c r="BR1077" s="52"/>
      <c r="BS1077" s="52"/>
      <c r="BT1077" s="52"/>
      <c r="BU1077" s="52"/>
      <c r="BV1077" s="52"/>
      <c r="BW1077" s="52"/>
      <c r="BX1077" s="52"/>
      <c r="BY1077" s="52"/>
      <c r="BZ1077" s="52"/>
      <c r="CA1077" s="52"/>
      <c r="CB1077" s="52"/>
      <c r="CC1077" s="52">
        <v>99681695</v>
      </c>
      <c r="CD1077" s="52"/>
      <c r="CE1077" s="52">
        <v>125284100</v>
      </c>
      <c r="CF1077" s="52"/>
      <c r="CG1077" s="52">
        <f t="shared" si="167"/>
        <v>1286893769</v>
      </c>
      <c r="CH1077" s="52"/>
      <c r="CI1077" s="52"/>
      <c r="CJ1077" s="52"/>
      <c r="CK1077" s="52"/>
      <c r="CL1077" s="52"/>
      <c r="CM1077" s="52"/>
      <c r="CN1077" s="52"/>
      <c r="CO1077" s="52"/>
      <c r="CP1077" s="52"/>
      <c r="CQ1077" s="52">
        <v>99681695</v>
      </c>
      <c r="CR1077" s="52"/>
      <c r="CS1077" s="52">
        <f t="shared" si="164"/>
        <v>1386575464</v>
      </c>
      <c r="CT1077" s="53">
        <v>797453560</v>
      </c>
      <c r="CU1077" s="53">
        <f t="shared" si="165"/>
        <v>589121904</v>
      </c>
      <c r="CV1077" s="54">
        <f t="shared" si="168"/>
        <v>1386575464</v>
      </c>
      <c r="CW1077" s="55">
        <f t="shared" si="169"/>
        <v>0</v>
      </c>
      <c r="CX1077" s="16"/>
      <c r="CY1077" s="16"/>
      <c r="CZ1077" s="16"/>
    </row>
    <row r="1078" spans="1:108" ht="15" customHeight="1" x14ac:dyDescent="0.2">
      <c r="A1078" s="1">
        <v>8001001436</v>
      </c>
      <c r="B1078" s="1">
        <v>800100143</v>
      </c>
      <c r="C1078" s="9">
        <v>215473854</v>
      </c>
      <c r="D1078" s="10" t="s">
        <v>2241</v>
      </c>
      <c r="E1078" s="46" t="s">
        <v>1969</v>
      </c>
      <c r="F1078" s="21"/>
      <c r="G1078" s="50"/>
      <c r="H1078" s="21"/>
      <c r="I1078" s="50"/>
      <c r="J1078" s="21"/>
      <c r="K1078" s="21"/>
      <c r="L1078" s="50"/>
      <c r="M1078" s="51"/>
      <c r="N1078" s="21"/>
      <c r="O1078" s="50"/>
      <c r="P1078" s="21"/>
      <c r="Q1078" s="50"/>
      <c r="R1078" s="21"/>
      <c r="S1078" s="21"/>
      <c r="T1078" s="50"/>
      <c r="U1078" s="51">
        <f t="shared" si="163"/>
        <v>0</v>
      </c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>
        <v>30028272</v>
      </c>
      <c r="AN1078" s="51">
        <f>SUBTOTAL(9,AC1078:AM1078)</f>
        <v>30028272</v>
      </c>
      <c r="AO1078" s="51"/>
      <c r="AP1078" s="51"/>
      <c r="AQ1078" s="51"/>
      <c r="AR1078" s="51"/>
      <c r="AS1078" s="51"/>
      <c r="AT1078" s="51"/>
      <c r="AU1078" s="51"/>
      <c r="AV1078" s="51"/>
      <c r="AW1078" s="51"/>
      <c r="AX1078" s="51"/>
      <c r="AY1078" s="51">
        <v>40128810</v>
      </c>
      <c r="AZ1078" s="51"/>
      <c r="BA1078" s="51">
        <f>VLOOKUP(B1078,[1]Hoja3!J$3:K$674,2,0)</f>
        <v>50267030</v>
      </c>
      <c r="BB1078" s="51"/>
      <c r="BC1078" s="52">
        <f t="shared" si="166"/>
        <v>120424112</v>
      </c>
      <c r="BD1078" s="51"/>
      <c r="BE1078" s="51"/>
      <c r="BF1078" s="51"/>
      <c r="BG1078" s="51"/>
      <c r="BH1078" s="51"/>
      <c r="BI1078" s="51"/>
      <c r="BJ1078" s="51"/>
      <c r="BK1078" s="51"/>
      <c r="BL1078" s="51"/>
      <c r="BM1078" s="51"/>
      <c r="BN1078" s="51">
        <v>8025762</v>
      </c>
      <c r="BO1078" s="51"/>
      <c r="BP1078" s="52">
        <v>128449874</v>
      </c>
      <c r="BQ1078" s="52"/>
      <c r="BR1078" s="52"/>
      <c r="BS1078" s="52"/>
      <c r="BT1078" s="52"/>
      <c r="BU1078" s="52"/>
      <c r="BV1078" s="52"/>
      <c r="BW1078" s="52"/>
      <c r="BX1078" s="52"/>
      <c r="BY1078" s="52"/>
      <c r="BZ1078" s="52"/>
      <c r="CA1078" s="52"/>
      <c r="CB1078" s="52"/>
      <c r="CC1078" s="52">
        <v>8025762</v>
      </c>
      <c r="CD1078" s="52"/>
      <c r="CE1078" s="52"/>
      <c r="CF1078" s="52"/>
      <c r="CG1078" s="52">
        <f t="shared" si="167"/>
        <v>136475636</v>
      </c>
      <c r="CH1078" s="52"/>
      <c r="CI1078" s="52"/>
      <c r="CJ1078" s="52"/>
      <c r="CK1078" s="52"/>
      <c r="CL1078" s="52"/>
      <c r="CM1078" s="52"/>
      <c r="CN1078" s="52"/>
      <c r="CO1078" s="52"/>
      <c r="CP1078" s="52"/>
      <c r="CQ1078" s="52">
        <v>8025762</v>
      </c>
      <c r="CR1078" s="52"/>
      <c r="CS1078" s="52">
        <f t="shared" si="164"/>
        <v>144501398</v>
      </c>
      <c r="CT1078" s="53">
        <v>64206096</v>
      </c>
      <c r="CU1078" s="53">
        <f t="shared" si="165"/>
        <v>80295302</v>
      </c>
      <c r="CV1078" s="54">
        <f t="shared" si="168"/>
        <v>144501398</v>
      </c>
      <c r="CW1078" s="55">
        <f t="shared" si="169"/>
        <v>0</v>
      </c>
      <c r="CX1078" s="16"/>
      <c r="CY1078" s="16"/>
      <c r="CZ1078" s="16"/>
    </row>
    <row r="1079" spans="1:108" ht="15" customHeight="1" x14ac:dyDescent="0.2">
      <c r="A1079" s="1">
        <v>8001029122</v>
      </c>
      <c r="B1079" s="1">
        <v>800102912</v>
      </c>
      <c r="C1079" s="9">
        <v>216586865</v>
      </c>
      <c r="D1079" s="10" t="s">
        <v>985</v>
      </c>
      <c r="E1079" s="46" t="s">
        <v>2042</v>
      </c>
      <c r="F1079" s="21"/>
      <c r="G1079" s="50"/>
      <c r="H1079" s="21"/>
      <c r="I1079" s="50"/>
      <c r="J1079" s="21"/>
      <c r="K1079" s="21"/>
      <c r="L1079" s="50"/>
      <c r="M1079" s="51"/>
      <c r="N1079" s="21"/>
      <c r="O1079" s="50"/>
      <c r="P1079" s="21"/>
      <c r="Q1079" s="50"/>
      <c r="R1079" s="21"/>
      <c r="S1079" s="21"/>
      <c r="T1079" s="50"/>
      <c r="U1079" s="51">
        <f t="shared" si="163"/>
        <v>0</v>
      </c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>
        <v>295738776</v>
      </c>
      <c r="AN1079" s="51">
        <f>SUBTOTAL(9,AC1079:AM1079)</f>
        <v>295738776</v>
      </c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>
        <v>348362800</v>
      </c>
      <c r="AZ1079" s="51"/>
      <c r="BA1079" s="51">
        <f>VLOOKUP(B1079,[1]Hoja3!J$3:K$674,2,0)</f>
        <v>265940919</v>
      </c>
      <c r="BB1079" s="51"/>
      <c r="BC1079" s="52">
        <f t="shared" si="166"/>
        <v>910042495</v>
      </c>
      <c r="BD1079" s="51"/>
      <c r="BE1079" s="51"/>
      <c r="BF1079" s="51"/>
      <c r="BG1079" s="51"/>
      <c r="BH1079" s="51"/>
      <c r="BI1079" s="51"/>
      <c r="BJ1079" s="51"/>
      <c r="BK1079" s="51"/>
      <c r="BL1079" s="51"/>
      <c r="BM1079" s="51"/>
      <c r="BN1079" s="51">
        <v>69672560</v>
      </c>
      <c r="BO1079" s="51"/>
      <c r="BP1079" s="52">
        <v>979715055</v>
      </c>
      <c r="BQ1079" s="52"/>
      <c r="BR1079" s="52"/>
      <c r="BS1079" s="52"/>
      <c r="BT1079" s="52"/>
      <c r="BU1079" s="52"/>
      <c r="BV1079" s="52"/>
      <c r="BW1079" s="52"/>
      <c r="BX1079" s="52"/>
      <c r="BY1079" s="52"/>
      <c r="BZ1079" s="52"/>
      <c r="CA1079" s="52"/>
      <c r="CB1079" s="52"/>
      <c r="CC1079" s="52">
        <v>69672560</v>
      </c>
      <c r="CD1079" s="52"/>
      <c r="CE1079" s="52"/>
      <c r="CF1079" s="52"/>
      <c r="CG1079" s="52">
        <f t="shared" si="167"/>
        <v>1049387615</v>
      </c>
      <c r="CH1079" s="52"/>
      <c r="CI1079" s="52"/>
      <c r="CJ1079" s="52"/>
      <c r="CK1079" s="52"/>
      <c r="CL1079" s="52"/>
      <c r="CM1079" s="52"/>
      <c r="CN1079" s="52"/>
      <c r="CO1079" s="52"/>
      <c r="CP1079" s="52"/>
      <c r="CQ1079" s="52">
        <v>69672560</v>
      </c>
      <c r="CR1079" s="52"/>
      <c r="CS1079" s="52">
        <f t="shared" si="164"/>
        <v>1119060175</v>
      </c>
      <c r="CT1079" s="53">
        <v>557380480</v>
      </c>
      <c r="CU1079" s="53">
        <f t="shared" si="165"/>
        <v>561679695</v>
      </c>
      <c r="CV1079" s="54">
        <f t="shared" si="168"/>
        <v>1119060175</v>
      </c>
      <c r="CW1079" s="55">
        <f t="shared" si="169"/>
        <v>0</v>
      </c>
      <c r="CX1079" s="16"/>
      <c r="CY1079" s="16"/>
      <c r="CZ1079" s="16"/>
    </row>
    <row r="1080" spans="1:108" ht="15" customHeight="1" x14ac:dyDescent="0.2">
      <c r="A1080" s="1">
        <v>8902054605</v>
      </c>
      <c r="B1080" s="1">
        <v>890205460</v>
      </c>
      <c r="C1080" s="9">
        <v>215568855</v>
      </c>
      <c r="D1080" s="10" t="s">
        <v>2134</v>
      </c>
      <c r="E1080" s="46" t="s">
        <v>1899</v>
      </c>
      <c r="F1080" s="21"/>
      <c r="G1080" s="50"/>
      <c r="H1080" s="21"/>
      <c r="I1080" s="50"/>
      <c r="J1080" s="21"/>
      <c r="K1080" s="21"/>
      <c r="L1080" s="50"/>
      <c r="M1080" s="51"/>
      <c r="N1080" s="21"/>
      <c r="O1080" s="50"/>
      <c r="P1080" s="21"/>
      <c r="Q1080" s="50"/>
      <c r="R1080" s="21"/>
      <c r="S1080" s="21"/>
      <c r="T1080" s="50"/>
      <c r="U1080" s="51">
        <f t="shared" si="163"/>
        <v>0</v>
      </c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>
        <v>85961910</v>
      </c>
      <c r="AN1080" s="51">
        <f>SUBTOTAL(9,AC1080:AM1080)</f>
        <v>85961910</v>
      </c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>
        <v>29103170</v>
      </c>
      <c r="AZ1080" s="51"/>
      <c r="BA1080" s="51"/>
      <c r="BB1080" s="51"/>
      <c r="BC1080" s="52">
        <f t="shared" si="166"/>
        <v>115065080</v>
      </c>
      <c r="BD1080" s="51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>
        <v>5820634</v>
      </c>
      <c r="BO1080" s="51"/>
      <c r="BP1080" s="52">
        <v>120885714</v>
      </c>
      <c r="BQ1080" s="52"/>
      <c r="BR1080" s="52"/>
      <c r="BS1080" s="52"/>
      <c r="BT1080" s="52"/>
      <c r="BU1080" s="52"/>
      <c r="BV1080" s="52"/>
      <c r="BW1080" s="52"/>
      <c r="BX1080" s="52"/>
      <c r="BY1080" s="52"/>
      <c r="BZ1080" s="52"/>
      <c r="CA1080" s="52"/>
      <c r="CB1080" s="52"/>
      <c r="CC1080" s="52">
        <v>5820634</v>
      </c>
      <c r="CD1080" s="52"/>
      <c r="CE1080" s="52"/>
      <c r="CF1080" s="52"/>
      <c r="CG1080" s="52">
        <f t="shared" si="167"/>
        <v>126706348</v>
      </c>
      <c r="CH1080" s="52"/>
      <c r="CI1080" s="52"/>
      <c r="CJ1080" s="52"/>
      <c r="CK1080" s="52"/>
      <c r="CL1080" s="52"/>
      <c r="CM1080" s="52"/>
      <c r="CN1080" s="52"/>
      <c r="CO1080" s="52"/>
      <c r="CP1080" s="52"/>
      <c r="CQ1080" s="52">
        <v>5820634</v>
      </c>
      <c r="CR1080" s="52"/>
      <c r="CS1080" s="52">
        <f t="shared" si="164"/>
        <v>132526982</v>
      </c>
      <c r="CT1080" s="53">
        <v>46565072</v>
      </c>
      <c r="CU1080" s="53">
        <f t="shared" si="165"/>
        <v>85961910</v>
      </c>
      <c r="CV1080" s="54">
        <f t="shared" si="168"/>
        <v>132526982</v>
      </c>
      <c r="CW1080" s="55">
        <f t="shared" si="169"/>
        <v>0</v>
      </c>
      <c r="CX1080" s="16"/>
      <c r="CY1080" s="16"/>
      <c r="CZ1080" s="16"/>
    </row>
    <row r="1081" spans="1:108" ht="15" customHeight="1" x14ac:dyDescent="0.2">
      <c r="A1081" s="1">
        <v>8000989118</v>
      </c>
      <c r="B1081" s="1">
        <v>800098911</v>
      </c>
      <c r="C1081" s="9">
        <v>210120001</v>
      </c>
      <c r="D1081" s="10" t="s">
        <v>2191</v>
      </c>
      <c r="E1081" s="47" t="s">
        <v>1019</v>
      </c>
      <c r="F1081" s="21"/>
      <c r="G1081" s="50"/>
      <c r="H1081" s="21"/>
      <c r="I1081" s="50">
        <f>9548557501+169246858</f>
        <v>9717804359</v>
      </c>
      <c r="J1081" s="21">
        <v>656632324</v>
      </c>
      <c r="K1081" s="21">
        <v>1307379949</v>
      </c>
      <c r="L1081" s="50"/>
      <c r="M1081" s="52">
        <f>SUM(F1081:L1081)</f>
        <v>11681816632</v>
      </c>
      <c r="N1081" s="21"/>
      <c r="O1081" s="50"/>
      <c r="P1081" s="21"/>
      <c r="Q1081" s="50">
        <f>10366216729+1714217079</f>
        <v>12080433808</v>
      </c>
      <c r="R1081" s="21">
        <v>657035709</v>
      </c>
      <c r="S1081" s="21">
        <f>650747625+657035709</f>
        <v>1307783334</v>
      </c>
      <c r="T1081" s="50"/>
      <c r="U1081" s="51">
        <f t="shared" si="163"/>
        <v>25727069483</v>
      </c>
      <c r="V1081" s="51"/>
      <c r="W1081" s="51"/>
      <c r="X1081" s="51"/>
      <c r="Y1081" s="51">
        <v>17261452469</v>
      </c>
      <c r="Z1081" s="51">
        <v>611297135</v>
      </c>
      <c r="AA1081" s="51">
        <v>1424224786</v>
      </c>
      <c r="AB1081" s="51"/>
      <c r="AC1081" s="51">
        <f t="shared" si="170"/>
        <v>45024043873</v>
      </c>
      <c r="AD1081" s="51"/>
      <c r="AE1081" s="51"/>
      <c r="AF1081" s="51"/>
      <c r="AG1081" s="51"/>
      <c r="AH1081" s="51">
        <v>12362375773</v>
      </c>
      <c r="AI1081" s="51">
        <v>2092217856</v>
      </c>
      <c r="AJ1081" s="51">
        <v>658440660</v>
      </c>
      <c r="AK1081" s="51">
        <v>1662042829</v>
      </c>
      <c r="AL1081" s="51"/>
      <c r="AM1081" s="51">
        <v>4398839344</v>
      </c>
      <c r="AN1081" s="51">
        <f>SUBTOTAL(9,AC1081:AM1081)</f>
        <v>66197960335</v>
      </c>
      <c r="AO1081" s="51"/>
      <c r="AP1081" s="51"/>
      <c r="AQ1081" s="51">
        <v>2316443255</v>
      </c>
      <c r="AR1081" s="51"/>
      <c r="AS1081" s="51"/>
      <c r="AT1081" s="51">
        <v>11362375773</v>
      </c>
      <c r="AU1081" s="51">
        <v>1753553076</v>
      </c>
      <c r="AV1081" s="51">
        <v>658440660</v>
      </c>
      <c r="AW1081" s="51">
        <v>1126198001</v>
      </c>
      <c r="AX1081" s="51"/>
      <c r="AY1081" s="51"/>
      <c r="AZ1081" s="51"/>
      <c r="BA1081" s="51">
        <f>VLOOKUP(B1081,[1]Hoja3!J$3:K$674,2,0)</f>
        <v>653822899</v>
      </c>
      <c r="BB1081" s="51">
        <f>VLOOKUP(B1081,'[2]anuladas en mayo gratuidad}'!K$2:L$55,2,0)</f>
        <v>170860306</v>
      </c>
      <c r="BC1081" s="52">
        <f t="shared" si="166"/>
        <v>83897933693</v>
      </c>
      <c r="BD1081" s="51"/>
      <c r="BE1081" s="51"/>
      <c r="BF1081" s="51">
        <v>463288651</v>
      </c>
      <c r="BG1081" s="51"/>
      <c r="BH1081" s="51"/>
      <c r="BI1081" s="51">
        <v>10200778723</v>
      </c>
      <c r="BJ1081" s="51">
        <v>1088866250</v>
      </c>
      <c r="BK1081" s="51">
        <v>709783022</v>
      </c>
      <c r="BL1081" s="51">
        <v>1789499815</v>
      </c>
      <c r="BM1081" s="51"/>
      <c r="BN1081" s="51"/>
      <c r="BO1081" s="51"/>
      <c r="BP1081" s="52">
        <v>98150150154</v>
      </c>
      <c r="BQ1081" s="52"/>
      <c r="BR1081" s="52"/>
      <c r="BS1081" s="52">
        <v>463288651</v>
      </c>
      <c r="BT1081" s="52"/>
      <c r="BU1081" s="52"/>
      <c r="BV1081" s="52"/>
      <c r="BW1081" s="52">
        <v>10026703544</v>
      </c>
      <c r="BX1081" s="52">
        <v>385875476</v>
      </c>
      <c r="BY1081" s="52">
        <v>4545440359</v>
      </c>
      <c r="BZ1081" s="52">
        <v>674434045</v>
      </c>
      <c r="CA1081" s="52">
        <v>1753643318</v>
      </c>
      <c r="CB1081" s="52"/>
      <c r="CC1081" s="52"/>
      <c r="CD1081" s="52"/>
      <c r="CE1081" s="52">
        <v>142209924</v>
      </c>
      <c r="CF1081" s="52"/>
      <c r="CG1081" s="52">
        <f t="shared" si="167"/>
        <v>116141745471</v>
      </c>
      <c r="CH1081" s="52"/>
      <c r="CI1081" s="52"/>
      <c r="CJ1081" s="52">
        <v>463288651</v>
      </c>
      <c r="CK1081" s="52"/>
      <c r="CL1081" s="52">
        <v>9940095039</v>
      </c>
      <c r="CM1081" s="52">
        <v>586308736</v>
      </c>
      <c r="CN1081" s="52">
        <v>684431326</v>
      </c>
      <c r="CO1081" s="52">
        <v>1240295503</v>
      </c>
      <c r="CP1081" s="52"/>
      <c r="CQ1081" s="52"/>
      <c r="CR1081" s="52"/>
      <c r="CS1081" s="52">
        <f t="shared" si="164"/>
        <v>129056164726</v>
      </c>
      <c r="CT1081" s="53">
        <v>124032152865</v>
      </c>
      <c r="CU1081" s="53">
        <f t="shared" si="165"/>
        <v>5024011861</v>
      </c>
      <c r="CV1081" s="54">
        <f t="shared" si="168"/>
        <v>129056164726</v>
      </c>
      <c r="CW1081" s="55">
        <f t="shared" si="169"/>
        <v>0</v>
      </c>
      <c r="CX1081" s="16"/>
      <c r="CY1081" s="16"/>
      <c r="CZ1081" s="16"/>
    </row>
    <row r="1082" spans="1:108" ht="15" customHeight="1" x14ac:dyDescent="0.2">
      <c r="A1082" s="1">
        <v>8909841862</v>
      </c>
      <c r="B1082" s="1">
        <v>890984186</v>
      </c>
      <c r="C1082" s="9">
        <v>215605856</v>
      </c>
      <c r="D1082" s="10" t="s">
        <v>152</v>
      </c>
      <c r="E1082" s="46" t="s">
        <v>1181</v>
      </c>
      <c r="F1082" s="21"/>
      <c r="G1082" s="50"/>
      <c r="H1082" s="21"/>
      <c r="I1082" s="50"/>
      <c r="J1082" s="21"/>
      <c r="K1082" s="21"/>
      <c r="L1082" s="50"/>
      <c r="M1082" s="51"/>
      <c r="N1082" s="21"/>
      <c r="O1082" s="50"/>
      <c r="P1082" s="21"/>
      <c r="Q1082" s="50"/>
      <c r="R1082" s="21"/>
      <c r="S1082" s="21"/>
      <c r="T1082" s="50"/>
      <c r="U1082" s="51">
        <f t="shared" si="163"/>
        <v>0</v>
      </c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>
        <v>38603040</v>
      </c>
      <c r="AZ1082" s="51"/>
      <c r="BA1082" s="51">
        <f>VLOOKUP(B1082,[1]Hoja3!J$3:K$674,2,0)</f>
        <v>66160249</v>
      </c>
      <c r="BB1082" s="51"/>
      <c r="BC1082" s="52">
        <f t="shared" si="166"/>
        <v>104763289</v>
      </c>
      <c r="BD1082" s="51"/>
      <c r="BE1082" s="51"/>
      <c r="BF1082" s="51"/>
      <c r="BG1082" s="51"/>
      <c r="BH1082" s="51"/>
      <c r="BI1082" s="51"/>
      <c r="BJ1082" s="51"/>
      <c r="BK1082" s="51"/>
      <c r="BL1082" s="51"/>
      <c r="BM1082" s="51"/>
      <c r="BN1082" s="51">
        <v>7720608</v>
      </c>
      <c r="BO1082" s="51"/>
      <c r="BP1082" s="52">
        <v>112483897</v>
      </c>
      <c r="BQ1082" s="52"/>
      <c r="BR1082" s="52"/>
      <c r="BS1082" s="52"/>
      <c r="BT1082" s="52"/>
      <c r="BU1082" s="52"/>
      <c r="BV1082" s="52"/>
      <c r="BW1082" s="52"/>
      <c r="BX1082" s="52"/>
      <c r="BY1082" s="52"/>
      <c r="BZ1082" s="52"/>
      <c r="CA1082" s="52"/>
      <c r="CB1082" s="52"/>
      <c r="CC1082" s="52">
        <v>7720608</v>
      </c>
      <c r="CD1082" s="52"/>
      <c r="CE1082" s="52"/>
      <c r="CF1082" s="52"/>
      <c r="CG1082" s="52">
        <f t="shared" si="167"/>
        <v>120204505</v>
      </c>
      <c r="CH1082" s="52"/>
      <c r="CI1082" s="52"/>
      <c r="CJ1082" s="52"/>
      <c r="CK1082" s="52"/>
      <c r="CL1082" s="52"/>
      <c r="CM1082" s="52"/>
      <c r="CN1082" s="52"/>
      <c r="CO1082" s="52"/>
      <c r="CP1082" s="52"/>
      <c r="CQ1082" s="52">
        <v>7720608</v>
      </c>
      <c r="CR1082" s="52"/>
      <c r="CS1082" s="52">
        <f t="shared" si="164"/>
        <v>127925113</v>
      </c>
      <c r="CT1082" s="53">
        <v>61764864</v>
      </c>
      <c r="CU1082" s="53">
        <f t="shared" si="165"/>
        <v>66160249</v>
      </c>
      <c r="CV1082" s="54">
        <f t="shared" si="168"/>
        <v>127925113</v>
      </c>
      <c r="CW1082" s="55">
        <f t="shared" si="169"/>
        <v>0</v>
      </c>
      <c r="CX1082" s="16"/>
      <c r="CY1082" s="16"/>
      <c r="CZ1082" s="16"/>
    </row>
    <row r="1083" spans="1:108" ht="15" customHeight="1" x14ac:dyDescent="0.2">
      <c r="A1083" s="1">
        <v>8000504071</v>
      </c>
      <c r="B1083" s="1">
        <v>800050407</v>
      </c>
      <c r="C1083" s="9">
        <v>216018860</v>
      </c>
      <c r="D1083" s="10" t="s">
        <v>372</v>
      </c>
      <c r="E1083" s="46" t="s">
        <v>1404</v>
      </c>
      <c r="F1083" s="21"/>
      <c r="G1083" s="50"/>
      <c r="H1083" s="21"/>
      <c r="I1083" s="50"/>
      <c r="J1083" s="21"/>
      <c r="K1083" s="21"/>
      <c r="L1083" s="50"/>
      <c r="M1083" s="51"/>
      <c r="N1083" s="21"/>
      <c r="O1083" s="50"/>
      <c r="P1083" s="21"/>
      <c r="Q1083" s="50"/>
      <c r="R1083" s="21"/>
      <c r="S1083" s="21"/>
      <c r="T1083" s="50"/>
      <c r="U1083" s="51">
        <f t="shared" si="163"/>
        <v>0</v>
      </c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>
        <v>11896458</v>
      </c>
      <c r="AN1083" s="51">
        <f>SUBTOTAL(9,AC1083:AM1083)</f>
        <v>11896458</v>
      </c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>
        <v>86170295</v>
      </c>
      <c r="AZ1083" s="51"/>
      <c r="BA1083" s="51">
        <f>VLOOKUP(B1083,[1]Hoja3!J$3:K$674,2,0)</f>
        <v>117449252</v>
      </c>
      <c r="BB1083" s="51"/>
      <c r="BC1083" s="52">
        <f t="shared" si="166"/>
        <v>215516005</v>
      </c>
      <c r="BD1083" s="51"/>
      <c r="BE1083" s="51"/>
      <c r="BF1083" s="51"/>
      <c r="BG1083" s="51"/>
      <c r="BH1083" s="51"/>
      <c r="BI1083" s="51"/>
      <c r="BJ1083" s="51"/>
      <c r="BK1083" s="51"/>
      <c r="BL1083" s="51"/>
      <c r="BM1083" s="51"/>
      <c r="BN1083" s="51">
        <v>17234059</v>
      </c>
      <c r="BO1083" s="51"/>
      <c r="BP1083" s="52">
        <v>232750064</v>
      </c>
      <c r="BQ1083" s="52"/>
      <c r="BR1083" s="52"/>
      <c r="BS1083" s="52"/>
      <c r="BT1083" s="52"/>
      <c r="BU1083" s="52"/>
      <c r="BV1083" s="52"/>
      <c r="BW1083" s="52"/>
      <c r="BX1083" s="52"/>
      <c r="BY1083" s="52"/>
      <c r="BZ1083" s="52"/>
      <c r="CA1083" s="52"/>
      <c r="CB1083" s="52"/>
      <c r="CC1083" s="52">
        <v>17234059</v>
      </c>
      <c r="CD1083" s="52"/>
      <c r="CE1083" s="52"/>
      <c r="CF1083" s="52"/>
      <c r="CG1083" s="52">
        <f t="shared" si="167"/>
        <v>249984123</v>
      </c>
      <c r="CH1083" s="52"/>
      <c r="CI1083" s="52"/>
      <c r="CJ1083" s="52"/>
      <c r="CK1083" s="52"/>
      <c r="CL1083" s="52"/>
      <c r="CM1083" s="52"/>
      <c r="CN1083" s="52"/>
      <c r="CO1083" s="52"/>
      <c r="CP1083" s="52"/>
      <c r="CQ1083" s="52">
        <v>17234059</v>
      </c>
      <c r="CR1083" s="52"/>
      <c r="CS1083" s="52">
        <f t="shared" si="164"/>
        <v>267218182</v>
      </c>
      <c r="CT1083" s="53">
        <v>137872472</v>
      </c>
      <c r="CU1083" s="53">
        <f t="shared" si="165"/>
        <v>129345710</v>
      </c>
      <c r="CV1083" s="54">
        <f t="shared" si="168"/>
        <v>267218182</v>
      </c>
      <c r="CW1083" s="55">
        <f t="shared" si="169"/>
        <v>0</v>
      </c>
      <c r="CX1083" s="16"/>
      <c r="CY1083" s="16"/>
      <c r="CZ1083" s="16"/>
    </row>
    <row r="1084" spans="1:108" ht="15" customHeight="1" x14ac:dyDescent="0.2">
      <c r="A1084" s="1">
        <v>8909852858</v>
      </c>
      <c r="B1084" s="1">
        <v>890985285</v>
      </c>
      <c r="C1084" s="9">
        <v>215805858</v>
      </c>
      <c r="D1084" s="10" t="s">
        <v>153</v>
      </c>
      <c r="E1084" s="46" t="s">
        <v>1182</v>
      </c>
      <c r="F1084" s="21"/>
      <c r="G1084" s="50"/>
      <c r="H1084" s="21"/>
      <c r="I1084" s="50"/>
      <c r="J1084" s="21"/>
      <c r="K1084" s="21"/>
      <c r="L1084" s="50"/>
      <c r="M1084" s="51"/>
      <c r="N1084" s="21"/>
      <c r="O1084" s="50"/>
      <c r="P1084" s="21"/>
      <c r="Q1084" s="50"/>
      <c r="R1084" s="21"/>
      <c r="S1084" s="21"/>
      <c r="T1084" s="50"/>
      <c r="U1084" s="51">
        <f t="shared" si="163"/>
        <v>0</v>
      </c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>
        <v>99486560</v>
      </c>
      <c r="AZ1084" s="51"/>
      <c r="BA1084" s="51">
        <f>VLOOKUP(B1084,[1]Hoja3!J$3:K$674,2,0)</f>
        <v>209646495</v>
      </c>
      <c r="BB1084" s="51"/>
      <c r="BC1084" s="52">
        <f t="shared" si="166"/>
        <v>309133055</v>
      </c>
      <c r="BD1084" s="51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>
        <v>19897312</v>
      </c>
      <c r="BO1084" s="51"/>
      <c r="BP1084" s="52">
        <v>329030367</v>
      </c>
      <c r="BQ1084" s="52"/>
      <c r="BR1084" s="52"/>
      <c r="BS1084" s="52"/>
      <c r="BT1084" s="52"/>
      <c r="BU1084" s="52"/>
      <c r="BV1084" s="52"/>
      <c r="BW1084" s="52"/>
      <c r="BX1084" s="52"/>
      <c r="BY1084" s="52"/>
      <c r="BZ1084" s="52"/>
      <c r="CA1084" s="52"/>
      <c r="CB1084" s="52"/>
      <c r="CC1084" s="52">
        <v>19897312</v>
      </c>
      <c r="CD1084" s="52"/>
      <c r="CE1084" s="52"/>
      <c r="CF1084" s="52"/>
      <c r="CG1084" s="52">
        <f t="shared" si="167"/>
        <v>348927679</v>
      </c>
      <c r="CH1084" s="52"/>
      <c r="CI1084" s="52"/>
      <c r="CJ1084" s="52"/>
      <c r="CK1084" s="52"/>
      <c r="CL1084" s="52"/>
      <c r="CM1084" s="52"/>
      <c r="CN1084" s="52"/>
      <c r="CO1084" s="52"/>
      <c r="CP1084" s="52"/>
      <c r="CQ1084" s="52">
        <v>19897312</v>
      </c>
      <c r="CR1084" s="52"/>
      <c r="CS1084" s="52">
        <f t="shared" si="164"/>
        <v>368824991</v>
      </c>
      <c r="CT1084" s="53">
        <v>159178496</v>
      </c>
      <c r="CU1084" s="53">
        <f t="shared" si="165"/>
        <v>209646495</v>
      </c>
      <c r="CV1084" s="54">
        <f t="shared" si="168"/>
        <v>368824991</v>
      </c>
      <c r="CW1084" s="55">
        <f t="shared" si="169"/>
        <v>0</v>
      </c>
      <c r="CX1084" s="16"/>
      <c r="CY1084" s="16"/>
      <c r="CZ1084" s="16"/>
    </row>
    <row r="1085" spans="1:108" ht="15" customHeight="1" x14ac:dyDescent="0.2">
      <c r="A1085" s="1">
        <v>8902056776</v>
      </c>
      <c r="B1085" s="1">
        <v>890205677</v>
      </c>
      <c r="C1085" s="9">
        <v>216168861</v>
      </c>
      <c r="D1085" s="10" t="s">
        <v>886</v>
      </c>
      <c r="E1085" s="46" t="s">
        <v>1900</v>
      </c>
      <c r="F1085" s="21"/>
      <c r="G1085" s="50"/>
      <c r="H1085" s="21"/>
      <c r="I1085" s="50"/>
      <c r="J1085" s="21"/>
      <c r="K1085" s="21"/>
      <c r="L1085" s="50"/>
      <c r="M1085" s="51"/>
      <c r="N1085" s="21"/>
      <c r="O1085" s="50"/>
      <c r="P1085" s="21"/>
      <c r="Q1085" s="50"/>
      <c r="R1085" s="21"/>
      <c r="S1085" s="21"/>
      <c r="T1085" s="50"/>
      <c r="U1085" s="51">
        <f t="shared" si="163"/>
        <v>0</v>
      </c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>
        <v>253942135</v>
      </c>
      <c r="AN1085" s="51">
        <f t="shared" ref="AN1085:AN1090" si="173">SUBTOTAL(9,AC1085:AM1085)</f>
        <v>253942135</v>
      </c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  <c r="BC1085" s="52">
        <f t="shared" si="166"/>
        <v>253942135</v>
      </c>
      <c r="BD1085" s="51"/>
      <c r="BE1085" s="51"/>
      <c r="BF1085" s="51"/>
      <c r="BG1085" s="51"/>
      <c r="BH1085" s="51"/>
      <c r="BI1085" s="51"/>
      <c r="BJ1085" s="51"/>
      <c r="BK1085" s="51"/>
      <c r="BL1085" s="51"/>
      <c r="BM1085" s="51"/>
      <c r="BN1085" s="51">
        <v>26585404</v>
      </c>
      <c r="BO1085" s="51"/>
      <c r="BP1085" s="52">
        <v>280527539</v>
      </c>
      <c r="BQ1085" s="52"/>
      <c r="BR1085" s="52"/>
      <c r="BS1085" s="52"/>
      <c r="BT1085" s="52"/>
      <c r="BU1085" s="52"/>
      <c r="BV1085" s="52"/>
      <c r="BW1085" s="52"/>
      <c r="BX1085" s="52"/>
      <c r="BY1085" s="52"/>
      <c r="BZ1085" s="52"/>
      <c r="CA1085" s="52"/>
      <c r="CB1085" s="52"/>
      <c r="CC1085" s="52">
        <v>26585404</v>
      </c>
      <c r="CD1085" s="52">
        <v>132927020</v>
      </c>
      <c r="CE1085" s="52"/>
      <c r="CF1085" s="52"/>
      <c r="CG1085" s="52">
        <f t="shared" si="167"/>
        <v>440039963</v>
      </c>
      <c r="CH1085" s="52"/>
      <c r="CI1085" s="52"/>
      <c r="CJ1085" s="52"/>
      <c r="CK1085" s="52"/>
      <c r="CL1085" s="52"/>
      <c r="CM1085" s="52"/>
      <c r="CN1085" s="52"/>
      <c r="CO1085" s="52"/>
      <c r="CP1085" s="52"/>
      <c r="CQ1085" s="52">
        <v>26585404</v>
      </c>
      <c r="CR1085" s="52"/>
      <c r="CS1085" s="52">
        <f t="shared" si="164"/>
        <v>466625367</v>
      </c>
      <c r="CT1085" s="53">
        <v>212683232</v>
      </c>
      <c r="CU1085" s="53">
        <f t="shared" si="165"/>
        <v>253942135</v>
      </c>
      <c r="CV1085" s="54">
        <f t="shared" si="168"/>
        <v>466625367</v>
      </c>
      <c r="CW1085" s="55">
        <f t="shared" si="169"/>
        <v>0</v>
      </c>
      <c r="CX1085" s="16"/>
      <c r="CY1085" s="16"/>
      <c r="CZ1085" s="16"/>
    </row>
    <row r="1086" spans="1:108" ht="15" customHeight="1" x14ac:dyDescent="0.2">
      <c r="A1086" s="1">
        <v>8001001443</v>
      </c>
      <c r="B1086" s="1">
        <v>800100144</v>
      </c>
      <c r="C1086" s="9">
        <v>216173861</v>
      </c>
      <c r="D1086" s="10" t="s">
        <v>2242</v>
      </c>
      <c r="E1086" s="46" t="s">
        <v>1970</v>
      </c>
      <c r="F1086" s="21"/>
      <c r="G1086" s="50"/>
      <c r="H1086" s="21"/>
      <c r="I1086" s="50"/>
      <c r="J1086" s="21"/>
      <c r="K1086" s="21"/>
      <c r="L1086" s="50"/>
      <c r="M1086" s="51"/>
      <c r="N1086" s="21"/>
      <c r="O1086" s="50"/>
      <c r="P1086" s="21"/>
      <c r="Q1086" s="50"/>
      <c r="R1086" s="21"/>
      <c r="S1086" s="21"/>
      <c r="T1086" s="50"/>
      <c r="U1086" s="51">
        <f t="shared" si="163"/>
        <v>0</v>
      </c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>
        <v>28570203</v>
      </c>
      <c r="AN1086" s="51">
        <f t="shared" si="173"/>
        <v>28570203</v>
      </c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>
        <v>93909870</v>
      </c>
      <c r="AZ1086" s="51"/>
      <c r="BA1086" s="51">
        <f>VLOOKUP(B1086,[1]Hoja3!J$3:K$674,2,0)</f>
        <v>158550584</v>
      </c>
      <c r="BB1086" s="51"/>
      <c r="BC1086" s="52">
        <f t="shared" si="166"/>
        <v>281030657</v>
      </c>
      <c r="BD1086" s="51"/>
      <c r="BE1086" s="51"/>
      <c r="BF1086" s="51"/>
      <c r="BG1086" s="51"/>
      <c r="BH1086" s="51"/>
      <c r="BI1086" s="51"/>
      <c r="BJ1086" s="51"/>
      <c r="BK1086" s="51"/>
      <c r="BL1086" s="51"/>
      <c r="BM1086" s="51"/>
      <c r="BN1086" s="51">
        <v>18781974</v>
      </c>
      <c r="BO1086" s="51"/>
      <c r="BP1086" s="52">
        <v>299812631</v>
      </c>
      <c r="BQ1086" s="52"/>
      <c r="BR1086" s="52"/>
      <c r="BS1086" s="52"/>
      <c r="BT1086" s="52"/>
      <c r="BU1086" s="52"/>
      <c r="BV1086" s="52"/>
      <c r="BW1086" s="52"/>
      <c r="BX1086" s="52"/>
      <c r="BY1086" s="52"/>
      <c r="BZ1086" s="52"/>
      <c r="CA1086" s="52"/>
      <c r="CB1086" s="52"/>
      <c r="CC1086" s="52">
        <v>18781974</v>
      </c>
      <c r="CD1086" s="52"/>
      <c r="CE1086" s="52"/>
      <c r="CF1086" s="52"/>
      <c r="CG1086" s="52">
        <f t="shared" si="167"/>
        <v>318594605</v>
      </c>
      <c r="CH1086" s="52"/>
      <c r="CI1086" s="52"/>
      <c r="CJ1086" s="52"/>
      <c r="CK1086" s="52"/>
      <c r="CL1086" s="52"/>
      <c r="CM1086" s="52"/>
      <c r="CN1086" s="52"/>
      <c r="CO1086" s="52"/>
      <c r="CP1086" s="52"/>
      <c r="CQ1086" s="52">
        <v>18781974</v>
      </c>
      <c r="CR1086" s="52"/>
      <c r="CS1086" s="52">
        <f t="shared" si="164"/>
        <v>337376579</v>
      </c>
      <c r="CT1086" s="53">
        <v>150255792</v>
      </c>
      <c r="CU1086" s="53">
        <f t="shared" si="165"/>
        <v>187120787</v>
      </c>
      <c r="CV1086" s="54">
        <f t="shared" si="168"/>
        <v>337376579</v>
      </c>
      <c r="CW1086" s="55">
        <f t="shared" si="169"/>
        <v>0</v>
      </c>
      <c r="CX1086" s="16"/>
      <c r="CY1086" s="16"/>
      <c r="CZ1086" s="16"/>
    </row>
    <row r="1087" spans="1:108" ht="15" customHeight="1" x14ac:dyDescent="0.2">
      <c r="A1087" s="1">
        <v>8909807641</v>
      </c>
      <c r="B1087" s="1">
        <v>890980764</v>
      </c>
      <c r="C1087" s="9">
        <v>216105861</v>
      </c>
      <c r="D1087" s="10" t="s">
        <v>154</v>
      </c>
      <c r="E1087" s="46" t="s">
        <v>1183</v>
      </c>
      <c r="F1087" s="21"/>
      <c r="G1087" s="50"/>
      <c r="H1087" s="21"/>
      <c r="I1087" s="50"/>
      <c r="J1087" s="21"/>
      <c r="K1087" s="21"/>
      <c r="L1087" s="50"/>
      <c r="M1087" s="51"/>
      <c r="N1087" s="21"/>
      <c r="O1087" s="50"/>
      <c r="P1087" s="21"/>
      <c r="Q1087" s="50"/>
      <c r="R1087" s="21"/>
      <c r="S1087" s="21"/>
      <c r="T1087" s="50"/>
      <c r="U1087" s="51">
        <f t="shared" si="163"/>
        <v>0</v>
      </c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>
        <v>144599373</v>
      </c>
      <c r="AN1087" s="51">
        <f t="shared" si="173"/>
        <v>144599373</v>
      </c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>
        <v>83573900</v>
      </c>
      <c r="AZ1087" s="51"/>
      <c r="BA1087" s="51"/>
      <c r="BB1087" s="51"/>
      <c r="BC1087" s="52">
        <f t="shared" si="166"/>
        <v>228173273</v>
      </c>
      <c r="BD1087" s="51"/>
      <c r="BE1087" s="51"/>
      <c r="BF1087" s="51"/>
      <c r="BG1087" s="51"/>
      <c r="BH1087" s="51"/>
      <c r="BI1087" s="51"/>
      <c r="BJ1087" s="51"/>
      <c r="BK1087" s="51"/>
      <c r="BL1087" s="51"/>
      <c r="BM1087" s="51"/>
      <c r="BN1087" s="51">
        <v>16714780</v>
      </c>
      <c r="BO1087" s="51"/>
      <c r="BP1087" s="52">
        <v>244888053</v>
      </c>
      <c r="BQ1087" s="52"/>
      <c r="BR1087" s="52"/>
      <c r="BS1087" s="52"/>
      <c r="BT1087" s="52"/>
      <c r="BU1087" s="52"/>
      <c r="BV1087" s="52"/>
      <c r="BW1087" s="52"/>
      <c r="BX1087" s="52"/>
      <c r="BY1087" s="52"/>
      <c r="BZ1087" s="52"/>
      <c r="CA1087" s="52"/>
      <c r="CB1087" s="52"/>
      <c r="CC1087" s="52">
        <v>16714780</v>
      </c>
      <c r="CD1087" s="52"/>
      <c r="CE1087" s="52"/>
      <c r="CF1087" s="52"/>
      <c r="CG1087" s="52">
        <f t="shared" si="167"/>
        <v>261602833</v>
      </c>
      <c r="CH1087" s="52"/>
      <c r="CI1087" s="52"/>
      <c r="CJ1087" s="52"/>
      <c r="CK1087" s="52"/>
      <c r="CL1087" s="52"/>
      <c r="CM1087" s="52"/>
      <c r="CN1087" s="52"/>
      <c r="CO1087" s="52"/>
      <c r="CP1087" s="52"/>
      <c r="CQ1087" s="52">
        <v>16714780</v>
      </c>
      <c r="CR1087" s="52"/>
      <c r="CS1087" s="52">
        <f t="shared" si="164"/>
        <v>278317613</v>
      </c>
      <c r="CT1087" s="53">
        <v>133718240</v>
      </c>
      <c r="CU1087" s="53">
        <f t="shared" si="165"/>
        <v>144599373</v>
      </c>
      <c r="CV1087" s="54">
        <f t="shared" si="168"/>
        <v>278317613</v>
      </c>
      <c r="CW1087" s="55">
        <f t="shared" si="169"/>
        <v>0</v>
      </c>
      <c r="CX1087" s="16"/>
      <c r="CY1087" s="16"/>
      <c r="CZ1087" s="16"/>
    </row>
    <row r="1088" spans="1:108" ht="15" customHeight="1" x14ac:dyDescent="0.2">
      <c r="A1088" s="1">
        <v>8918009862</v>
      </c>
      <c r="B1088" s="1">
        <v>891800986</v>
      </c>
      <c r="C1088" s="9">
        <v>216115861</v>
      </c>
      <c r="D1088" s="10" t="s">
        <v>333</v>
      </c>
      <c r="E1088" s="46" t="s">
        <v>1364</v>
      </c>
      <c r="F1088" s="21"/>
      <c r="G1088" s="50"/>
      <c r="H1088" s="21"/>
      <c r="I1088" s="50"/>
      <c r="J1088" s="21"/>
      <c r="K1088" s="21"/>
      <c r="L1088" s="50"/>
      <c r="M1088" s="51"/>
      <c r="N1088" s="21"/>
      <c r="O1088" s="50"/>
      <c r="P1088" s="21"/>
      <c r="Q1088" s="50"/>
      <c r="R1088" s="21"/>
      <c r="S1088" s="21"/>
      <c r="T1088" s="50"/>
      <c r="U1088" s="51">
        <f t="shared" si="163"/>
        <v>0</v>
      </c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>
        <v>70822607</v>
      </c>
      <c r="AN1088" s="51">
        <f t="shared" si="173"/>
        <v>70822607</v>
      </c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>
        <v>99768065</v>
      </c>
      <c r="AZ1088" s="51"/>
      <c r="BA1088" s="51">
        <f>VLOOKUP(B1088,[1]Hoja3!J$3:K$674,2,0)</f>
        <v>193373673</v>
      </c>
      <c r="BB1088" s="51"/>
      <c r="BC1088" s="52">
        <f t="shared" si="166"/>
        <v>363964345</v>
      </c>
      <c r="BD1088" s="51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>
        <v>19953613</v>
      </c>
      <c r="BO1088" s="51"/>
      <c r="BP1088" s="52">
        <v>383917958</v>
      </c>
      <c r="BQ1088" s="52"/>
      <c r="BR1088" s="52"/>
      <c r="BS1088" s="52"/>
      <c r="BT1088" s="52"/>
      <c r="BU1088" s="52"/>
      <c r="BV1088" s="52"/>
      <c r="BW1088" s="52"/>
      <c r="BX1088" s="52"/>
      <c r="BY1088" s="52"/>
      <c r="BZ1088" s="52"/>
      <c r="CA1088" s="52"/>
      <c r="CB1088" s="52"/>
      <c r="CC1088" s="52">
        <v>19953613</v>
      </c>
      <c r="CD1088" s="52"/>
      <c r="CE1088" s="52"/>
      <c r="CF1088" s="52"/>
      <c r="CG1088" s="52">
        <f t="shared" si="167"/>
        <v>403871571</v>
      </c>
      <c r="CH1088" s="52"/>
      <c r="CI1088" s="52"/>
      <c r="CJ1088" s="52"/>
      <c r="CK1088" s="52"/>
      <c r="CL1088" s="52"/>
      <c r="CM1088" s="52"/>
      <c r="CN1088" s="52"/>
      <c r="CO1088" s="52"/>
      <c r="CP1088" s="52"/>
      <c r="CQ1088" s="52">
        <v>19953613</v>
      </c>
      <c r="CR1088" s="52"/>
      <c r="CS1088" s="52">
        <f t="shared" si="164"/>
        <v>423825184</v>
      </c>
      <c r="CT1088" s="53">
        <v>159628904</v>
      </c>
      <c r="CU1088" s="53">
        <f t="shared" si="165"/>
        <v>264196280</v>
      </c>
      <c r="CV1088" s="54">
        <f t="shared" si="168"/>
        <v>423825184</v>
      </c>
      <c r="CW1088" s="55">
        <f t="shared" si="169"/>
        <v>0</v>
      </c>
      <c r="CX1088" s="16"/>
      <c r="CY1088" s="8"/>
      <c r="CZ1088" s="8"/>
      <c r="DA1088" s="8"/>
      <c r="DB1088" s="8"/>
      <c r="DC1088" s="8"/>
      <c r="DD1088" s="8"/>
    </row>
    <row r="1089" spans="1:108" ht="15" customHeight="1" x14ac:dyDescent="0.2">
      <c r="A1089" s="1">
        <v>8999994485</v>
      </c>
      <c r="B1089" s="1">
        <v>899999448</v>
      </c>
      <c r="C1089" s="9">
        <v>216225862</v>
      </c>
      <c r="D1089" s="10" t="s">
        <v>559</v>
      </c>
      <c r="E1089" s="46" t="s">
        <v>1579</v>
      </c>
      <c r="F1089" s="21"/>
      <c r="G1089" s="50"/>
      <c r="H1089" s="21"/>
      <c r="I1089" s="50"/>
      <c r="J1089" s="21"/>
      <c r="K1089" s="21"/>
      <c r="L1089" s="50"/>
      <c r="M1089" s="51"/>
      <c r="N1089" s="21"/>
      <c r="O1089" s="50"/>
      <c r="P1089" s="21"/>
      <c r="Q1089" s="50"/>
      <c r="R1089" s="21"/>
      <c r="S1089" s="21"/>
      <c r="T1089" s="50"/>
      <c r="U1089" s="51">
        <f t="shared" si="163"/>
        <v>0</v>
      </c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>
        <v>83967883</v>
      </c>
      <c r="AN1089" s="51">
        <f t="shared" si="173"/>
        <v>83967883</v>
      </c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>
        <v>50750230</v>
      </c>
      <c r="AZ1089" s="51"/>
      <c r="BA1089" s="51"/>
      <c r="BB1089" s="51"/>
      <c r="BC1089" s="52">
        <f t="shared" si="166"/>
        <v>134718113</v>
      </c>
      <c r="BD1089" s="51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>
        <v>10150046</v>
      </c>
      <c r="BO1089" s="51"/>
      <c r="BP1089" s="52">
        <v>144868159</v>
      </c>
      <c r="BQ1089" s="52"/>
      <c r="BR1089" s="52"/>
      <c r="BS1089" s="52"/>
      <c r="BT1089" s="52"/>
      <c r="BU1089" s="52"/>
      <c r="BV1089" s="52"/>
      <c r="BW1089" s="52"/>
      <c r="BX1089" s="52"/>
      <c r="BY1089" s="52"/>
      <c r="BZ1089" s="52"/>
      <c r="CA1089" s="52"/>
      <c r="CB1089" s="52"/>
      <c r="CC1089" s="52">
        <v>10150046</v>
      </c>
      <c r="CD1089" s="52"/>
      <c r="CE1089" s="52"/>
      <c r="CF1089" s="52"/>
      <c r="CG1089" s="52">
        <f t="shared" si="167"/>
        <v>155018205</v>
      </c>
      <c r="CH1089" s="52"/>
      <c r="CI1089" s="52"/>
      <c r="CJ1089" s="52"/>
      <c r="CK1089" s="52"/>
      <c r="CL1089" s="52"/>
      <c r="CM1089" s="52"/>
      <c r="CN1089" s="52"/>
      <c r="CO1089" s="52"/>
      <c r="CP1089" s="52"/>
      <c r="CQ1089" s="52">
        <v>10150046</v>
      </c>
      <c r="CR1089" s="52"/>
      <c r="CS1089" s="52">
        <f t="shared" si="164"/>
        <v>165168251</v>
      </c>
      <c r="CT1089" s="53">
        <v>81200368</v>
      </c>
      <c r="CU1089" s="53">
        <f t="shared" si="165"/>
        <v>83967883</v>
      </c>
      <c r="CV1089" s="54">
        <f t="shared" si="168"/>
        <v>165168251</v>
      </c>
      <c r="CW1089" s="55">
        <f t="shared" si="169"/>
        <v>0</v>
      </c>
      <c r="CX1089" s="16"/>
      <c r="CY1089" s="16"/>
      <c r="CZ1089" s="16"/>
    </row>
    <row r="1090" spans="1:108" ht="15" customHeight="1" x14ac:dyDescent="0.2">
      <c r="A1090" s="1">
        <v>8919011552</v>
      </c>
      <c r="B1090" s="1">
        <v>891901155</v>
      </c>
      <c r="C1090" s="9">
        <v>216376863</v>
      </c>
      <c r="D1090" s="10" t="s">
        <v>943</v>
      </c>
      <c r="E1090" s="46" t="s">
        <v>2003</v>
      </c>
      <c r="F1090" s="21"/>
      <c r="G1090" s="50"/>
      <c r="H1090" s="21"/>
      <c r="I1090" s="50"/>
      <c r="J1090" s="21"/>
      <c r="K1090" s="21"/>
      <c r="L1090" s="50"/>
      <c r="M1090" s="51"/>
      <c r="N1090" s="21"/>
      <c r="O1090" s="50"/>
      <c r="P1090" s="21"/>
      <c r="Q1090" s="50"/>
      <c r="R1090" s="21"/>
      <c r="S1090" s="21"/>
      <c r="T1090" s="50"/>
      <c r="U1090" s="51">
        <f t="shared" si="163"/>
        <v>0</v>
      </c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>
        <v>86944112</v>
      </c>
      <c r="AN1090" s="51">
        <f t="shared" si="173"/>
        <v>86944112</v>
      </c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  <c r="BC1090" s="52">
        <f t="shared" si="166"/>
        <v>86944112</v>
      </c>
      <c r="BD1090" s="51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>
        <v>0</v>
      </c>
      <c r="BO1090" s="51"/>
      <c r="BP1090" s="52">
        <v>86944112</v>
      </c>
      <c r="BQ1090" s="52"/>
      <c r="BR1090" s="52"/>
      <c r="BS1090" s="52"/>
      <c r="BT1090" s="52"/>
      <c r="BU1090" s="52"/>
      <c r="BV1090" s="52"/>
      <c r="BW1090" s="52"/>
      <c r="BX1090" s="52"/>
      <c r="BY1090" s="52"/>
      <c r="BZ1090" s="52"/>
      <c r="CA1090" s="52"/>
      <c r="CB1090" s="52"/>
      <c r="CC1090" s="52">
        <v>0</v>
      </c>
      <c r="CD1090" s="52"/>
      <c r="CE1090" s="52"/>
      <c r="CF1090" s="52"/>
      <c r="CG1090" s="52">
        <f t="shared" si="167"/>
        <v>86944112</v>
      </c>
      <c r="CH1090" s="52"/>
      <c r="CI1090" s="52"/>
      <c r="CJ1090" s="52"/>
      <c r="CK1090" s="52"/>
      <c r="CL1090" s="52"/>
      <c r="CM1090" s="52"/>
      <c r="CN1090" s="52"/>
      <c r="CO1090" s="52"/>
      <c r="CP1090" s="52"/>
      <c r="CQ1090" s="52">
        <v>83828040</v>
      </c>
      <c r="CR1090" s="52"/>
      <c r="CS1090" s="52">
        <f t="shared" si="164"/>
        <v>170772152</v>
      </c>
      <c r="CT1090" s="53">
        <v>83828040</v>
      </c>
      <c r="CU1090" s="53">
        <f t="shared" si="165"/>
        <v>86944112</v>
      </c>
      <c r="CV1090" s="54">
        <f t="shared" si="168"/>
        <v>170772152</v>
      </c>
      <c r="CW1090" s="55">
        <f t="shared" si="169"/>
        <v>0</v>
      </c>
      <c r="CX1090" s="16"/>
      <c r="CY1090" s="16"/>
      <c r="CZ1090" s="16"/>
    </row>
    <row r="1091" spans="1:108" ht="15" customHeight="1" x14ac:dyDescent="0.2">
      <c r="A1091" s="1">
        <v>8902109511</v>
      </c>
      <c r="B1091" s="1">
        <v>890210951</v>
      </c>
      <c r="C1091" s="9">
        <v>216768867</v>
      </c>
      <c r="D1091" s="10" t="s">
        <v>887</v>
      </c>
      <c r="E1091" s="46" t="s">
        <v>1901</v>
      </c>
      <c r="F1091" s="21"/>
      <c r="G1091" s="50"/>
      <c r="H1091" s="21"/>
      <c r="I1091" s="50"/>
      <c r="J1091" s="21"/>
      <c r="K1091" s="21"/>
      <c r="L1091" s="50"/>
      <c r="M1091" s="51"/>
      <c r="N1091" s="21"/>
      <c r="O1091" s="50"/>
      <c r="P1091" s="21"/>
      <c r="Q1091" s="50"/>
      <c r="R1091" s="21"/>
      <c r="S1091" s="21"/>
      <c r="T1091" s="50"/>
      <c r="U1091" s="51">
        <f t="shared" ref="U1091:U1135" si="174">SUM(M1091:T1091)</f>
        <v>0</v>
      </c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>
        <v>9257430</v>
      </c>
      <c r="AZ1091" s="51"/>
      <c r="BA1091" s="51">
        <f>VLOOKUP(B1091,[1]Hoja3!J$3:K$674,2,0)</f>
        <v>25153838</v>
      </c>
      <c r="BB1091" s="51"/>
      <c r="BC1091" s="52">
        <f t="shared" si="166"/>
        <v>34411268</v>
      </c>
      <c r="BD1091" s="51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>
        <v>1851486</v>
      </c>
      <c r="BO1091" s="51"/>
      <c r="BP1091" s="52">
        <v>36262754</v>
      </c>
      <c r="BQ1091" s="52"/>
      <c r="BR1091" s="52"/>
      <c r="BS1091" s="52"/>
      <c r="BT1091" s="52"/>
      <c r="BU1091" s="52"/>
      <c r="BV1091" s="52"/>
      <c r="BW1091" s="52"/>
      <c r="BX1091" s="52"/>
      <c r="BY1091" s="52"/>
      <c r="BZ1091" s="52"/>
      <c r="CA1091" s="52"/>
      <c r="CB1091" s="52"/>
      <c r="CC1091" s="52">
        <v>1851486</v>
      </c>
      <c r="CD1091" s="52"/>
      <c r="CE1091" s="52"/>
      <c r="CF1091" s="52"/>
      <c r="CG1091" s="52">
        <f t="shared" si="167"/>
        <v>38114240</v>
      </c>
      <c r="CH1091" s="52"/>
      <c r="CI1091" s="52"/>
      <c r="CJ1091" s="52"/>
      <c r="CK1091" s="52"/>
      <c r="CL1091" s="52"/>
      <c r="CM1091" s="52"/>
      <c r="CN1091" s="52"/>
      <c r="CO1091" s="52"/>
      <c r="CP1091" s="52"/>
      <c r="CQ1091" s="52">
        <v>1851486</v>
      </c>
      <c r="CR1091" s="52"/>
      <c r="CS1091" s="52">
        <f t="shared" ref="CS1091:CS1135" si="175">SUM(CG1091:CR1091)</f>
        <v>39965726</v>
      </c>
      <c r="CT1091" s="53">
        <v>14811888</v>
      </c>
      <c r="CU1091" s="53">
        <f t="shared" ref="CU1091:CU1135" si="176">+AM1091+BA1091-BB1091+BO1091+CE1091+CF1091+CR1091</f>
        <v>25153838</v>
      </c>
      <c r="CV1091" s="54">
        <f t="shared" si="168"/>
        <v>39965726</v>
      </c>
      <c r="CW1091" s="55">
        <f t="shared" si="169"/>
        <v>0</v>
      </c>
      <c r="CX1091" s="16"/>
      <c r="CY1091" s="16"/>
      <c r="CZ1091" s="16"/>
    </row>
    <row r="1092" spans="1:108" ht="15" customHeight="1" x14ac:dyDescent="0.2">
      <c r="A1092" s="1">
        <v>8999997092</v>
      </c>
      <c r="B1092" s="1">
        <v>899999709</v>
      </c>
      <c r="C1092" s="9">
        <v>216725867</v>
      </c>
      <c r="D1092" s="10" t="s">
        <v>560</v>
      </c>
      <c r="E1092" s="46" t="s">
        <v>1580</v>
      </c>
      <c r="F1092" s="21"/>
      <c r="G1092" s="50"/>
      <c r="H1092" s="21"/>
      <c r="I1092" s="50"/>
      <c r="J1092" s="21"/>
      <c r="K1092" s="21"/>
      <c r="L1092" s="50"/>
      <c r="M1092" s="51"/>
      <c r="N1092" s="21"/>
      <c r="O1092" s="50"/>
      <c r="P1092" s="21"/>
      <c r="Q1092" s="50"/>
      <c r="R1092" s="21"/>
      <c r="S1092" s="21"/>
      <c r="T1092" s="50"/>
      <c r="U1092" s="51">
        <f t="shared" si="174"/>
        <v>0</v>
      </c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>
        <v>58840565</v>
      </c>
      <c r="AN1092" s="51">
        <f>SUBTOTAL(9,AC1092:AM1092)</f>
        <v>58840565</v>
      </c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>
        <v>28684555</v>
      </c>
      <c r="AZ1092" s="51"/>
      <c r="BA1092" s="51"/>
      <c r="BB1092" s="51"/>
      <c r="BC1092" s="52">
        <f t="shared" ref="BC1092:BC1135" si="177">SUM(AN1092:BA1092)-BB1092</f>
        <v>87525120</v>
      </c>
      <c r="BD1092" s="51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>
        <v>5736911</v>
      </c>
      <c r="BO1092" s="51"/>
      <c r="BP1092" s="52">
        <v>93262031</v>
      </c>
      <c r="BQ1092" s="52"/>
      <c r="BR1092" s="52"/>
      <c r="BS1092" s="52"/>
      <c r="BT1092" s="52"/>
      <c r="BU1092" s="52"/>
      <c r="BV1092" s="52"/>
      <c r="BW1092" s="52"/>
      <c r="BX1092" s="52"/>
      <c r="BY1092" s="52"/>
      <c r="BZ1092" s="52"/>
      <c r="CA1092" s="52"/>
      <c r="CB1092" s="52"/>
      <c r="CC1092" s="52">
        <v>5736911</v>
      </c>
      <c r="CD1092" s="52"/>
      <c r="CE1092" s="52"/>
      <c r="CF1092" s="52"/>
      <c r="CG1092" s="52">
        <f t="shared" ref="CG1092:CG1135" si="178">SUM(BP1092:CF1092)</f>
        <v>98998942</v>
      </c>
      <c r="CH1092" s="52"/>
      <c r="CI1092" s="52"/>
      <c r="CJ1092" s="52"/>
      <c r="CK1092" s="52"/>
      <c r="CL1092" s="52"/>
      <c r="CM1092" s="52"/>
      <c r="CN1092" s="52"/>
      <c r="CO1092" s="52"/>
      <c r="CP1092" s="52"/>
      <c r="CQ1092" s="52">
        <v>5736911</v>
      </c>
      <c r="CR1092" s="52"/>
      <c r="CS1092" s="52">
        <f t="shared" si="175"/>
        <v>104735853</v>
      </c>
      <c r="CT1092" s="53">
        <v>45895288</v>
      </c>
      <c r="CU1092" s="53">
        <f t="shared" si="176"/>
        <v>58840565</v>
      </c>
      <c r="CV1092" s="54">
        <f t="shared" ref="CV1092:CV1135" si="179">+CT1092+CU1092</f>
        <v>104735853</v>
      </c>
      <c r="CW1092" s="55">
        <f t="shared" ref="CW1092:CW1135" si="180">+CS1092-CV1092</f>
        <v>0</v>
      </c>
      <c r="CX1092" s="16"/>
      <c r="CY1092" s="16"/>
      <c r="CZ1092" s="16"/>
    </row>
    <row r="1093" spans="1:108" ht="15" customHeight="1" x14ac:dyDescent="0.2">
      <c r="A1093" s="1">
        <v>8908011510</v>
      </c>
      <c r="B1093" s="1">
        <v>890801151</v>
      </c>
      <c r="C1093" s="9">
        <v>216717867</v>
      </c>
      <c r="D1093" s="10" t="s">
        <v>359</v>
      </c>
      <c r="E1093" s="46" t="s">
        <v>1388</v>
      </c>
      <c r="F1093" s="21"/>
      <c r="G1093" s="50"/>
      <c r="H1093" s="21"/>
      <c r="I1093" s="50"/>
      <c r="J1093" s="21"/>
      <c r="K1093" s="21"/>
      <c r="L1093" s="50"/>
      <c r="M1093" s="51"/>
      <c r="N1093" s="21"/>
      <c r="O1093" s="50"/>
      <c r="P1093" s="21"/>
      <c r="Q1093" s="50"/>
      <c r="R1093" s="21"/>
      <c r="S1093" s="21"/>
      <c r="T1093" s="50"/>
      <c r="U1093" s="51">
        <f t="shared" si="174"/>
        <v>0</v>
      </c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>
        <v>144124742</v>
      </c>
      <c r="AN1093" s="51">
        <f>SUBTOTAL(9,AC1093:AM1093)</f>
        <v>144124742</v>
      </c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>
        <v>61716100</v>
      </c>
      <c r="AZ1093" s="51"/>
      <c r="BA1093" s="51"/>
      <c r="BB1093" s="51"/>
      <c r="BC1093" s="52">
        <f t="shared" si="177"/>
        <v>205840842</v>
      </c>
      <c r="BD1093" s="51"/>
      <c r="BE1093" s="51"/>
      <c r="BF1093" s="51"/>
      <c r="BG1093" s="51"/>
      <c r="BH1093" s="51"/>
      <c r="BI1093" s="51"/>
      <c r="BJ1093" s="51"/>
      <c r="BK1093" s="51"/>
      <c r="BL1093" s="51"/>
      <c r="BM1093" s="51"/>
      <c r="BN1093" s="51">
        <v>12343220</v>
      </c>
      <c r="BO1093" s="51"/>
      <c r="BP1093" s="52">
        <v>218184062</v>
      </c>
      <c r="BQ1093" s="52"/>
      <c r="BR1093" s="52"/>
      <c r="BS1093" s="52"/>
      <c r="BT1093" s="52"/>
      <c r="BU1093" s="52"/>
      <c r="BV1093" s="52"/>
      <c r="BW1093" s="52"/>
      <c r="BX1093" s="52"/>
      <c r="BY1093" s="52"/>
      <c r="BZ1093" s="52"/>
      <c r="CA1093" s="52"/>
      <c r="CB1093" s="52"/>
      <c r="CC1093" s="52">
        <v>12343220</v>
      </c>
      <c r="CD1093" s="52"/>
      <c r="CE1093" s="52"/>
      <c r="CF1093" s="52"/>
      <c r="CG1093" s="52">
        <f t="shared" si="178"/>
        <v>230527282</v>
      </c>
      <c r="CH1093" s="52"/>
      <c r="CI1093" s="52"/>
      <c r="CJ1093" s="52"/>
      <c r="CK1093" s="52"/>
      <c r="CL1093" s="52"/>
      <c r="CM1093" s="52"/>
      <c r="CN1093" s="52"/>
      <c r="CO1093" s="52"/>
      <c r="CP1093" s="52"/>
      <c r="CQ1093" s="52">
        <v>12343220</v>
      </c>
      <c r="CR1093" s="52"/>
      <c r="CS1093" s="52">
        <f t="shared" si="175"/>
        <v>242870502</v>
      </c>
      <c r="CT1093" s="53">
        <v>98745760</v>
      </c>
      <c r="CU1093" s="53">
        <f t="shared" si="176"/>
        <v>144124742</v>
      </c>
      <c r="CV1093" s="54">
        <f t="shared" si="179"/>
        <v>242870502</v>
      </c>
      <c r="CW1093" s="55">
        <f t="shared" si="180"/>
        <v>0</v>
      </c>
      <c r="CX1093" s="16"/>
      <c r="CY1093" s="16"/>
      <c r="CZ1093" s="16"/>
    </row>
    <row r="1094" spans="1:108" ht="15" customHeight="1" x14ac:dyDescent="0.2">
      <c r="A1094" s="1">
        <v>8000206655</v>
      </c>
      <c r="B1094" s="1">
        <v>800020665</v>
      </c>
      <c r="C1094" s="9">
        <v>217305873</v>
      </c>
      <c r="D1094" s="10" t="s">
        <v>155</v>
      </c>
      <c r="E1094" s="46" t="s">
        <v>1184</v>
      </c>
      <c r="F1094" s="21"/>
      <c r="G1094" s="50"/>
      <c r="H1094" s="21"/>
      <c r="I1094" s="50"/>
      <c r="J1094" s="21"/>
      <c r="K1094" s="21"/>
      <c r="L1094" s="50"/>
      <c r="M1094" s="51"/>
      <c r="N1094" s="21"/>
      <c r="O1094" s="50"/>
      <c r="P1094" s="21"/>
      <c r="Q1094" s="50"/>
      <c r="R1094" s="21"/>
      <c r="S1094" s="21"/>
      <c r="T1094" s="50"/>
      <c r="U1094" s="51">
        <f t="shared" si="174"/>
        <v>0</v>
      </c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>
        <v>170928672</v>
      </c>
      <c r="AN1094" s="51">
        <f>SUBTOTAL(9,AC1094:AM1094)</f>
        <v>170928672</v>
      </c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  <c r="BC1094" s="52">
        <f t="shared" si="177"/>
        <v>170928672</v>
      </c>
      <c r="BD1094" s="51"/>
      <c r="BE1094" s="51"/>
      <c r="BF1094" s="51"/>
      <c r="BG1094" s="51"/>
      <c r="BH1094" s="51"/>
      <c r="BI1094" s="51"/>
      <c r="BJ1094" s="51"/>
      <c r="BK1094" s="51"/>
      <c r="BL1094" s="51"/>
      <c r="BM1094" s="51"/>
      <c r="BN1094" s="51">
        <v>0</v>
      </c>
      <c r="BO1094" s="51"/>
      <c r="BP1094" s="52">
        <v>170928672</v>
      </c>
      <c r="BQ1094" s="52"/>
      <c r="BR1094" s="52"/>
      <c r="BS1094" s="52"/>
      <c r="BT1094" s="52"/>
      <c r="BU1094" s="52"/>
      <c r="BV1094" s="52"/>
      <c r="BW1094" s="52"/>
      <c r="BX1094" s="52"/>
      <c r="BY1094" s="52"/>
      <c r="BZ1094" s="52"/>
      <c r="CA1094" s="52"/>
      <c r="CB1094" s="52"/>
      <c r="CC1094" s="52"/>
      <c r="CD1094" s="52"/>
      <c r="CE1094" s="52"/>
      <c r="CF1094" s="52"/>
      <c r="CG1094" s="52">
        <f t="shared" si="178"/>
        <v>170928672</v>
      </c>
      <c r="CH1094" s="52"/>
      <c r="CI1094" s="52"/>
      <c r="CJ1094" s="52"/>
      <c r="CK1094" s="52"/>
      <c r="CL1094" s="52"/>
      <c r="CM1094" s="52"/>
      <c r="CN1094" s="52"/>
      <c r="CO1094" s="52"/>
      <c r="CP1094" s="52"/>
      <c r="CQ1094" s="52">
        <v>217412880</v>
      </c>
      <c r="CR1094" s="52"/>
      <c r="CS1094" s="52">
        <f t="shared" si="175"/>
        <v>388341552</v>
      </c>
      <c r="CT1094" s="53">
        <v>217412880</v>
      </c>
      <c r="CU1094" s="53">
        <f t="shared" si="176"/>
        <v>170928672</v>
      </c>
      <c r="CV1094" s="54">
        <f t="shared" si="179"/>
        <v>388341552</v>
      </c>
      <c r="CW1094" s="55">
        <f t="shared" si="180"/>
        <v>0</v>
      </c>
      <c r="CX1094" s="16"/>
      <c r="CY1094" s="16"/>
      <c r="CZ1094" s="16"/>
    </row>
    <row r="1095" spans="1:108" ht="15" customHeight="1" x14ac:dyDescent="0.2">
      <c r="A1095" s="1">
        <v>8002430227</v>
      </c>
      <c r="B1095" s="1">
        <v>800243022</v>
      </c>
      <c r="C1095" s="9">
        <v>216976869</v>
      </c>
      <c r="D1095" s="10" t="s">
        <v>944</v>
      </c>
      <c r="E1095" s="46" t="s">
        <v>2004</v>
      </c>
      <c r="F1095" s="21"/>
      <c r="G1095" s="50"/>
      <c r="H1095" s="21"/>
      <c r="I1095" s="50"/>
      <c r="J1095" s="21"/>
      <c r="K1095" s="21"/>
      <c r="L1095" s="50"/>
      <c r="M1095" s="51"/>
      <c r="N1095" s="21"/>
      <c r="O1095" s="50"/>
      <c r="P1095" s="21"/>
      <c r="Q1095" s="50"/>
      <c r="R1095" s="21"/>
      <c r="S1095" s="21"/>
      <c r="T1095" s="50"/>
      <c r="U1095" s="51">
        <f t="shared" si="174"/>
        <v>0</v>
      </c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>
        <v>145763027</v>
      </c>
      <c r="AN1095" s="51">
        <f>SUBTOTAL(9,AC1095:AM1095)</f>
        <v>145763027</v>
      </c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>
        <v>51662710</v>
      </c>
      <c r="AZ1095" s="51"/>
      <c r="BA1095" s="51"/>
      <c r="BB1095" s="51"/>
      <c r="BC1095" s="52">
        <f t="shared" si="177"/>
        <v>197425737</v>
      </c>
      <c r="BD1095" s="51"/>
      <c r="BE1095" s="51"/>
      <c r="BF1095" s="51"/>
      <c r="BG1095" s="51"/>
      <c r="BH1095" s="51"/>
      <c r="BI1095" s="51"/>
      <c r="BJ1095" s="51"/>
      <c r="BK1095" s="51"/>
      <c r="BL1095" s="51"/>
      <c r="BM1095" s="51"/>
      <c r="BN1095" s="51">
        <v>10332542</v>
      </c>
      <c r="BO1095" s="51"/>
      <c r="BP1095" s="52">
        <v>207758279</v>
      </c>
      <c r="BQ1095" s="52"/>
      <c r="BR1095" s="52"/>
      <c r="BS1095" s="52"/>
      <c r="BT1095" s="52"/>
      <c r="BU1095" s="52"/>
      <c r="BV1095" s="52"/>
      <c r="BW1095" s="52"/>
      <c r="BX1095" s="52"/>
      <c r="BY1095" s="52"/>
      <c r="BZ1095" s="52"/>
      <c r="CA1095" s="52"/>
      <c r="CB1095" s="52"/>
      <c r="CC1095" s="52">
        <v>10332542</v>
      </c>
      <c r="CD1095" s="52"/>
      <c r="CE1095" s="52"/>
      <c r="CF1095" s="52"/>
      <c r="CG1095" s="52">
        <f t="shared" si="178"/>
        <v>218090821</v>
      </c>
      <c r="CH1095" s="52"/>
      <c r="CI1095" s="52"/>
      <c r="CJ1095" s="52"/>
      <c r="CK1095" s="52"/>
      <c r="CL1095" s="52"/>
      <c r="CM1095" s="52"/>
      <c r="CN1095" s="52"/>
      <c r="CO1095" s="52"/>
      <c r="CP1095" s="52"/>
      <c r="CQ1095" s="52">
        <v>10332542</v>
      </c>
      <c r="CR1095" s="52"/>
      <c r="CS1095" s="52">
        <f t="shared" si="175"/>
        <v>228423363</v>
      </c>
      <c r="CT1095" s="53">
        <v>82660336</v>
      </c>
      <c r="CU1095" s="53">
        <f t="shared" si="176"/>
        <v>145763027</v>
      </c>
      <c r="CV1095" s="54">
        <f t="shared" si="179"/>
        <v>228423363</v>
      </c>
      <c r="CW1095" s="55">
        <f t="shared" si="180"/>
        <v>0</v>
      </c>
      <c r="CX1095" s="16"/>
      <c r="CY1095" s="16"/>
      <c r="CZ1095" s="16"/>
    </row>
    <row r="1096" spans="1:108" ht="15" customHeight="1" x14ac:dyDescent="0.2">
      <c r="A1096" s="1">
        <v>8905019811</v>
      </c>
      <c r="B1096" s="1">
        <v>890501981</v>
      </c>
      <c r="C1096" s="9">
        <v>217154871</v>
      </c>
      <c r="D1096" s="10" t="s">
        <v>788</v>
      </c>
      <c r="E1096" s="46" t="s">
        <v>1804</v>
      </c>
      <c r="F1096" s="21"/>
      <c r="G1096" s="50"/>
      <c r="H1096" s="21"/>
      <c r="I1096" s="50"/>
      <c r="J1096" s="21"/>
      <c r="K1096" s="21"/>
      <c r="L1096" s="50"/>
      <c r="M1096" s="51"/>
      <c r="N1096" s="21"/>
      <c r="O1096" s="50"/>
      <c r="P1096" s="21"/>
      <c r="Q1096" s="50"/>
      <c r="R1096" s="21"/>
      <c r="S1096" s="21"/>
      <c r="T1096" s="50"/>
      <c r="U1096" s="51">
        <f t="shared" si="174"/>
        <v>0</v>
      </c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>
        <v>39069305</v>
      </c>
      <c r="AZ1096" s="51"/>
      <c r="BA1096" s="51">
        <f>VLOOKUP(B1096,[1]Hoja3!J$3:K$674,2,0)</f>
        <v>80962768</v>
      </c>
      <c r="BB1096" s="51"/>
      <c r="BC1096" s="52">
        <f t="shared" si="177"/>
        <v>120032073</v>
      </c>
      <c r="BD1096" s="51"/>
      <c r="BE1096" s="51"/>
      <c r="BF1096" s="51"/>
      <c r="BG1096" s="51"/>
      <c r="BH1096" s="51"/>
      <c r="BI1096" s="51"/>
      <c r="BJ1096" s="51"/>
      <c r="BK1096" s="51"/>
      <c r="BL1096" s="51"/>
      <c r="BM1096" s="51"/>
      <c r="BN1096" s="51">
        <v>7813861</v>
      </c>
      <c r="BO1096" s="51"/>
      <c r="BP1096" s="52">
        <v>127845934</v>
      </c>
      <c r="BQ1096" s="52"/>
      <c r="BR1096" s="52"/>
      <c r="BS1096" s="52"/>
      <c r="BT1096" s="52"/>
      <c r="BU1096" s="52"/>
      <c r="BV1096" s="52"/>
      <c r="BW1096" s="52"/>
      <c r="BX1096" s="52"/>
      <c r="BY1096" s="52"/>
      <c r="BZ1096" s="52"/>
      <c r="CA1096" s="52"/>
      <c r="CB1096" s="52"/>
      <c r="CC1096" s="52">
        <v>7813861</v>
      </c>
      <c r="CD1096" s="52"/>
      <c r="CE1096" s="52"/>
      <c r="CF1096" s="52"/>
      <c r="CG1096" s="52">
        <f t="shared" si="178"/>
        <v>135659795</v>
      </c>
      <c r="CH1096" s="52"/>
      <c r="CI1096" s="52"/>
      <c r="CJ1096" s="52"/>
      <c r="CK1096" s="52"/>
      <c r="CL1096" s="52"/>
      <c r="CM1096" s="52"/>
      <c r="CN1096" s="52"/>
      <c r="CO1096" s="52"/>
      <c r="CP1096" s="52"/>
      <c r="CQ1096" s="52">
        <v>7813861</v>
      </c>
      <c r="CR1096" s="52"/>
      <c r="CS1096" s="52">
        <f t="shared" si="175"/>
        <v>143473656</v>
      </c>
      <c r="CT1096" s="53">
        <v>62510888</v>
      </c>
      <c r="CU1096" s="53">
        <f t="shared" si="176"/>
        <v>80962768</v>
      </c>
      <c r="CV1096" s="54">
        <f t="shared" si="179"/>
        <v>143473656</v>
      </c>
      <c r="CW1096" s="55">
        <f t="shared" si="180"/>
        <v>0</v>
      </c>
      <c r="CX1096" s="16"/>
      <c r="CY1096" s="16"/>
      <c r="CZ1096" s="16"/>
    </row>
    <row r="1097" spans="1:108" ht="15" customHeight="1" x14ac:dyDescent="0.2">
      <c r="A1097" s="1">
        <v>8918012687</v>
      </c>
      <c r="B1097" s="1">
        <v>891801268</v>
      </c>
      <c r="C1097" s="9">
        <v>210715407</v>
      </c>
      <c r="D1097" s="10" t="s">
        <v>265</v>
      </c>
      <c r="E1097" s="46" t="s">
        <v>1299</v>
      </c>
      <c r="F1097" s="21"/>
      <c r="G1097" s="50"/>
      <c r="H1097" s="21"/>
      <c r="I1097" s="50"/>
      <c r="J1097" s="21"/>
      <c r="K1097" s="21"/>
      <c r="L1097" s="50"/>
      <c r="M1097" s="51"/>
      <c r="N1097" s="21"/>
      <c r="O1097" s="50"/>
      <c r="P1097" s="21"/>
      <c r="Q1097" s="50"/>
      <c r="R1097" s="21"/>
      <c r="S1097" s="21"/>
      <c r="T1097" s="50"/>
      <c r="U1097" s="51">
        <f t="shared" si="174"/>
        <v>0</v>
      </c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>
        <v>189304833</v>
      </c>
      <c r="AN1097" s="51">
        <f>SUBTOTAL(9,AC1097:AM1097)</f>
        <v>189304833</v>
      </c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>
        <f>VLOOKUP(B1097,[1]Hoja3!J$3:K$674,2,0)</f>
        <v>16905903</v>
      </c>
      <c r="BB1097" s="51"/>
      <c r="BC1097" s="52">
        <f t="shared" si="177"/>
        <v>206210736</v>
      </c>
      <c r="BD1097" s="51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>
        <v>15599882</v>
      </c>
      <c r="BO1097" s="51"/>
      <c r="BP1097" s="52">
        <v>221810618</v>
      </c>
      <c r="BQ1097" s="52"/>
      <c r="BR1097" s="52"/>
      <c r="BS1097" s="52"/>
      <c r="BT1097" s="52"/>
      <c r="BU1097" s="52"/>
      <c r="BV1097" s="52"/>
      <c r="BW1097" s="52"/>
      <c r="BX1097" s="52"/>
      <c r="BY1097" s="52"/>
      <c r="BZ1097" s="52"/>
      <c r="CA1097" s="52"/>
      <c r="CB1097" s="52"/>
      <c r="CC1097" s="52">
        <v>15599882</v>
      </c>
      <c r="CD1097" s="52">
        <v>77999410</v>
      </c>
      <c r="CE1097" s="52"/>
      <c r="CF1097" s="52"/>
      <c r="CG1097" s="52">
        <f t="shared" si="178"/>
        <v>315409910</v>
      </c>
      <c r="CH1097" s="52"/>
      <c r="CI1097" s="52"/>
      <c r="CJ1097" s="52"/>
      <c r="CK1097" s="52"/>
      <c r="CL1097" s="52"/>
      <c r="CM1097" s="52"/>
      <c r="CN1097" s="52"/>
      <c r="CO1097" s="52"/>
      <c r="CP1097" s="52"/>
      <c r="CQ1097" s="52">
        <v>15599882</v>
      </c>
      <c r="CR1097" s="52"/>
      <c r="CS1097" s="52">
        <f t="shared" si="175"/>
        <v>331009792</v>
      </c>
      <c r="CT1097" s="53">
        <v>124799056</v>
      </c>
      <c r="CU1097" s="53">
        <f t="shared" si="176"/>
        <v>206210736</v>
      </c>
      <c r="CV1097" s="54">
        <f t="shared" si="179"/>
        <v>331009792</v>
      </c>
      <c r="CW1097" s="55">
        <f t="shared" si="180"/>
        <v>0</v>
      </c>
      <c r="CX1097" s="16"/>
      <c r="CY1097" s="8"/>
      <c r="CZ1097" s="8"/>
      <c r="DA1097" s="8"/>
      <c r="DB1097" s="8"/>
      <c r="DC1097" s="8"/>
      <c r="DD1097" s="8"/>
    </row>
    <row r="1098" spans="1:108" ht="15" customHeight="1" x14ac:dyDescent="0.2">
      <c r="A1098" s="1">
        <v>8001001450</v>
      </c>
      <c r="B1098" s="1">
        <v>800100145</v>
      </c>
      <c r="C1098" s="9">
        <v>217073870</v>
      </c>
      <c r="D1098" s="10" t="s">
        <v>2245</v>
      </c>
      <c r="E1098" s="46" t="s">
        <v>1971</v>
      </c>
      <c r="F1098" s="21"/>
      <c r="G1098" s="50"/>
      <c r="H1098" s="21"/>
      <c r="I1098" s="50"/>
      <c r="J1098" s="21"/>
      <c r="K1098" s="21"/>
      <c r="L1098" s="50"/>
      <c r="M1098" s="51"/>
      <c r="N1098" s="21"/>
      <c r="O1098" s="50"/>
      <c r="P1098" s="21"/>
      <c r="Q1098" s="50"/>
      <c r="R1098" s="21"/>
      <c r="S1098" s="21"/>
      <c r="T1098" s="50"/>
      <c r="U1098" s="51">
        <f t="shared" si="174"/>
        <v>0</v>
      </c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>
        <v>46066577</v>
      </c>
      <c r="AN1098" s="51">
        <f>SUBTOTAL(9,AC1098:AM1098)</f>
        <v>46066577</v>
      </c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>
        <v>73912315</v>
      </c>
      <c r="AZ1098" s="51"/>
      <c r="BA1098" s="51">
        <f>VLOOKUP(B1098,[1]Hoja3!J$3:K$674,2,0)</f>
        <v>110311112</v>
      </c>
      <c r="BB1098" s="51"/>
      <c r="BC1098" s="52">
        <f t="shared" si="177"/>
        <v>230290004</v>
      </c>
      <c r="BD1098" s="51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>
        <v>14782463</v>
      </c>
      <c r="BO1098" s="51"/>
      <c r="BP1098" s="52">
        <v>245072467</v>
      </c>
      <c r="BQ1098" s="52"/>
      <c r="BR1098" s="52"/>
      <c r="BS1098" s="52"/>
      <c r="BT1098" s="52"/>
      <c r="BU1098" s="52"/>
      <c r="BV1098" s="52"/>
      <c r="BW1098" s="52"/>
      <c r="BX1098" s="52"/>
      <c r="BY1098" s="52"/>
      <c r="BZ1098" s="52"/>
      <c r="CA1098" s="52"/>
      <c r="CB1098" s="52"/>
      <c r="CC1098" s="52">
        <v>14782463</v>
      </c>
      <c r="CD1098" s="52"/>
      <c r="CE1098" s="52"/>
      <c r="CF1098" s="52"/>
      <c r="CG1098" s="52">
        <f t="shared" si="178"/>
        <v>259854930</v>
      </c>
      <c r="CH1098" s="52"/>
      <c r="CI1098" s="52"/>
      <c r="CJ1098" s="52"/>
      <c r="CK1098" s="52"/>
      <c r="CL1098" s="52"/>
      <c r="CM1098" s="52"/>
      <c r="CN1098" s="52"/>
      <c r="CO1098" s="52"/>
      <c r="CP1098" s="52"/>
      <c r="CQ1098" s="52">
        <v>14782463</v>
      </c>
      <c r="CR1098" s="52"/>
      <c r="CS1098" s="52">
        <f t="shared" si="175"/>
        <v>274637393</v>
      </c>
      <c r="CT1098" s="53">
        <v>118259704</v>
      </c>
      <c r="CU1098" s="53">
        <f t="shared" si="176"/>
        <v>156377689</v>
      </c>
      <c r="CV1098" s="54">
        <f t="shared" si="179"/>
        <v>274637393</v>
      </c>
      <c r="CW1098" s="55">
        <f t="shared" si="180"/>
        <v>0</v>
      </c>
      <c r="CX1098" s="16"/>
      <c r="CY1098" s="16"/>
      <c r="CZ1098" s="16"/>
    </row>
    <row r="1099" spans="1:108" ht="15" customHeight="1" x14ac:dyDescent="0.2">
      <c r="A1099" s="1">
        <v>8170026754</v>
      </c>
      <c r="B1099" s="1">
        <v>817002675</v>
      </c>
      <c r="C1099" s="9">
        <v>214519845</v>
      </c>
      <c r="D1099" s="10" t="s">
        <v>412</v>
      </c>
      <c r="E1099" s="46" t="s">
        <v>1440</v>
      </c>
      <c r="F1099" s="21"/>
      <c r="G1099" s="50"/>
      <c r="H1099" s="21"/>
      <c r="I1099" s="50"/>
      <c r="J1099" s="21"/>
      <c r="K1099" s="21"/>
      <c r="L1099" s="50"/>
      <c r="M1099" s="51"/>
      <c r="N1099" s="21"/>
      <c r="O1099" s="50"/>
      <c r="P1099" s="21"/>
      <c r="Q1099" s="50"/>
      <c r="R1099" s="21"/>
      <c r="S1099" s="21"/>
      <c r="T1099" s="50"/>
      <c r="U1099" s="51">
        <f t="shared" si="174"/>
        <v>0</v>
      </c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>
        <v>111812754</v>
      </c>
      <c r="AN1099" s="51">
        <f>SUBTOTAL(9,AC1099:AM1099)</f>
        <v>111812754</v>
      </c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>
        <v>98006375</v>
      </c>
      <c r="AZ1099" s="51"/>
      <c r="BA1099" s="51">
        <f>VLOOKUP(B1099,[1]Hoja3!J$3:K$674,2,0)</f>
        <v>124305869</v>
      </c>
      <c r="BB1099" s="51"/>
      <c r="BC1099" s="52">
        <f t="shared" si="177"/>
        <v>334124998</v>
      </c>
      <c r="BD1099" s="51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>
        <v>19601275</v>
      </c>
      <c r="BO1099" s="51"/>
      <c r="BP1099" s="52">
        <v>353726273</v>
      </c>
      <c r="BQ1099" s="52"/>
      <c r="BR1099" s="52"/>
      <c r="BS1099" s="52"/>
      <c r="BT1099" s="52"/>
      <c r="BU1099" s="52"/>
      <c r="BV1099" s="52"/>
      <c r="BW1099" s="52"/>
      <c r="BX1099" s="52"/>
      <c r="BY1099" s="52"/>
      <c r="BZ1099" s="52"/>
      <c r="CA1099" s="52"/>
      <c r="CB1099" s="52"/>
      <c r="CC1099" s="52">
        <v>19601275</v>
      </c>
      <c r="CD1099" s="52"/>
      <c r="CE1099" s="52"/>
      <c r="CF1099" s="52"/>
      <c r="CG1099" s="52">
        <f t="shared" si="178"/>
        <v>373327548</v>
      </c>
      <c r="CH1099" s="52"/>
      <c r="CI1099" s="52"/>
      <c r="CJ1099" s="52"/>
      <c r="CK1099" s="52"/>
      <c r="CL1099" s="52"/>
      <c r="CM1099" s="52"/>
      <c r="CN1099" s="52"/>
      <c r="CO1099" s="52"/>
      <c r="CP1099" s="52"/>
      <c r="CQ1099" s="52">
        <v>19601275</v>
      </c>
      <c r="CR1099" s="52">
        <v>11753216</v>
      </c>
      <c r="CS1099" s="52">
        <f t="shared" si="175"/>
        <v>404682039</v>
      </c>
      <c r="CT1099" s="53">
        <v>156810200</v>
      </c>
      <c r="CU1099" s="53">
        <f t="shared" si="176"/>
        <v>247871839</v>
      </c>
      <c r="CV1099" s="54">
        <f t="shared" si="179"/>
        <v>404682039</v>
      </c>
      <c r="CW1099" s="55">
        <f t="shared" si="180"/>
        <v>0</v>
      </c>
      <c r="CX1099" s="16"/>
      <c r="CY1099" s="16"/>
      <c r="CZ1099" s="16"/>
    </row>
    <row r="1100" spans="1:108" ht="15" customHeight="1" x14ac:dyDescent="0.2">
      <c r="A1100" s="1">
        <v>8905033730</v>
      </c>
      <c r="B1100" s="1">
        <v>890503373</v>
      </c>
      <c r="C1100" s="9">
        <v>217454874</v>
      </c>
      <c r="D1100" s="10" t="s">
        <v>2133</v>
      </c>
      <c r="E1100" s="46" t="s">
        <v>1805</v>
      </c>
      <c r="F1100" s="21"/>
      <c r="G1100" s="50"/>
      <c r="H1100" s="21"/>
      <c r="I1100" s="50"/>
      <c r="J1100" s="21"/>
      <c r="K1100" s="21"/>
      <c r="L1100" s="50"/>
      <c r="M1100" s="51"/>
      <c r="N1100" s="21"/>
      <c r="O1100" s="50"/>
      <c r="P1100" s="21"/>
      <c r="Q1100" s="50"/>
      <c r="R1100" s="21"/>
      <c r="S1100" s="21"/>
      <c r="T1100" s="50"/>
      <c r="U1100" s="51">
        <f t="shared" si="174"/>
        <v>0</v>
      </c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>
        <v>981709611</v>
      </c>
      <c r="AN1100" s="51">
        <f>SUBTOTAL(9,AC1100:AM1100)</f>
        <v>981709611</v>
      </c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>
        <v>392223330</v>
      </c>
      <c r="AZ1100" s="51"/>
      <c r="BA1100" s="51"/>
      <c r="BB1100" s="51"/>
      <c r="BC1100" s="52">
        <f t="shared" si="177"/>
        <v>1373932941</v>
      </c>
      <c r="BD1100" s="51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>
        <v>78444666</v>
      </c>
      <c r="BO1100" s="51"/>
      <c r="BP1100" s="52">
        <v>1452377607</v>
      </c>
      <c r="BQ1100" s="52"/>
      <c r="BR1100" s="52"/>
      <c r="BS1100" s="52"/>
      <c r="BT1100" s="52"/>
      <c r="BU1100" s="52"/>
      <c r="BV1100" s="52"/>
      <c r="BW1100" s="52"/>
      <c r="BX1100" s="52"/>
      <c r="BY1100" s="52"/>
      <c r="BZ1100" s="52"/>
      <c r="CA1100" s="52"/>
      <c r="CB1100" s="52"/>
      <c r="CC1100" s="52">
        <v>78444666</v>
      </c>
      <c r="CD1100" s="52"/>
      <c r="CE1100" s="52"/>
      <c r="CF1100" s="52"/>
      <c r="CG1100" s="52">
        <f t="shared" si="178"/>
        <v>1530822273</v>
      </c>
      <c r="CH1100" s="52"/>
      <c r="CI1100" s="52"/>
      <c r="CJ1100" s="52"/>
      <c r="CK1100" s="52"/>
      <c r="CL1100" s="52"/>
      <c r="CM1100" s="52"/>
      <c r="CN1100" s="52"/>
      <c r="CO1100" s="52"/>
      <c r="CP1100" s="52"/>
      <c r="CQ1100" s="52">
        <v>78444666</v>
      </c>
      <c r="CR1100" s="52"/>
      <c r="CS1100" s="52">
        <f t="shared" si="175"/>
        <v>1609266939</v>
      </c>
      <c r="CT1100" s="53">
        <v>627557328</v>
      </c>
      <c r="CU1100" s="53">
        <f t="shared" si="176"/>
        <v>981709611</v>
      </c>
      <c r="CV1100" s="54">
        <f t="shared" si="179"/>
        <v>1609266939</v>
      </c>
      <c r="CW1100" s="55">
        <f t="shared" si="180"/>
        <v>0</v>
      </c>
      <c r="CX1100" s="16"/>
      <c r="CY1100" s="16"/>
      <c r="CZ1100" s="16"/>
    </row>
    <row r="1101" spans="1:108" ht="15" customHeight="1" x14ac:dyDescent="0.2">
      <c r="A1101" s="1">
        <v>8911801872</v>
      </c>
      <c r="B1101" s="1">
        <v>891180187</v>
      </c>
      <c r="C1101" s="9">
        <v>217241872</v>
      </c>
      <c r="D1101" s="10" t="s">
        <v>627</v>
      </c>
      <c r="E1101" s="46" t="s">
        <v>1632</v>
      </c>
      <c r="F1101" s="21"/>
      <c r="G1101" s="50"/>
      <c r="H1101" s="21"/>
      <c r="I1101" s="50"/>
      <c r="J1101" s="21"/>
      <c r="K1101" s="21"/>
      <c r="L1101" s="50"/>
      <c r="M1101" s="51"/>
      <c r="N1101" s="21"/>
      <c r="O1101" s="50"/>
      <c r="P1101" s="21"/>
      <c r="Q1101" s="50"/>
      <c r="R1101" s="21"/>
      <c r="S1101" s="21"/>
      <c r="T1101" s="50"/>
      <c r="U1101" s="51">
        <f t="shared" si="174"/>
        <v>0</v>
      </c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>
        <v>50773855</v>
      </c>
      <c r="AZ1101" s="51"/>
      <c r="BA1101" s="51">
        <f>VLOOKUP(B1101,[1]Hoja3!J$3:K$674,2,0)</f>
        <v>96636642</v>
      </c>
      <c r="BB1101" s="51"/>
      <c r="BC1101" s="52">
        <f t="shared" si="177"/>
        <v>147410497</v>
      </c>
      <c r="BD1101" s="51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>
        <v>10154771</v>
      </c>
      <c r="BO1101" s="51"/>
      <c r="BP1101" s="52">
        <v>157565268</v>
      </c>
      <c r="BQ1101" s="52"/>
      <c r="BR1101" s="52"/>
      <c r="BS1101" s="52"/>
      <c r="BT1101" s="52"/>
      <c r="BU1101" s="52"/>
      <c r="BV1101" s="52"/>
      <c r="BW1101" s="52"/>
      <c r="BX1101" s="52"/>
      <c r="BY1101" s="52"/>
      <c r="BZ1101" s="52"/>
      <c r="CA1101" s="52"/>
      <c r="CB1101" s="52"/>
      <c r="CC1101" s="52">
        <v>10154771</v>
      </c>
      <c r="CD1101" s="52"/>
      <c r="CE1101" s="52"/>
      <c r="CF1101" s="52"/>
      <c r="CG1101" s="52">
        <f t="shared" si="178"/>
        <v>167720039</v>
      </c>
      <c r="CH1101" s="52"/>
      <c r="CI1101" s="52"/>
      <c r="CJ1101" s="52"/>
      <c r="CK1101" s="52"/>
      <c r="CL1101" s="52"/>
      <c r="CM1101" s="52"/>
      <c r="CN1101" s="52"/>
      <c r="CO1101" s="52"/>
      <c r="CP1101" s="52"/>
      <c r="CQ1101" s="52">
        <v>10154771</v>
      </c>
      <c r="CR1101" s="52"/>
      <c r="CS1101" s="52">
        <f t="shared" si="175"/>
        <v>177874810</v>
      </c>
      <c r="CT1101" s="53">
        <v>81238168</v>
      </c>
      <c r="CU1101" s="53">
        <f t="shared" si="176"/>
        <v>96636642</v>
      </c>
      <c r="CV1101" s="54">
        <f t="shared" si="179"/>
        <v>177874810</v>
      </c>
      <c r="CW1101" s="55">
        <f t="shared" si="180"/>
        <v>0</v>
      </c>
      <c r="CX1101" s="16"/>
      <c r="CY1101" s="16"/>
      <c r="CZ1101" s="16"/>
    </row>
    <row r="1102" spans="1:108" ht="15" customHeight="1" x14ac:dyDescent="0.2">
      <c r="A1102" s="1">
        <v>8000542490</v>
      </c>
      <c r="B1102" s="1">
        <v>800054249</v>
      </c>
      <c r="C1102" s="9">
        <v>218586885</v>
      </c>
      <c r="D1102" s="10" t="s">
        <v>986</v>
      </c>
      <c r="E1102" s="46" t="s">
        <v>2043</v>
      </c>
      <c r="F1102" s="21"/>
      <c r="G1102" s="50"/>
      <c r="H1102" s="21"/>
      <c r="I1102" s="50"/>
      <c r="J1102" s="21"/>
      <c r="K1102" s="21"/>
      <c r="L1102" s="50"/>
      <c r="M1102" s="51"/>
      <c r="N1102" s="21"/>
      <c r="O1102" s="50"/>
      <c r="P1102" s="21"/>
      <c r="Q1102" s="50"/>
      <c r="R1102" s="21"/>
      <c r="S1102" s="21"/>
      <c r="T1102" s="50"/>
      <c r="U1102" s="51">
        <f t="shared" si="174"/>
        <v>0</v>
      </c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>
        <v>35964653</v>
      </c>
      <c r="AN1102" s="51">
        <f t="shared" ref="AN1102:AN1107" si="181">SUBTOTAL(9,AC1102:AM1102)</f>
        <v>35964653</v>
      </c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>
        <v>184931580</v>
      </c>
      <c r="AZ1102" s="51"/>
      <c r="BA1102" s="51">
        <f>VLOOKUP(B1102,[1]Hoja3!J$3:K$674,2,0)</f>
        <v>357475854</v>
      </c>
      <c r="BB1102" s="51"/>
      <c r="BC1102" s="52">
        <f t="shared" si="177"/>
        <v>578372087</v>
      </c>
      <c r="BD1102" s="51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>
        <v>36986316</v>
      </c>
      <c r="BO1102" s="51"/>
      <c r="BP1102" s="52">
        <v>615358403</v>
      </c>
      <c r="BQ1102" s="52"/>
      <c r="BR1102" s="52"/>
      <c r="BS1102" s="52"/>
      <c r="BT1102" s="52"/>
      <c r="BU1102" s="52"/>
      <c r="BV1102" s="52"/>
      <c r="BW1102" s="52"/>
      <c r="BX1102" s="52"/>
      <c r="BY1102" s="52"/>
      <c r="BZ1102" s="52"/>
      <c r="CA1102" s="52"/>
      <c r="CB1102" s="52"/>
      <c r="CC1102" s="52">
        <v>36986316</v>
      </c>
      <c r="CD1102" s="52"/>
      <c r="CE1102" s="52">
        <v>53296377</v>
      </c>
      <c r="CF1102" s="52"/>
      <c r="CG1102" s="52">
        <f t="shared" si="178"/>
        <v>705641096</v>
      </c>
      <c r="CH1102" s="52"/>
      <c r="CI1102" s="52"/>
      <c r="CJ1102" s="52"/>
      <c r="CK1102" s="52"/>
      <c r="CL1102" s="52"/>
      <c r="CM1102" s="52"/>
      <c r="CN1102" s="52"/>
      <c r="CO1102" s="52"/>
      <c r="CP1102" s="52"/>
      <c r="CQ1102" s="52">
        <v>36986316</v>
      </c>
      <c r="CR1102" s="52"/>
      <c r="CS1102" s="52">
        <f t="shared" si="175"/>
        <v>742627412</v>
      </c>
      <c r="CT1102" s="53">
        <v>295890528</v>
      </c>
      <c r="CU1102" s="53">
        <f t="shared" si="176"/>
        <v>446736884</v>
      </c>
      <c r="CV1102" s="54">
        <f t="shared" si="179"/>
        <v>742627412</v>
      </c>
      <c r="CW1102" s="55">
        <f t="shared" si="180"/>
        <v>0</v>
      </c>
      <c r="CX1102" s="16"/>
      <c r="CY1102" s="16"/>
      <c r="CZ1102" s="16"/>
    </row>
    <row r="1103" spans="1:108" ht="15" customHeight="1" x14ac:dyDescent="0.2">
      <c r="A1103" s="1">
        <v>8999994478</v>
      </c>
      <c r="B1103" s="1">
        <v>899999447</v>
      </c>
      <c r="C1103" s="9">
        <v>217125871</v>
      </c>
      <c r="D1103" s="10" t="s">
        <v>561</v>
      </c>
      <c r="E1103" s="46" t="s">
        <v>1581</v>
      </c>
      <c r="F1103" s="21"/>
      <c r="G1103" s="50"/>
      <c r="H1103" s="21"/>
      <c r="I1103" s="50"/>
      <c r="J1103" s="21"/>
      <c r="K1103" s="21"/>
      <c r="L1103" s="50"/>
      <c r="M1103" s="51"/>
      <c r="N1103" s="21"/>
      <c r="O1103" s="50"/>
      <c r="P1103" s="21"/>
      <c r="Q1103" s="50"/>
      <c r="R1103" s="21"/>
      <c r="S1103" s="21"/>
      <c r="T1103" s="50"/>
      <c r="U1103" s="51">
        <f t="shared" si="174"/>
        <v>0</v>
      </c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>
        <v>32430830</v>
      </c>
      <c r="AN1103" s="51">
        <f t="shared" si="181"/>
        <v>32430830</v>
      </c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>
        <v>15962375</v>
      </c>
      <c r="AZ1103" s="51"/>
      <c r="BA1103" s="51"/>
      <c r="BB1103" s="51"/>
      <c r="BC1103" s="52">
        <f t="shared" si="177"/>
        <v>48393205</v>
      </c>
      <c r="BD1103" s="51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>
        <v>3192475</v>
      </c>
      <c r="BO1103" s="51"/>
      <c r="BP1103" s="52">
        <v>51585680</v>
      </c>
      <c r="BQ1103" s="52"/>
      <c r="BR1103" s="52"/>
      <c r="BS1103" s="52"/>
      <c r="BT1103" s="52"/>
      <c r="BU1103" s="52"/>
      <c r="BV1103" s="52"/>
      <c r="BW1103" s="52"/>
      <c r="BX1103" s="52"/>
      <c r="BY1103" s="52"/>
      <c r="BZ1103" s="52"/>
      <c r="CA1103" s="52"/>
      <c r="CB1103" s="52"/>
      <c r="CC1103" s="52">
        <v>3192475</v>
      </c>
      <c r="CD1103" s="52"/>
      <c r="CE1103" s="52"/>
      <c r="CF1103" s="52"/>
      <c r="CG1103" s="52">
        <f t="shared" si="178"/>
        <v>54778155</v>
      </c>
      <c r="CH1103" s="52"/>
      <c r="CI1103" s="52"/>
      <c r="CJ1103" s="52"/>
      <c r="CK1103" s="52"/>
      <c r="CL1103" s="52"/>
      <c r="CM1103" s="52"/>
      <c r="CN1103" s="52"/>
      <c r="CO1103" s="52"/>
      <c r="CP1103" s="52"/>
      <c r="CQ1103" s="52">
        <v>3192475</v>
      </c>
      <c r="CR1103" s="52"/>
      <c r="CS1103" s="52">
        <f t="shared" si="175"/>
        <v>57970630</v>
      </c>
      <c r="CT1103" s="53">
        <v>25539800</v>
      </c>
      <c r="CU1103" s="53">
        <f t="shared" si="176"/>
        <v>32430830</v>
      </c>
      <c r="CV1103" s="54">
        <f t="shared" si="179"/>
        <v>57970630</v>
      </c>
      <c r="CW1103" s="55">
        <f t="shared" si="180"/>
        <v>0</v>
      </c>
      <c r="CX1103" s="16"/>
      <c r="CY1103" s="16"/>
      <c r="CZ1103" s="16"/>
    </row>
    <row r="1104" spans="1:108" ht="15" customHeight="1" x14ac:dyDescent="0.2">
      <c r="A1104" s="1">
        <v>8908011528</v>
      </c>
      <c r="B1104" s="1">
        <v>890801152</v>
      </c>
      <c r="C1104" s="9">
        <v>217317873</v>
      </c>
      <c r="D1104" s="10" t="s">
        <v>360</v>
      </c>
      <c r="E1104" s="46" t="s">
        <v>1389</v>
      </c>
      <c r="F1104" s="21"/>
      <c r="G1104" s="50"/>
      <c r="H1104" s="21"/>
      <c r="I1104" s="50"/>
      <c r="J1104" s="21"/>
      <c r="K1104" s="21"/>
      <c r="L1104" s="50"/>
      <c r="M1104" s="51"/>
      <c r="N1104" s="21"/>
      <c r="O1104" s="50"/>
      <c r="P1104" s="21"/>
      <c r="Q1104" s="50"/>
      <c r="R1104" s="21"/>
      <c r="S1104" s="21"/>
      <c r="T1104" s="50"/>
      <c r="U1104" s="51">
        <f t="shared" si="174"/>
        <v>0</v>
      </c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>
        <v>532214526</v>
      </c>
      <c r="AN1104" s="51">
        <f t="shared" si="181"/>
        <v>532214526</v>
      </c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>
        <v>244317745</v>
      </c>
      <c r="AZ1104" s="51"/>
      <c r="BA1104" s="51"/>
      <c r="BB1104" s="51"/>
      <c r="BC1104" s="52">
        <f t="shared" si="177"/>
        <v>776532271</v>
      </c>
      <c r="BD1104" s="51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>
        <v>48863549</v>
      </c>
      <c r="BO1104" s="51"/>
      <c r="BP1104" s="52">
        <v>825395820</v>
      </c>
      <c r="BQ1104" s="52"/>
      <c r="BR1104" s="52"/>
      <c r="BS1104" s="52"/>
      <c r="BT1104" s="52"/>
      <c r="BU1104" s="52"/>
      <c r="BV1104" s="52"/>
      <c r="BW1104" s="52"/>
      <c r="BX1104" s="52"/>
      <c r="BY1104" s="52"/>
      <c r="BZ1104" s="52"/>
      <c r="CA1104" s="52"/>
      <c r="CB1104" s="52"/>
      <c r="CC1104" s="52">
        <v>48863549</v>
      </c>
      <c r="CD1104" s="52"/>
      <c r="CE1104" s="52"/>
      <c r="CF1104" s="52"/>
      <c r="CG1104" s="52">
        <f t="shared" si="178"/>
        <v>874259369</v>
      </c>
      <c r="CH1104" s="52"/>
      <c r="CI1104" s="52"/>
      <c r="CJ1104" s="52"/>
      <c r="CK1104" s="52"/>
      <c r="CL1104" s="52"/>
      <c r="CM1104" s="52"/>
      <c r="CN1104" s="52"/>
      <c r="CO1104" s="52"/>
      <c r="CP1104" s="52"/>
      <c r="CQ1104" s="52">
        <v>48863549</v>
      </c>
      <c r="CR1104" s="52"/>
      <c r="CS1104" s="52">
        <f t="shared" si="175"/>
        <v>923122918</v>
      </c>
      <c r="CT1104" s="53">
        <v>390908392</v>
      </c>
      <c r="CU1104" s="53">
        <f t="shared" si="176"/>
        <v>532214526</v>
      </c>
      <c r="CV1104" s="54">
        <f t="shared" si="179"/>
        <v>923122918</v>
      </c>
      <c r="CW1104" s="55">
        <f t="shared" si="180"/>
        <v>0</v>
      </c>
      <c r="CX1104" s="16"/>
      <c r="CY1104" s="16"/>
      <c r="CZ1104" s="16"/>
    </row>
    <row r="1105" spans="1:108" ht="15" customHeight="1" x14ac:dyDescent="0.2">
      <c r="A1105" s="1">
        <v>8904811928</v>
      </c>
      <c r="B1105" s="1">
        <v>890481192</v>
      </c>
      <c r="C1105" s="9">
        <v>217313873</v>
      </c>
      <c r="D1105" s="10" t="s">
        <v>215</v>
      </c>
      <c r="E1105" s="46" t="s">
        <v>1250</v>
      </c>
      <c r="F1105" s="21"/>
      <c r="G1105" s="50"/>
      <c r="H1105" s="21"/>
      <c r="I1105" s="50"/>
      <c r="J1105" s="21"/>
      <c r="K1105" s="21"/>
      <c r="L1105" s="50"/>
      <c r="M1105" s="51"/>
      <c r="N1105" s="21"/>
      <c r="O1105" s="50"/>
      <c r="P1105" s="21"/>
      <c r="Q1105" s="50"/>
      <c r="R1105" s="21"/>
      <c r="S1105" s="21"/>
      <c r="T1105" s="50"/>
      <c r="U1105" s="51">
        <f t="shared" si="174"/>
        <v>0</v>
      </c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>
        <v>192637648</v>
      </c>
      <c r="AN1105" s="51">
        <f t="shared" si="181"/>
        <v>192637648</v>
      </c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>
        <v>282192805</v>
      </c>
      <c r="AZ1105" s="51"/>
      <c r="BA1105" s="51">
        <f>VLOOKUP(B1105,[1]Hoja3!J$3:K$674,2,0)</f>
        <v>143028556</v>
      </c>
      <c r="BB1105" s="51"/>
      <c r="BC1105" s="52">
        <f t="shared" si="177"/>
        <v>617859009</v>
      </c>
      <c r="BD1105" s="51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>
        <v>56438561</v>
      </c>
      <c r="BO1105" s="51"/>
      <c r="BP1105" s="52">
        <v>674297570</v>
      </c>
      <c r="BQ1105" s="52"/>
      <c r="BR1105" s="52"/>
      <c r="BS1105" s="52"/>
      <c r="BT1105" s="52"/>
      <c r="BU1105" s="52"/>
      <c r="BV1105" s="52"/>
      <c r="BW1105" s="52"/>
      <c r="BX1105" s="52"/>
      <c r="BY1105" s="52"/>
      <c r="BZ1105" s="52"/>
      <c r="CA1105" s="52"/>
      <c r="CB1105" s="52"/>
      <c r="CC1105" s="52">
        <v>56438561</v>
      </c>
      <c r="CD1105" s="52"/>
      <c r="CE1105" s="52"/>
      <c r="CF1105" s="52"/>
      <c r="CG1105" s="52">
        <f t="shared" si="178"/>
        <v>730736131</v>
      </c>
      <c r="CH1105" s="52"/>
      <c r="CI1105" s="52"/>
      <c r="CJ1105" s="52"/>
      <c r="CK1105" s="52"/>
      <c r="CL1105" s="52"/>
      <c r="CM1105" s="52"/>
      <c r="CN1105" s="52"/>
      <c r="CO1105" s="52"/>
      <c r="CP1105" s="52"/>
      <c r="CQ1105" s="52">
        <v>56438561</v>
      </c>
      <c r="CR1105" s="52"/>
      <c r="CS1105" s="52">
        <f t="shared" si="175"/>
        <v>787174692</v>
      </c>
      <c r="CT1105" s="53">
        <v>451508488</v>
      </c>
      <c r="CU1105" s="53">
        <f t="shared" si="176"/>
        <v>335666204</v>
      </c>
      <c r="CV1105" s="54">
        <f t="shared" si="179"/>
        <v>787174692</v>
      </c>
      <c r="CW1105" s="55">
        <f t="shared" si="180"/>
        <v>0</v>
      </c>
      <c r="CX1105" s="16"/>
      <c r="CY1105" s="8"/>
      <c r="CZ1105" s="8"/>
      <c r="DA1105" s="8"/>
      <c r="DB1105" s="8"/>
      <c r="DC1105" s="8"/>
      <c r="DD1105" s="8"/>
    </row>
    <row r="1106" spans="1:108" ht="15" customHeight="1" x14ac:dyDescent="0.2">
      <c r="A1106" s="1">
        <v>8920994757</v>
      </c>
      <c r="B1106" s="1">
        <v>892099475</v>
      </c>
      <c r="C1106" s="9">
        <v>214085440</v>
      </c>
      <c r="D1106" s="10" t="s">
        <v>973</v>
      </c>
      <c r="E1106" s="46" t="s">
        <v>2032</v>
      </c>
      <c r="F1106" s="21"/>
      <c r="G1106" s="50"/>
      <c r="H1106" s="21"/>
      <c r="I1106" s="50"/>
      <c r="J1106" s="21"/>
      <c r="K1106" s="21"/>
      <c r="L1106" s="50"/>
      <c r="M1106" s="51"/>
      <c r="N1106" s="21"/>
      <c r="O1106" s="50"/>
      <c r="P1106" s="21"/>
      <c r="Q1106" s="50"/>
      <c r="R1106" s="21"/>
      <c r="S1106" s="21"/>
      <c r="T1106" s="50"/>
      <c r="U1106" s="51">
        <f t="shared" si="174"/>
        <v>0</v>
      </c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>
        <v>487784841</v>
      </c>
      <c r="AN1106" s="51">
        <f t="shared" si="181"/>
        <v>487784841</v>
      </c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>
        <v>190116935</v>
      </c>
      <c r="AZ1106" s="51"/>
      <c r="BA1106" s="51"/>
      <c r="BB1106" s="51">
        <f>VLOOKUP(B1106,'[2]anuladas en mayo gratuidad}'!K$2:L$55,2,0)</f>
        <v>163166213</v>
      </c>
      <c r="BC1106" s="52">
        <f t="shared" si="177"/>
        <v>514735563</v>
      </c>
      <c r="BD1106" s="51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>
        <v>38023387</v>
      </c>
      <c r="BO1106" s="51"/>
      <c r="BP1106" s="52">
        <v>552758950</v>
      </c>
      <c r="BQ1106" s="52"/>
      <c r="BR1106" s="52"/>
      <c r="BS1106" s="52"/>
      <c r="BT1106" s="52"/>
      <c r="BU1106" s="52"/>
      <c r="BV1106" s="52"/>
      <c r="BW1106" s="52"/>
      <c r="BX1106" s="52"/>
      <c r="BY1106" s="52"/>
      <c r="BZ1106" s="52"/>
      <c r="CA1106" s="52"/>
      <c r="CB1106" s="52"/>
      <c r="CC1106" s="52">
        <v>38023387</v>
      </c>
      <c r="CD1106" s="52"/>
      <c r="CE1106" s="52"/>
      <c r="CF1106" s="52"/>
      <c r="CG1106" s="52">
        <f t="shared" si="178"/>
        <v>590782337</v>
      </c>
      <c r="CH1106" s="52"/>
      <c r="CI1106" s="52"/>
      <c r="CJ1106" s="52"/>
      <c r="CK1106" s="52"/>
      <c r="CL1106" s="52"/>
      <c r="CM1106" s="52"/>
      <c r="CN1106" s="52"/>
      <c r="CO1106" s="52"/>
      <c r="CP1106" s="52"/>
      <c r="CQ1106" s="52">
        <v>38023387</v>
      </c>
      <c r="CR1106" s="52"/>
      <c r="CS1106" s="52">
        <f t="shared" si="175"/>
        <v>628805724</v>
      </c>
      <c r="CT1106" s="53">
        <v>304187096</v>
      </c>
      <c r="CU1106" s="53">
        <f t="shared" si="176"/>
        <v>324618628</v>
      </c>
      <c r="CV1106" s="54">
        <f t="shared" si="179"/>
        <v>628805724</v>
      </c>
      <c r="CW1106" s="55">
        <f t="shared" si="180"/>
        <v>0</v>
      </c>
      <c r="CX1106" s="16"/>
      <c r="CY1106" s="16"/>
      <c r="CZ1106" s="16"/>
    </row>
    <row r="1107" spans="1:108" ht="15" customHeight="1" x14ac:dyDescent="0.2">
      <c r="A1107" s="1">
        <v>8921151980</v>
      </c>
      <c r="B1107" s="1">
        <v>892115198</v>
      </c>
      <c r="C1107" s="9">
        <v>217444874</v>
      </c>
      <c r="D1107" s="10" t="s">
        <v>639</v>
      </c>
      <c r="E1107" s="46" t="s">
        <v>1658</v>
      </c>
      <c r="F1107" s="21"/>
      <c r="G1107" s="50"/>
      <c r="H1107" s="21"/>
      <c r="I1107" s="50"/>
      <c r="J1107" s="21"/>
      <c r="K1107" s="21"/>
      <c r="L1107" s="50"/>
      <c r="M1107" s="51"/>
      <c r="N1107" s="21"/>
      <c r="O1107" s="50"/>
      <c r="P1107" s="21"/>
      <c r="Q1107" s="50"/>
      <c r="R1107" s="21"/>
      <c r="S1107" s="21"/>
      <c r="T1107" s="50"/>
      <c r="U1107" s="51">
        <f t="shared" si="174"/>
        <v>0</v>
      </c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>
        <v>347775107</v>
      </c>
      <c r="AN1107" s="51">
        <f t="shared" si="181"/>
        <v>347775107</v>
      </c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>
        <v>185916855</v>
      </c>
      <c r="AZ1107" s="51"/>
      <c r="BA1107" s="51"/>
      <c r="BB1107" s="51"/>
      <c r="BC1107" s="52">
        <f t="shared" si="177"/>
        <v>533691962</v>
      </c>
      <c r="BD1107" s="51"/>
      <c r="BE1107" s="51"/>
      <c r="BF1107" s="51"/>
      <c r="BG1107" s="51"/>
      <c r="BH1107" s="51"/>
      <c r="BI1107" s="51"/>
      <c r="BJ1107" s="51"/>
      <c r="BK1107" s="51"/>
      <c r="BL1107" s="51"/>
      <c r="BM1107" s="51"/>
      <c r="BN1107" s="51">
        <v>37183371</v>
      </c>
      <c r="BO1107" s="51"/>
      <c r="BP1107" s="52">
        <v>570875333</v>
      </c>
      <c r="BQ1107" s="52"/>
      <c r="BR1107" s="52"/>
      <c r="BS1107" s="52"/>
      <c r="BT1107" s="52"/>
      <c r="BU1107" s="52"/>
      <c r="BV1107" s="52"/>
      <c r="BW1107" s="52"/>
      <c r="BX1107" s="52"/>
      <c r="BY1107" s="52"/>
      <c r="BZ1107" s="52"/>
      <c r="CA1107" s="52"/>
      <c r="CB1107" s="52"/>
      <c r="CC1107" s="52">
        <v>37183371</v>
      </c>
      <c r="CD1107" s="52"/>
      <c r="CE1107" s="52"/>
      <c r="CF1107" s="52"/>
      <c r="CG1107" s="52">
        <f t="shared" si="178"/>
        <v>608058704</v>
      </c>
      <c r="CH1107" s="52"/>
      <c r="CI1107" s="52"/>
      <c r="CJ1107" s="52"/>
      <c r="CK1107" s="52"/>
      <c r="CL1107" s="52"/>
      <c r="CM1107" s="52"/>
      <c r="CN1107" s="52"/>
      <c r="CO1107" s="52"/>
      <c r="CP1107" s="52"/>
      <c r="CQ1107" s="52">
        <v>37183371</v>
      </c>
      <c r="CR1107" s="52"/>
      <c r="CS1107" s="52">
        <f t="shared" si="175"/>
        <v>645242075</v>
      </c>
      <c r="CT1107" s="53">
        <v>297466968</v>
      </c>
      <c r="CU1107" s="53">
        <f t="shared" si="176"/>
        <v>347775107</v>
      </c>
      <c r="CV1107" s="54">
        <f t="shared" si="179"/>
        <v>645242075</v>
      </c>
      <c r="CW1107" s="55">
        <f t="shared" si="180"/>
        <v>0</v>
      </c>
      <c r="CX1107" s="16"/>
      <c r="CY1107" s="16"/>
      <c r="CZ1107" s="16"/>
    </row>
    <row r="1108" spans="1:108" ht="15" customHeight="1" x14ac:dyDescent="0.2">
      <c r="A1108" s="1">
        <v>8902062501</v>
      </c>
      <c r="B1108" s="1">
        <v>890206250</v>
      </c>
      <c r="C1108" s="9">
        <v>217268872</v>
      </c>
      <c r="D1108" s="10" t="s">
        <v>888</v>
      </c>
      <c r="E1108" s="46" t="s">
        <v>1902</v>
      </c>
      <c r="F1108" s="21"/>
      <c r="G1108" s="50"/>
      <c r="H1108" s="21"/>
      <c r="I1108" s="50"/>
      <c r="J1108" s="21"/>
      <c r="K1108" s="21"/>
      <c r="L1108" s="50"/>
      <c r="M1108" s="51"/>
      <c r="N1108" s="21"/>
      <c r="O1108" s="50"/>
      <c r="P1108" s="21"/>
      <c r="Q1108" s="50"/>
      <c r="R1108" s="21"/>
      <c r="S1108" s="21"/>
      <c r="T1108" s="50"/>
      <c r="U1108" s="51">
        <f t="shared" si="174"/>
        <v>0</v>
      </c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>
        <v>36279575</v>
      </c>
      <c r="AZ1108" s="51"/>
      <c r="BA1108" s="51">
        <f>VLOOKUP(B1108,[1]Hoja3!J$3:K$674,2,0)</f>
        <v>87595712</v>
      </c>
      <c r="BB1108" s="51"/>
      <c r="BC1108" s="52">
        <f t="shared" si="177"/>
        <v>123875287</v>
      </c>
      <c r="BD1108" s="51"/>
      <c r="BE1108" s="51"/>
      <c r="BF1108" s="51"/>
      <c r="BG1108" s="51"/>
      <c r="BH1108" s="51"/>
      <c r="BI1108" s="51"/>
      <c r="BJ1108" s="51"/>
      <c r="BK1108" s="51"/>
      <c r="BL1108" s="51"/>
      <c r="BM1108" s="51"/>
      <c r="BN1108" s="51">
        <v>7255915</v>
      </c>
      <c r="BO1108" s="51"/>
      <c r="BP1108" s="52">
        <v>131131202</v>
      </c>
      <c r="BQ1108" s="52"/>
      <c r="BR1108" s="52"/>
      <c r="BS1108" s="52"/>
      <c r="BT1108" s="52"/>
      <c r="BU1108" s="52"/>
      <c r="BV1108" s="52"/>
      <c r="BW1108" s="52"/>
      <c r="BX1108" s="52"/>
      <c r="BY1108" s="52"/>
      <c r="BZ1108" s="52"/>
      <c r="CA1108" s="52"/>
      <c r="CB1108" s="52"/>
      <c r="CC1108" s="52">
        <v>7255915</v>
      </c>
      <c r="CD1108" s="52"/>
      <c r="CE1108" s="52"/>
      <c r="CF1108" s="52"/>
      <c r="CG1108" s="52">
        <f t="shared" si="178"/>
        <v>138387117</v>
      </c>
      <c r="CH1108" s="52"/>
      <c r="CI1108" s="52"/>
      <c r="CJ1108" s="52"/>
      <c r="CK1108" s="52"/>
      <c r="CL1108" s="52"/>
      <c r="CM1108" s="52"/>
      <c r="CN1108" s="52"/>
      <c r="CO1108" s="52"/>
      <c r="CP1108" s="52"/>
      <c r="CQ1108" s="52">
        <v>7255915</v>
      </c>
      <c r="CR1108" s="52"/>
      <c r="CS1108" s="52">
        <f t="shared" si="175"/>
        <v>145643032</v>
      </c>
      <c r="CT1108" s="53">
        <v>58047320</v>
      </c>
      <c r="CU1108" s="53">
        <f t="shared" si="176"/>
        <v>87595712</v>
      </c>
      <c r="CV1108" s="54">
        <f t="shared" si="179"/>
        <v>145643032</v>
      </c>
      <c r="CW1108" s="55">
        <f t="shared" si="180"/>
        <v>0</v>
      </c>
      <c r="CX1108" s="16"/>
      <c r="CY1108" s="16"/>
      <c r="CZ1108" s="16"/>
    </row>
    <row r="1109" spans="1:108" ht="15" customHeight="1" x14ac:dyDescent="0.2">
      <c r="A1109" s="1">
        <v>8999994453</v>
      </c>
      <c r="B1109" s="1">
        <v>899999445</v>
      </c>
      <c r="C1109" s="9">
        <v>217325873</v>
      </c>
      <c r="D1109" s="10" t="s">
        <v>562</v>
      </c>
      <c r="E1109" s="46" t="s">
        <v>1582</v>
      </c>
      <c r="F1109" s="21"/>
      <c r="G1109" s="50"/>
      <c r="H1109" s="21"/>
      <c r="I1109" s="50"/>
      <c r="J1109" s="21"/>
      <c r="K1109" s="21"/>
      <c r="L1109" s="50"/>
      <c r="M1109" s="51"/>
      <c r="N1109" s="21"/>
      <c r="O1109" s="50"/>
      <c r="P1109" s="21"/>
      <c r="Q1109" s="50"/>
      <c r="R1109" s="21"/>
      <c r="S1109" s="21"/>
      <c r="T1109" s="50"/>
      <c r="U1109" s="51">
        <f t="shared" si="174"/>
        <v>0</v>
      </c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>
        <v>305690894</v>
      </c>
      <c r="AN1109" s="51">
        <f>SUBTOTAL(9,AC1109:AM1109)</f>
        <v>305690894</v>
      </c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>
        <v>118047335</v>
      </c>
      <c r="AZ1109" s="51"/>
      <c r="BA1109" s="51"/>
      <c r="BB1109" s="51"/>
      <c r="BC1109" s="52">
        <f t="shared" si="177"/>
        <v>423738229</v>
      </c>
      <c r="BD1109" s="51"/>
      <c r="BE1109" s="51"/>
      <c r="BF1109" s="51"/>
      <c r="BG1109" s="51"/>
      <c r="BH1109" s="51"/>
      <c r="BI1109" s="51"/>
      <c r="BJ1109" s="51"/>
      <c r="BK1109" s="51"/>
      <c r="BL1109" s="51"/>
      <c r="BM1109" s="51"/>
      <c r="BN1109" s="51">
        <v>23609467</v>
      </c>
      <c r="BO1109" s="51"/>
      <c r="BP1109" s="52">
        <v>447347696</v>
      </c>
      <c r="BQ1109" s="52"/>
      <c r="BR1109" s="52"/>
      <c r="BS1109" s="52"/>
      <c r="BT1109" s="52"/>
      <c r="BU1109" s="52"/>
      <c r="BV1109" s="52"/>
      <c r="BW1109" s="52"/>
      <c r="BX1109" s="52"/>
      <c r="BY1109" s="52"/>
      <c r="BZ1109" s="52"/>
      <c r="CA1109" s="52"/>
      <c r="CB1109" s="52"/>
      <c r="CC1109" s="52">
        <v>23609467</v>
      </c>
      <c r="CD1109" s="52"/>
      <c r="CE1109" s="52"/>
      <c r="CF1109" s="52"/>
      <c r="CG1109" s="52">
        <f t="shared" si="178"/>
        <v>470957163</v>
      </c>
      <c r="CH1109" s="52"/>
      <c r="CI1109" s="52"/>
      <c r="CJ1109" s="52"/>
      <c r="CK1109" s="52"/>
      <c r="CL1109" s="52"/>
      <c r="CM1109" s="52"/>
      <c r="CN1109" s="52"/>
      <c r="CO1109" s="52"/>
      <c r="CP1109" s="52"/>
      <c r="CQ1109" s="52">
        <v>23609467</v>
      </c>
      <c r="CR1109" s="52"/>
      <c r="CS1109" s="52">
        <f t="shared" si="175"/>
        <v>494566630</v>
      </c>
      <c r="CT1109" s="53">
        <v>188875736</v>
      </c>
      <c r="CU1109" s="53">
        <f t="shared" si="176"/>
        <v>305690894</v>
      </c>
      <c r="CV1109" s="54">
        <f t="shared" si="179"/>
        <v>494566630</v>
      </c>
      <c r="CW1109" s="55">
        <f t="shared" si="180"/>
        <v>0</v>
      </c>
      <c r="CX1109" s="16"/>
      <c r="CY1109" s="16"/>
      <c r="CZ1109" s="16"/>
    </row>
    <row r="1110" spans="1:108" ht="15" customHeight="1" x14ac:dyDescent="0.2">
      <c r="A1110" s="1">
        <v>8001001475</v>
      </c>
      <c r="B1110" s="1">
        <v>800100147</v>
      </c>
      <c r="C1110" s="9">
        <v>217373873</v>
      </c>
      <c r="D1110" s="10" t="s">
        <v>2243</v>
      </c>
      <c r="E1110" s="46" t="s">
        <v>1972</v>
      </c>
      <c r="F1110" s="21"/>
      <c r="G1110" s="50"/>
      <c r="H1110" s="21"/>
      <c r="I1110" s="50"/>
      <c r="J1110" s="21"/>
      <c r="K1110" s="21"/>
      <c r="L1110" s="50"/>
      <c r="M1110" s="51"/>
      <c r="N1110" s="21"/>
      <c r="O1110" s="50"/>
      <c r="P1110" s="21"/>
      <c r="Q1110" s="50"/>
      <c r="R1110" s="21"/>
      <c r="S1110" s="21"/>
      <c r="T1110" s="50"/>
      <c r="U1110" s="51">
        <f t="shared" si="174"/>
        <v>0</v>
      </c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>
        <v>40496205</v>
      </c>
      <c r="AZ1110" s="51"/>
      <c r="BA1110" s="51">
        <f>VLOOKUP(B1110,[1]Hoja3!J$3:K$674,2,0)</f>
        <v>88327437</v>
      </c>
      <c r="BB1110" s="51"/>
      <c r="BC1110" s="52">
        <f t="shared" si="177"/>
        <v>128823642</v>
      </c>
      <c r="BD1110" s="51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>
        <v>8099241</v>
      </c>
      <c r="BO1110" s="51"/>
      <c r="BP1110" s="52">
        <v>136922883</v>
      </c>
      <c r="BQ1110" s="52"/>
      <c r="BR1110" s="52"/>
      <c r="BS1110" s="52"/>
      <c r="BT1110" s="52"/>
      <c r="BU1110" s="52"/>
      <c r="BV1110" s="52"/>
      <c r="BW1110" s="52"/>
      <c r="BX1110" s="52"/>
      <c r="BY1110" s="52"/>
      <c r="BZ1110" s="52"/>
      <c r="CA1110" s="52"/>
      <c r="CB1110" s="52"/>
      <c r="CC1110" s="52">
        <v>8099241</v>
      </c>
      <c r="CD1110" s="52"/>
      <c r="CE1110" s="52"/>
      <c r="CF1110" s="52"/>
      <c r="CG1110" s="52">
        <f t="shared" si="178"/>
        <v>145022124</v>
      </c>
      <c r="CH1110" s="52"/>
      <c r="CI1110" s="52"/>
      <c r="CJ1110" s="52"/>
      <c r="CK1110" s="52"/>
      <c r="CL1110" s="52"/>
      <c r="CM1110" s="52"/>
      <c r="CN1110" s="52"/>
      <c r="CO1110" s="52"/>
      <c r="CP1110" s="52"/>
      <c r="CQ1110" s="52">
        <v>8099241</v>
      </c>
      <c r="CR1110" s="52"/>
      <c r="CS1110" s="52">
        <f t="shared" si="175"/>
        <v>153121365</v>
      </c>
      <c r="CT1110" s="53">
        <v>64793928</v>
      </c>
      <c r="CU1110" s="53">
        <f t="shared" si="176"/>
        <v>88327437</v>
      </c>
      <c r="CV1110" s="54">
        <f t="shared" si="179"/>
        <v>153121365</v>
      </c>
      <c r="CW1110" s="55">
        <f t="shared" si="180"/>
        <v>0</v>
      </c>
      <c r="CX1110" s="16"/>
      <c r="CY1110" s="16"/>
      <c r="CZ1110" s="16"/>
    </row>
    <row r="1111" spans="1:108" ht="15" customHeight="1" x14ac:dyDescent="0.2">
      <c r="A1111" s="1">
        <v>8920993243</v>
      </c>
      <c r="B1111" s="1">
        <v>892099324</v>
      </c>
      <c r="C1111" s="9">
        <v>210150001</v>
      </c>
      <c r="D1111" s="10" t="s">
        <v>2192</v>
      </c>
      <c r="E1111" s="47" t="s">
        <v>2105</v>
      </c>
      <c r="F1111" s="21"/>
      <c r="G1111" s="50"/>
      <c r="H1111" s="21"/>
      <c r="I1111" s="50">
        <f>10066179853+228153551</f>
        <v>10294333404</v>
      </c>
      <c r="J1111" s="21">
        <v>704021281</v>
      </c>
      <c r="K1111" s="21">
        <v>1398752738</v>
      </c>
      <c r="L1111" s="50"/>
      <c r="M1111" s="52">
        <f>SUM(F1111:L1111)</f>
        <v>12397107423</v>
      </c>
      <c r="N1111" s="21"/>
      <c r="O1111" s="50"/>
      <c r="P1111" s="21"/>
      <c r="Q1111" s="50">
        <f>9585788734+103706160</f>
        <v>9689494894</v>
      </c>
      <c r="R1111" s="21">
        <v>706921513</v>
      </c>
      <c r="S1111" s="21">
        <f>694731457+706921513</f>
        <v>1401652970</v>
      </c>
      <c r="T1111" s="50"/>
      <c r="U1111" s="51">
        <f t="shared" si="174"/>
        <v>24195176800</v>
      </c>
      <c r="V1111" s="51"/>
      <c r="W1111" s="51"/>
      <c r="X1111" s="51"/>
      <c r="Y1111" s="51">
        <v>20271128059</v>
      </c>
      <c r="Z1111" s="51">
        <v>694081273</v>
      </c>
      <c r="AA1111" s="51">
        <v>1608707446</v>
      </c>
      <c r="AB1111" s="51"/>
      <c r="AC1111" s="51">
        <f t="shared" ref="AC1111:AC1134" si="182">SUM(U1111:AB1111)</f>
        <v>46769093578</v>
      </c>
      <c r="AD1111" s="51"/>
      <c r="AE1111" s="51"/>
      <c r="AF1111" s="51"/>
      <c r="AG1111" s="51"/>
      <c r="AH1111" s="51">
        <v>10320711719</v>
      </c>
      <c r="AI1111" s="51">
        <v>2344044749</v>
      </c>
      <c r="AJ1111" s="51">
        <v>721464257</v>
      </c>
      <c r="AK1111" s="51">
        <v>1819010628</v>
      </c>
      <c r="AL1111" s="51"/>
      <c r="AM1111" s="51">
        <v>4863958901</v>
      </c>
      <c r="AN1111" s="51">
        <f t="shared" ref="AN1111:AN1118" si="183">SUBTOTAL(9,AC1111:AM1111)</f>
        <v>66838283832</v>
      </c>
      <c r="AO1111" s="51"/>
      <c r="AP1111" s="51"/>
      <c r="AQ1111" s="51">
        <v>1532697165</v>
      </c>
      <c r="AR1111" s="51"/>
      <c r="AS1111" s="51"/>
      <c r="AT1111" s="51">
        <v>10320711719</v>
      </c>
      <c r="AU1111" s="51"/>
      <c r="AV1111" s="51">
        <v>721464257</v>
      </c>
      <c r="AW1111" s="51">
        <v>1231954036</v>
      </c>
      <c r="AX1111" s="51"/>
      <c r="AY1111" s="51"/>
      <c r="AZ1111" s="51">
        <v>1025585355</v>
      </c>
      <c r="BA1111" s="51">
        <f>VLOOKUP(B1111,[1]Hoja3!J$3:K$674,2,0)</f>
        <v>370086615</v>
      </c>
      <c r="BB1111" s="51"/>
      <c r="BC1111" s="52">
        <f t="shared" si="177"/>
        <v>82040782979</v>
      </c>
      <c r="BD1111" s="51"/>
      <c r="BE1111" s="51"/>
      <c r="BF1111" s="51">
        <v>306539433</v>
      </c>
      <c r="BG1111" s="51"/>
      <c r="BH1111" s="51"/>
      <c r="BI1111" s="51">
        <v>10166613037</v>
      </c>
      <c r="BJ1111" s="51">
        <v>1087445456</v>
      </c>
      <c r="BK1111" s="51">
        <v>781516503</v>
      </c>
      <c r="BL1111" s="51">
        <v>1976057178</v>
      </c>
      <c r="BM1111" s="51"/>
      <c r="BN1111" s="51"/>
      <c r="BO1111" s="51"/>
      <c r="BP1111" s="52">
        <v>96358954586</v>
      </c>
      <c r="BQ1111" s="52"/>
      <c r="BR1111" s="52"/>
      <c r="BS1111" s="52">
        <v>306539433</v>
      </c>
      <c r="BT1111" s="52"/>
      <c r="BU1111" s="52"/>
      <c r="BV1111" s="52"/>
      <c r="BW1111" s="52">
        <v>10275936024</v>
      </c>
      <c r="BX1111" s="52"/>
      <c r="BY1111" s="52">
        <v>4681409264</v>
      </c>
      <c r="BZ1111" s="52">
        <v>748459632</v>
      </c>
      <c r="CA1111" s="52">
        <v>1936172501</v>
      </c>
      <c r="CB1111" s="52"/>
      <c r="CC1111" s="52"/>
      <c r="CD1111" s="52"/>
      <c r="CE1111" s="52"/>
      <c r="CF1111" s="52"/>
      <c r="CG1111" s="52">
        <f t="shared" si="178"/>
        <v>114307471440</v>
      </c>
      <c r="CH1111" s="52"/>
      <c r="CI1111" s="52"/>
      <c r="CJ1111" s="52">
        <v>306539433</v>
      </c>
      <c r="CK1111" s="52"/>
      <c r="CL1111" s="52">
        <v>10242739044</v>
      </c>
      <c r="CM1111" s="52">
        <v>1923323508</v>
      </c>
      <c r="CN1111" s="52">
        <v>729337011</v>
      </c>
      <c r="CO1111" s="52">
        <v>1321162774</v>
      </c>
      <c r="CP1111" s="52"/>
      <c r="CQ1111" s="52"/>
      <c r="CR1111" s="52"/>
      <c r="CS1111" s="52">
        <f t="shared" si="175"/>
        <v>128830573210</v>
      </c>
      <c r="CT1111" s="53">
        <v>123596527694</v>
      </c>
      <c r="CU1111" s="53">
        <f t="shared" si="176"/>
        <v>5234045516</v>
      </c>
      <c r="CV1111" s="54">
        <f t="shared" si="179"/>
        <v>128830573210</v>
      </c>
      <c r="CW1111" s="55">
        <f t="shared" si="180"/>
        <v>0</v>
      </c>
      <c r="CX1111" s="16"/>
      <c r="CY1111" s="16"/>
      <c r="CZ1111" s="16"/>
    </row>
    <row r="1112" spans="1:108" ht="15" customHeight="1" x14ac:dyDescent="0.2">
      <c r="A1112" s="1">
        <v>8999993122</v>
      </c>
      <c r="B1112" s="1">
        <v>899999312</v>
      </c>
      <c r="C1112" s="9">
        <v>217525875</v>
      </c>
      <c r="D1112" s="10" t="s">
        <v>563</v>
      </c>
      <c r="E1112" s="46" t="s">
        <v>1583</v>
      </c>
      <c r="F1112" s="21"/>
      <c r="G1112" s="50"/>
      <c r="H1112" s="21"/>
      <c r="I1112" s="50"/>
      <c r="J1112" s="21"/>
      <c r="K1112" s="21"/>
      <c r="L1112" s="50"/>
      <c r="M1112" s="51"/>
      <c r="N1112" s="21"/>
      <c r="O1112" s="50"/>
      <c r="P1112" s="21"/>
      <c r="Q1112" s="50"/>
      <c r="R1112" s="21"/>
      <c r="S1112" s="21"/>
      <c r="T1112" s="50"/>
      <c r="U1112" s="51">
        <f t="shared" si="174"/>
        <v>0</v>
      </c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>
        <v>330960237</v>
      </c>
      <c r="AN1112" s="51">
        <f t="shared" si="183"/>
        <v>330960237</v>
      </c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>
        <v>151574925</v>
      </c>
      <c r="AZ1112" s="51"/>
      <c r="BA1112" s="51"/>
      <c r="BB1112" s="51"/>
      <c r="BC1112" s="52">
        <f t="shared" si="177"/>
        <v>482535162</v>
      </c>
      <c r="BD1112" s="51"/>
      <c r="BE1112" s="51"/>
      <c r="BF1112" s="51"/>
      <c r="BG1112" s="51"/>
      <c r="BH1112" s="51"/>
      <c r="BI1112" s="51"/>
      <c r="BJ1112" s="51"/>
      <c r="BK1112" s="51"/>
      <c r="BL1112" s="51"/>
      <c r="BM1112" s="51"/>
      <c r="BN1112" s="51">
        <v>30314985</v>
      </c>
      <c r="BO1112" s="51"/>
      <c r="BP1112" s="52">
        <v>512850147</v>
      </c>
      <c r="BQ1112" s="52"/>
      <c r="BR1112" s="52"/>
      <c r="BS1112" s="52"/>
      <c r="BT1112" s="52"/>
      <c r="BU1112" s="52"/>
      <c r="BV1112" s="52"/>
      <c r="BW1112" s="52"/>
      <c r="BX1112" s="52"/>
      <c r="BY1112" s="52"/>
      <c r="BZ1112" s="52"/>
      <c r="CA1112" s="52"/>
      <c r="CB1112" s="52"/>
      <c r="CC1112" s="52">
        <v>30314985</v>
      </c>
      <c r="CD1112" s="52"/>
      <c r="CE1112" s="52"/>
      <c r="CF1112" s="52"/>
      <c r="CG1112" s="52">
        <f t="shared" si="178"/>
        <v>543165132</v>
      </c>
      <c r="CH1112" s="52"/>
      <c r="CI1112" s="52"/>
      <c r="CJ1112" s="52"/>
      <c r="CK1112" s="52"/>
      <c r="CL1112" s="52"/>
      <c r="CM1112" s="52"/>
      <c r="CN1112" s="52"/>
      <c r="CO1112" s="52"/>
      <c r="CP1112" s="52"/>
      <c r="CQ1112" s="52">
        <v>30314985</v>
      </c>
      <c r="CR1112" s="52"/>
      <c r="CS1112" s="52">
        <f t="shared" si="175"/>
        <v>573480117</v>
      </c>
      <c r="CT1112" s="53">
        <v>242519880</v>
      </c>
      <c r="CU1112" s="53">
        <f t="shared" si="176"/>
        <v>330960237</v>
      </c>
      <c r="CV1112" s="54">
        <f t="shared" si="179"/>
        <v>573480117</v>
      </c>
      <c r="CW1112" s="55">
        <f t="shared" si="180"/>
        <v>0</v>
      </c>
      <c r="CX1112" s="16"/>
      <c r="CY1112" s="16"/>
      <c r="CZ1112" s="16"/>
    </row>
    <row r="1113" spans="1:108" ht="15" customHeight="1" x14ac:dyDescent="0.2">
      <c r="A1113" s="1">
        <v>8906801423</v>
      </c>
      <c r="B1113" s="1">
        <v>890680142</v>
      </c>
      <c r="C1113" s="9">
        <v>217825878</v>
      </c>
      <c r="D1113" s="10" t="s">
        <v>564</v>
      </c>
      <c r="E1113" s="46" t="s">
        <v>1495</v>
      </c>
      <c r="F1113" s="21"/>
      <c r="G1113" s="50"/>
      <c r="H1113" s="21"/>
      <c r="I1113" s="50"/>
      <c r="J1113" s="21"/>
      <c r="K1113" s="21"/>
      <c r="L1113" s="50"/>
      <c r="M1113" s="51"/>
      <c r="N1113" s="21"/>
      <c r="O1113" s="50"/>
      <c r="P1113" s="21"/>
      <c r="Q1113" s="50"/>
      <c r="R1113" s="21"/>
      <c r="S1113" s="21"/>
      <c r="T1113" s="50"/>
      <c r="U1113" s="51">
        <f t="shared" si="174"/>
        <v>0</v>
      </c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>
        <v>227083608</v>
      </c>
      <c r="AN1113" s="51">
        <f t="shared" si="183"/>
        <v>227083608</v>
      </c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>
        <v>99128230</v>
      </c>
      <c r="AZ1113" s="51"/>
      <c r="BA1113" s="51"/>
      <c r="BB1113" s="51"/>
      <c r="BC1113" s="52">
        <f t="shared" si="177"/>
        <v>326211838</v>
      </c>
      <c r="BD1113" s="51"/>
      <c r="BE1113" s="51"/>
      <c r="BF1113" s="51"/>
      <c r="BG1113" s="51"/>
      <c r="BH1113" s="51"/>
      <c r="BI1113" s="51"/>
      <c r="BJ1113" s="51"/>
      <c r="BK1113" s="51"/>
      <c r="BL1113" s="51"/>
      <c r="BM1113" s="51"/>
      <c r="BN1113" s="51">
        <v>19825646</v>
      </c>
      <c r="BO1113" s="51"/>
      <c r="BP1113" s="52">
        <v>346037484</v>
      </c>
      <c r="BQ1113" s="52"/>
      <c r="BR1113" s="52"/>
      <c r="BS1113" s="52"/>
      <c r="BT1113" s="52"/>
      <c r="BU1113" s="52"/>
      <c r="BV1113" s="52"/>
      <c r="BW1113" s="52"/>
      <c r="BX1113" s="52"/>
      <c r="BY1113" s="52"/>
      <c r="BZ1113" s="52"/>
      <c r="CA1113" s="52"/>
      <c r="CB1113" s="52"/>
      <c r="CC1113" s="52">
        <v>19825646</v>
      </c>
      <c r="CD1113" s="52"/>
      <c r="CE1113" s="52"/>
      <c r="CF1113" s="52"/>
      <c r="CG1113" s="52">
        <f t="shared" si="178"/>
        <v>365863130</v>
      </c>
      <c r="CH1113" s="52"/>
      <c r="CI1113" s="52"/>
      <c r="CJ1113" s="52"/>
      <c r="CK1113" s="52"/>
      <c r="CL1113" s="52"/>
      <c r="CM1113" s="52"/>
      <c r="CN1113" s="52"/>
      <c r="CO1113" s="52"/>
      <c r="CP1113" s="52"/>
      <c r="CQ1113" s="52">
        <v>19825646</v>
      </c>
      <c r="CR1113" s="52"/>
      <c r="CS1113" s="52">
        <f t="shared" si="175"/>
        <v>385688776</v>
      </c>
      <c r="CT1113" s="53">
        <v>158605168</v>
      </c>
      <c r="CU1113" s="53">
        <f t="shared" si="176"/>
        <v>227083608</v>
      </c>
      <c r="CV1113" s="54">
        <f t="shared" si="179"/>
        <v>385688776</v>
      </c>
      <c r="CW1113" s="55">
        <f t="shared" si="180"/>
        <v>0</v>
      </c>
      <c r="CX1113" s="16"/>
      <c r="CY1113" s="16"/>
      <c r="CZ1113" s="16"/>
    </row>
    <row r="1114" spans="1:108" ht="15" customHeight="1" x14ac:dyDescent="0.2">
      <c r="A1114" s="1">
        <v>8918013470</v>
      </c>
      <c r="B1114" s="1">
        <v>891801347</v>
      </c>
      <c r="C1114" s="9">
        <v>217915879</v>
      </c>
      <c r="D1114" s="10" t="s">
        <v>334</v>
      </c>
      <c r="E1114" s="46" t="s">
        <v>1365</v>
      </c>
      <c r="F1114" s="21"/>
      <c r="G1114" s="50"/>
      <c r="H1114" s="21"/>
      <c r="I1114" s="50"/>
      <c r="J1114" s="21"/>
      <c r="K1114" s="21"/>
      <c r="L1114" s="50"/>
      <c r="M1114" s="51"/>
      <c r="N1114" s="21"/>
      <c r="O1114" s="50"/>
      <c r="P1114" s="21"/>
      <c r="Q1114" s="50"/>
      <c r="R1114" s="21"/>
      <c r="S1114" s="21"/>
      <c r="T1114" s="50"/>
      <c r="U1114" s="51">
        <f t="shared" si="174"/>
        <v>0</v>
      </c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>
        <v>36419046</v>
      </c>
      <c r="AN1114" s="51">
        <f t="shared" si="183"/>
        <v>36419046</v>
      </c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>
        <v>21474250</v>
      </c>
      <c r="AZ1114" s="51"/>
      <c r="BA1114" s="51"/>
      <c r="BB1114" s="51"/>
      <c r="BC1114" s="52">
        <f t="shared" si="177"/>
        <v>57893296</v>
      </c>
      <c r="BD1114" s="51"/>
      <c r="BE1114" s="51"/>
      <c r="BF1114" s="51"/>
      <c r="BG1114" s="51"/>
      <c r="BH1114" s="51"/>
      <c r="BI1114" s="51"/>
      <c r="BJ1114" s="51"/>
      <c r="BK1114" s="51"/>
      <c r="BL1114" s="51"/>
      <c r="BM1114" s="51"/>
      <c r="BN1114" s="51">
        <v>4294850</v>
      </c>
      <c r="BO1114" s="51"/>
      <c r="BP1114" s="52">
        <v>62188146</v>
      </c>
      <c r="BQ1114" s="52"/>
      <c r="BR1114" s="52"/>
      <c r="BS1114" s="52"/>
      <c r="BT1114" s="52"/>
      <c r="BU1114" s="52"/>
      <c r="BV1114" s="52"/>
      <c r="BW1114" s="52"/>
      <c r="BX1114" s="52"/>
      <c r="BY1114" s="52"/>
      <c r="BZ1114" s="52"/>
      <c r="CA1114" s="52"/>
      <c r="CB1114" s="52"/>
      <c r="CC1114" s="52">
        <v>4294850</v>
      </c>
      <c r="CD1114" s="52"/>
      <c r="CE1114" s="52"/>
      <c r="CF1114" s="52"/>
      <c r="CG1114" s="52">
        <f t="shared" si="178"/>
        <v>66482996</v>
      </c>
      <c r="CH1114" s="52"/>
      <c r="CI1114" s="52"/>
      <c r="CJ1114" s="52"/>
      <c r="CK1114" s="52"/>
      <c r="CL1114" s="52"/>
      <c r="CM1114" s="52"/>
      <c r="CN1114" s="52"/>
      <c r="CO1114" s="52"/>
      <c r="CP1114" s="52"/>
      <c r="CQ1114" s="52">
        <v>4294850</v>
      </c>
      <c r="CR1114" s="52"/>
      <c r="CS1114" s="52">
        <f t="shared" si="175"/>
        <v>70777846</v>
      </c>
      <c r="CT1114" s="53">
        <v>34358800</v>
      </c>
      <c r="CU1114" s="53">
        <f t="shared" si="176"/>
        <v>36419046</v>
      </c>
      <c r="CV1114" s="54">
        <f t="shared" si="179"/>
        <v>70777846</v>
      </c>
      <c r="CW1114" s="55">
        <f t="shared" si="180"/>
        <v>0</v>
      </c>
      <c r="CX1114" s="16"/>
      <c r="CY1114" s="8"/>
      <c r="CZ1114" s="8"/>
      <c r="DA1114" s="8"/>
      <c r="DB1114" s="8"/>
      <c r="DC1114" s="8"/>
      <c r="DD1114" s="8"/>
    </row>
    <row r="1115" spans="1:108" ht="15" customHeight="1" x14ac:dyDescent="0.2">
      <c r="A1115" s="1">
        <v>8920991738</v>
      </c>
      <c r="B1115" s="1">
        <v>892099173</v>
      </c>
      <c r="C1115" s="9">
        <v>211150711</v>
      </c>
      <c r="D1115" s="10" t="s">
        <v>691</v>
      </c>
      <c r="E1115" s="46" t="s">
        <v>1713</v>
      </c>
      <c r="F1115" s="21"/>
      <c r="G1115" s="50"/>
      <c r="H1115" s="21"/>
      <c r="I1115" s="50"/>
      <c r="J1115" s="21"/>
      <c r="K1115" s="21"/>
      <c r="L1115" s="50"/>
      <c r="M1115" s="51"/>
      <c r="N1115" s="21"/>
      <c r="O1115" s="50"/>
      <c r="P1115" s="21"/>
      <c r="Q1115" s="50"/>
      <c r="R1115" s="21"/>
      <c r="S1115" s="21"/>
      <c r="T1115" s="50"/>
      <c r="U1115" s="51">
        <f t="shared" si="174"/>
        <v>0</v>
      </c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>
        <v>252874053</v>
      </c>
      <c r="AN1115" s="51">
        <f t="shared" si="183"/>
        <v>252874053</v>
      </c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>
        <v>185749355</v>
      </c>
      <c r="AZ1115" s="51"/>
      <c r="BA1115" s="51">
        <f>VLOOKUP(B1115,[1]Hoja3!J$3:K$674,2,0)</f>
        <v>56936022</v>
      </c>
      <c r="BB1115" s="51"/>
      <c r="BC1115" s="52">
        <f t="shared" si="177"/>
        <v>495559430</v>
      </c>
      <c r="BD1115" s="51"/>
      <c r="BE1115" s="51"/>
      <c r="BF1115" s="51"/>
      <c r="BG1115" s="51"/>
      <c r="BH1115" s="51"/>
      <c r="BI1115" s="51"/>
      <c r="BJ1115" s="51"/>
      <c r="BK1115" s="51"/>
      <c r="BL1115" s="51"/>
      <c r="BM1115" s="51"/>
      <c r="BN1115" s="51">
        <v>37149871</v>
      </c>
      <c r="BO1115" s="51"/>
      <c r="BP1115" s="52">
        <v>532709301</v>
      </c>
      <c r="BQ1115" s="52"/>
      <c r="BR1115" s="52"/>
      <c r="BS1115" s="52"/>
      <c r="BT1115" s="52"/>
      <c r="BU1115" s="52"/>
      <c r="BV1115" s="52"/>
      <c r="BW1115" s="52"/>
      <c r="BX1115" s="52"/>
      <c r="BY1115" s="52"/>
      <c r="BZ1115" s="52"/>
      <c r="CA1115" s="52"/>
      <c r="CB1115" s="52"/>
      <c r="CC1115" s="52">
        <v>37149871</v>
      </c>
      <c r="CD1115" s="52"/>
      <c r="CE1115" s="52"/>
      <c r="CF1115" s="52"/>
      <c r="CG1115" s="52">
        <f t="shared" si="178"/>
        <v>569859172</v>
      </c>
      <c r="CH1115" s="52"/>
      <c r="CI1115" s="52"/>
      <c r="CJ1115" s="52"/>
      <c r="CK1115" s="52"/>
      <c r="CL1115" s="52"/>
      <c r="CM1115" s="52"/>
      <c r="CN1115" s="52"/>
      <c r="CO1115" s="52"/>
      <c r="CP1115" s="52"/>
      <c r="CQ1115" s="52">
        <v>37149871</v>
      </c>
      <c r="CR1115" s="52"/>
      <c r="CS1115" s="52">
        <f t="shared" si="175"/>
        <v>607009043</v>
      </c>
      <c r="CT1115" s="53">
        <v>297198968</v>
      </c>
      <c r="CU1115" s="53">
        <f t="shared" si="176"/>
        <v>309810075</v>
      </c>
      <c r="CV1115" s="54">
        <f t="shared" si="179"/>
        <v>607009043</v>
      </c>
      <c r="CW1115" s="55">
        <f t="shared" si="180"/>
        <v>0</v>
      </c>
      <c r="CX1115" s="16"/>
      <c r="CY1115" s="16"/>
      <c r="CZ1115" s="16"/>
    </row>
    <row r="1116" spans="1:108" ht="15" customHeight="1" x14ac:dyDescent="0.2">
      <c r="A1116" s="1">
        <v>8000908335</v>
      </c>
      <c r="B1116" s="1">
        <v>800090833</v>
      </c>
      <c r="C1116" s="9">
        <v>217717877</v>
      </c>
      <c r="D1116" s="10" t="s">
        <v>361</v>
      </c>
      <c r="E1116" s="46" t="s">
        <v>1390</v>
      </c>
      <c r="F1116" s="21"/>
      <c r="G1116" s="50"/>
      <c r="H1116" s="21"/>
      <c r="I1116" s="50"/>
      <c r="J1116" s="21"/>
      <c r="K1116" s="21"/>
      <c r="L1116" s="50"/>
      <c r="M1116" s="51"/>
      <c r="N1116" s="21"/>
      <c r="O1116" s="50"/>
      <c r="P1116" s="21"/>
      <c r="Q1116" s="50"/>
      <c r="R1116" s="21"/>
      <c r="S1116" s="21"/>
      <c r="T1116" s="50"/>
      <c r="U1116" s="51">
        <f t="shared" si="174"/>
        <v>0</v>
      </c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>
        <v>167721517</v>
      </c>
      <c r="AN1116" s="51">
        <f t="shared" si="183"/>
        <v>167721517</v>
      </c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>
        <v>103238090</v>
      </c>
      <c r="AZ1116" s="51"/>
      <c r="BA1116" s="51"/>
      <c r="BB1116" s="51"/>
      <c r="BC1116" s="52">
        <f t="shared" si="177"/>
        <v>270959607</v>
      </c>
      <c r="BD1116" s="51"/>
      <c r="BE1116" s="51"/>
      <c r="BF1116" s="51"/>
      <c r="BG1116" s="51"/>
      <c r="BH1116" s="51"/>
      <c r="BI1116" s="51"/>
      <c r="BJ1116" s="51"/>
      <c r="BK1116" s="51"/>
      <c r="BL1116" s="51"/>
      <c r="BM1116" s="51"/>
      <c r="BN1116" s="51">
        <v>20647618</v>
      </c>
      <c r="BO1116" s="51"/>
      <c r="BP1116" s="52">
        <v>291607225</v>
      </c>
      <c r="BQ1116" s="52"/>
      <c r="BR1116" s="52"/>
      <c r="BS1116" s="52"/>
      <c r="BT1116" s="52"/>
      <c r="BU1116" s="52"/>
      <c r="BV1116" s="52"/>
      <c r="BW1116" s="52"/>
      <c r="BX1116" s="52"/>
      <c r="BY1116" s="52"/>
      <c r="BZ1116" s="52"/>
      <c r="CA1116" s="52"/>
      <c r="CB1116" s="52"/>
      <c r="CC1116" s="52">
        <v>20647618</v>
      </c>
      <c r="CD1116" s="52"/>
      <c r="CE1116" s="52"/>
      <c r="CF1116" s="52"/>
      <c r="CG1116" s="52">
        <f t="shared" si="178"/>
        <v>312254843</v>
      </c>
      <c r="CH1116" s="52"/>
      <c r="CI1116" s="52"/>
      <c r="CJ1116" s="52"/>
      <c r="CK1116" s="52"/>
      <c r="CL1116" s="52"/>
      <c r="CM1116" s="52"/>
      <c r="CN1116" s="52"/>
      <c r="CO1116" s="52"/>
      <c r="CP1116" s="52"/>
      <c r="CQ1116" s="52">
        <v>20647618</v>
      </c>
      <c r="CR1116" s="52"/>
      <c r="CS1116" s="52">
        <f t="shared" si="175"/>
        <v>332902461</v>
      </c>
      <c r="CT1116" s="53">
        <v>165180944</v>
      </c>
      <c r="CU1116" s="53">
        <f t="shared" si="176"/>
        <v>167721517</v>
      </c>
      <c r="CV1116" s="54">
        <f t="shared" si="179"/>
        <v>332902461</v>
      </c>
      <c r="CW1116" s="55">
        <f t="shared" si="180"/>
        <v>0</v>
      </c>
      <c r="CX1116" s="16"/>
      <c r="CY1116" s="16"/>
      <c r="CZ1116" s="16"/>
    </row>
    <row r="1117" spans="1:108" ht="15" customHeight="1" x14ac:dyDescent="0.2">
      <c r="A1117" s="1">
        <v>8000947761</v>
      </c>
      <c r="B1117" s="1">
        <v>800094776</v>
      </c>
      <c r="C1117" s="9">
        <v>218525885</v>
      </c>
      <c r="D1117" s="10" t="s">
        <v>565</v>
      </c>
      <c r="E1117" s="46" t="s">
        <v>1584</v>
      </c>
      <c r="F1117" s="21"/>
      <c r="G1117" s="50"/>
      <c r="H1117" s="21"/>
      <c r="I1117" s="50"/>
      <c r="J1117" s="21"/>
      <c r="K1117" s="21"/>
      <c r="L1117" s="50"/>
      <c r="M1117" s="51"/>
      <c r="N1117" s="21"/>
      <c r="O1117" s="50"/>
      <c r="P1117" s="21"/>
      <c r="Q1117" s="50"/>
      <c r="R1117" s="21"/>
      <c r="S1117" s="21"/>
      <c r="T1117" s="50"/>
      <c r="U1117" s="51">
        <f t="shared" si="174"/>
        <v>0</v>
      </c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>
        <v>206134750</v>
      </c>
      <c r="AN1117" s="51">
        <f t="shared" si="183"/>
        <v>206134750</v>
      </c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>
        <v>136628930</v>
      </c>
      <c r="AZ1117" s="51"/>
      <c r="BA1117" s="51"/>
      <c r="BB1117" s="51"/>
      <c r="BC1117" s="52">
        <f t="shared" si="177"/>
        <v>342763680</v>
      </c>
      <c r="BD1117" s="51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>
        <v>27325786</v>
      </c>
      <c r="BO1117" s="51"/>
      <c r="BP1117" s="52">
        <v>370089466</v>
      </c>
      <c r="BQ1117" s="52"/>
      <c r="BR1117" s="52"/>
      <c r="BS1117" s="52"/>
      <c r="BT1117" s="52"/>
      <c r="BU1117" s="52"/>
      <c r="BV1117" s="52"/>
      <c r="BW1117" s="52"/>
      <c r="BX1117" s="52"/>
      <c r="BY1117" s="52"/>
      <c r="BZ1117" s="52"/>
      <c r="CA1117" s="52"/>
      <c r="CB1117" s="52"/>
      <c r="CC1117" s="52">
        <v>27325786</v>
      </c>
      <c r="CD1117" s="52"/>
      <c r="CE1117" s="52"/>
      <c r="CF1117" s="52"/>
      <c r="CG1117" s="52">
        <f t="shared" si="178"/>
        <v>397415252</v>
      </c>
      <c r="CH1117" s="52"/>
      <c r="CI1117" s="52"/>
      <c r="CJ1117" s="52"/>
      <c r="CK1117" s="52"/>
      <c r="CL1117" s="52"/>
      <c r="CM1117" s="52"/>
      <c r="CN1117" s="52"/>
      <c r="CO1117" s="52"/>
      <c r="CP1117" s="52"/>
      <c r="CQ1117" s="52">
        <v>27325786</v>
      </c>
      <c r="CR1117" s="52"/>
      <c r="CS1117" s="52">
        <f t="shared" si="175"/>
        <v>424741038</v>
      </c>
      <c r="CT1117" s="53">
        <v>218606288</v>
      </c>
      <c r="CU1117" s="53">
        <f t="shared" si="176"/>
        <v>206134750</v>
      </c>
      <c r="CV1117" s="54">
        <f t="shared" si="179"/>
        <v>424741038</v>
      </c>
      <c r="CW1117" s="55">
        <f t="shared" si="180"/>
        <v>0</v>
      </c>
      <c r="CX1117" s="16"/>
      <c r="CY1117" s="16"/>
      <c r="CZ1117" s="16"/>
    </row>
    <row r="1118" spans="1:108" ht="15" customHeight="1" x14ac:dyDescent="0.2">
      <c r="A1118" s="1">
        <v>8000991536</v>
      </c>
      <c r="B1118" s="1">
        <v>800099153</v>
      </c>
      <c r="C1118" s="9">
        <v>218552885</v>
      </c>
      <c r="D1118" s="10" t="s">
        <v>750</v>
      </c>
      <c r="E1118" s="46" t="s">
        <v>1770</v>
      </c>
      <c r="F1118" s="21"/>
      <c r="G1118" s="50"/>
      <c r="H1118" s="21"/>
      <c r="I1118" s="50"/>
      <c r="J1118" s="21"/>
      <c r="K1118" s="21"/>
      <c r="L1118" s="50"/>
      <c r="M1118" s="51"/>
      <c r="N1118" s="21"/>
      <c r="O1118" s="50"/>
      <c r="P1118" s="21"/>
      <c r="Q1118" s="50"/>
      <c r="R1118" s="21"/>
      <c r="S1118" s="21"/>
      <c r="T1118" s="50"/>
      <c r="U1118" s="51">
        <f t="shared" si="174"/>
        <v>0</v>
      </c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>
        <v>66776655</v>
      </c>
      <c r="AN1118" s="51">
        <f t="shared" si="183"/>
        <v>66776655</v>
      </c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>
        <v>85356410</v>
      </c>
      <c r="AZ1118" s="51"/>
      <c r="BA1118" s="51">
        <f>VLOOKUP(B1118,[1]Hoja3!J$3:K$674,2,0)</f>
        <v>83254660</v>
      </c>
      <c r="BB1118" s="51"/>
      <c r="BC1118" s="52">
        <f t="shared" si="177"/>
        <v>235387725</v>
      </c>
      <c r="BD1118" s="51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>
        <v>17071282</v>
      </c>
      <c r="BO1118" s="51"/>
      <c r="BP1118" s="52">
        <v>252459007</v>
      </c>
      <c r="BQ1118" s="52"/>
      <c r="BR1118" s="52"/>
      <c r="BS1118" s="52"/>
      <c r="BT1118" s="52"/>
      <c r="BU1118" s="52"/>
      <c r="BV1118" s="52"/>
      <c r="BW1118" s="52"/>
      <c r="BX1118" s="52"/>
      <c r="BY1118" s="52"/>
      <c r="BZ1118" s="52"/>
      <c r="CA1118" s="52"/>
      <c r="CB1118" s="52"/>
      <c r="CC1118" s="52">
        <v>17071282</v>
      </c>
      <c r="CD1118" s="52"/>
      <c r="CE1118" s="52"/>
      <c r="CF1118" s="52"/>
      <c r="CG1118" s="52">
        <f t="shared" si="178"/>
        <v>269530289</v>
      </c>
      <c r="CH1118" s="52"/>
      <c r="CI1118" s="52"/>
      <c r="CJ1118" s="52"/>
      <c r="CK1118" s="52"/>
      <c r="CL1118" s="52"/>
      <c r="CM1118" s="52"/>
      <c r="CN1118" s="52"/>
      <c r="CO1118" s="52"/>
      <c r="CP1118" s="52"/>
      <c r="CQ1118" s="52">
        <v>17071282</v>
      </c>
      <c r="CR1118" s="52"/>
      <c r="CS1118" s="52">
        <f t="shared" si="175"/>
        <v>286601571</v>
      </c>
      <c r="CT1118" s="53">
        <v>136570256</v>
      </c>
      <c r="CU1118" s="53">
        <f t="shared" si="176"/>
        <v>150031315</v>
      </c>
      <c r="CV1118" s="54">
        <f t="shared" si="179"/>
        <v>286601571</v>
      </c>
      <c r="CW1118" s="55">
        <f t="shared" si="180"/>
        <v>0</v>
      </c>
      <c r="CX1118" s="16"/>
      <c r="CY1118" s="16"/>
      <c r="CZ1118" s="16"/>
    </row>
    <row r="1119" spans="1:108" ht="15" customHeight="1" x14ac:dyDescent="0.2">
      <c r="A1119" s="1">
        <v>8000971806</v>
      </c>
      <c r="B1119" s="1">
        <v>800097180</v>
      </c>
      <c r="C1119" s="9">
        <v>218541885</v>
      </c>
      <c r="D1119" s="10" t="s">
        <v>628</v>
      </c>
      <c r="E1119" s="46" t="s">
        <v>1646</v>
      </c>
      <c r="F1119" s="21"/>
      <c r="G1119" s="50"/>
      <c r="H1119" s="21"/>
      <c r="I1119" s="50"/>
      <c r="J1119" s="21"/>
      <c r="K1119" s="21"/>
      <c r="L1119" s="50"/>
      <c r="M1119" s="51"/>
      <c r="N1119" s="21"/>
      <c r="O1119" s="50"/>
      <c r="P1119" s="21"/>
      <c r="Q1119" s="50"/>
      <c r="R1119" s="21"/>
      <c r="S1119" s="21"/>
      <c r="T1119" s="50"/>
      <c r="U1119" s="51">
        <f t="shared" si="174"/>
        <v>0</v>
      </c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>
        <f>VLOOKUP(B1119,[1]Hoja3!J$3:K$674,2,0)</f>
        <v>93372835</v>
      </c>
      <c r="BB1119" s="51"/>
      <c r="BC1119" s="52">
        <f t="shared" si="177"/>
        <v>93372835</v>
      </c>
      <c r="BD1119" s="51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>
        <v>0</v>
      </c>
      <c r="BO1119" s="51"/>
      <c r="BP1119" s="52">
        <v>93372835</v>
      </c>
      <c r="BQ1119" s="52"/>
      <c r="BR1119" s="52"/>
      <c r="BS1119" s="52"/>
      <c r="BT1119" s="52"/>
      <c r="BU1119" s="52"/>
      <c r="BV1119" s="52"/>
      <c r="BW1119" s="52"/>
      <c r="BX1119" s="52"/>
      <c r="BY1119" s="52"/>
      <c r="BZ1119" s="52"/>
      <c r="CA1119" s="52"/>
      <c r="CB1119" s="52"/>
      <c r="CC1119" s="52">
        <v>0</v>
      </c>
      <c r="CD1119" s="52"/>
      <c r="CE1119" s="52"/>
      <c r="CF1119" s="52"/>
      <c r="CG1119" s="52">
        <f t="shared" si="178"/>
        <v>93372835</v>
      </c>
      <c r="CH1119" s="52"/>
      <c r="CI1119" s="52"/>
      <c r="CJ1119" s="52"/>
      <c r="CK1119" s="52"/>
      <c r="CL1119" s="52"/>
      <c r="CM1119" s="52"/>
      <c r="CN1119" s="52"/>
      <c r="CO1119" s="52"/>
      <c r="CP1119" s="52"/>
      <c r="CQ1119" s="52">
        <v>0</v>
      </c>
      <c r="CR1119" s="52"/>
      <c r="CS1119" s="52">
        <f t="shared" si="175"/>
        <v>93372835</v>
      </c>
      <c r="CT1119" s="53"/>
      <c r="CU1119" s="53">
        <f t="shared" si="176"/>
        <v>93372835</v>
      </c>
      <c r="CV1119" s="54">
        <f t="shared" si="179"/>
        <v>93372835</v>
      </c>
      <c r="CW1119" s="55">
        <f t="shared" si="180"/>
        <v>0</v>
      </c>
      <c r="CX1119" s="16"/>
      <c r="CY1119" s="16"/>
      <c r="CZ1119" s="16"/>
    </row>
    <row r="1120" spans="1:108" ht="15" customHeight="1" x14ac:dyDescent="0.2">
      <c r="A1120" s="1">
        <v>8909809648</v>
      </c>
      <c r="B1120" s="1">
        <v>890980964</v>
      </c>
      <c r="C1120" s="9">
        <v>218505885</v>
      </c>
      <c r="D1120" s="10" t="s">
        <v>156</v>
      </c>
      <c r="E1120" s="46" t="s">
        <v>1185</v>
      </c>
      <c r="F1120" s="21"/>
      <c r="G1120" s="50"/>
      <c r="H1120" s="21"/>
      <c r="I1120" s="50"/>
      <c r="J1120" s="21"/>
      <c r="K1120" s="21"/>
      <c r="L1120" s="50"/>
      <c r="M1120" s="51"/>
      <c r="N1120" s="21"/>
      <c r="O1120" s="50"/>
      <c r="P1120" s="21"/>
      <c r="Q1120" s="50"/>
      <c r="R1120" s="21"/>
      <c r="S1120" s="21"/>
      <c r="T1120" s="50"/>
      <c r="U1120" s="51">
        <f t="shared" si="174"/>
        <v>0</v>
      </c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>
        <v>87218377</v>
      </c>
      <c r="AN1120" s="51">
        <f>SUBTOTAL(9,AC1120:AM1120)</f>
        <v>87218377</v>
      </c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2">
        <f t="shared" si="177"/>
        <v>87218377</v>
      </c>
      <c r="BD1120" s="51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>
        <v>0</v>
      </c>
      <c r="BO1120" s="51"/>
      <c r="BP1120" s="52">
        <v>87218377</v>
      </c>
      <c r="BQ1120" s="52"/>
      <c r="BR1120" s="52"/>
      <c r="BS1120" s="52"/>
      <c r="BT1120" s="52"/>
      <c r="BU1120" s="52"/>
      <c r="BV1120" s="52"/>
      <c r="BW1120" s="52"/>
      <c r="BX1120" s="52"/>
      <c r="BY1120" s="52"/>
      <c r="BZ1120" s="52"/>
      <c r="CA1120" s="52"/>
      <c r="CB1120" s="52"/>
      <c r="CC1120" s="52">
        <v>0</v>
      </c>
      <c r="CD1120" s="52"/>
      <c r="CE1120" s="52"/>
      <c r="CF1120" s="52"/>
      <c r="CG1120" s="52">
        <f t="shared" si="178"/>
        <v>87218377</v>
      </c>
      <c r="CH1120" s="52"/>
      <c r="CI1120" s="52"/>
      <c r="CJ1120" s="52"/>
      <c r="CK1120" s="52"/>
      <c r="CL1120" s="52"/>
      <c r="CM1120" s="52"/>
      <c r="CN1120" s="52"/>
      <c r="CO1120" s="52"/>
      <c r="CP1120" s="52"/>
      <c r="CQ1120" s="52">
        <v>0</v>
      </c>
      <c r="CR1120" s="52"/>
      <c r="CS1120" s="52">
        <f t="shared" si="175"/>
        <v>87218377</v>
      </c>
      <c r="CT1120" s="53"/>
      <c r="CU1120" s="53">
        <f t="shared" si="176"/>
        <v>87218377</v>
      </c>
      <c r="CV1120" s="54">
        <f t="shared" si="179"/>
        <v>87218377</v>
      </c>
      <c r="CW1120" s="55">
        <f t="shared" si="180"/>
        <v>0</v>
      </c>
      <c r="CX1120" s="16"/>
      <c r="CY1120" s="16"/>
      <c r="CZ1120" s="16"/>
    </row>
    <row r="1121" spans="1:124" ht="15" customHeight="1" x14ac:dyDescent="0.2">
      <c r="A1121" s="1">
        <v>8909800961</v>
      </c>
      <c r="B1121" s="1">
        <v>890980096</v>
      </c>
      <c r="C1121" s="9">
        <v>218705887</v>
      </c>
      <c r="D1121" s="10" t="s">
        <v>157</v>
      </c>
      <c r="E1121" s="46" t="s">
        <v>1186</v>
      </c>
      <c r="F1121" s="21"/>
      <c r="G1121" s="50"/>
      <c r="H1121" s="21"/>
      <c r="I1121" s="50"/>
      <c r="J1121" s="21"/>
      <c r="K1121" s="21"/>
      <c r="L1121" s="50"/>
      <c r="M1121" s="51"/>
      <c r="N1121" s="21"/>
      <c r="O1121" s="50"/>
      <c r="P1121" s="21"/>
      <c r="Q1121" s="50"/>
      <c r="R1121" s="21"/>
      <c r="S1121" s="21"/>
      <c r="T1121" s="50"/>
      <c r="U1121" s="51">
        <f t="shared" si="174"/>
        <v>0</v>
      </c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>
        <v>327416025</v>
      </c>
      <c r="AN1121" s="51">
        <f>SUBTOTAL(9,AC1121:AM1121)</f>
        <v>327416025</v>
      </c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>
        <f>VLOOKUP(B1121,[1]Hoja3!J$3:K$674,2,0)</f>
        <v>268153906</v>
      </c>
      <c r="BB1121" s="51">
        <f>VLOOKUP(B1121,'[2]anuladas en mayo gratuidad}'!K$2:L$55,2,0)</f>
        <v>231554402</v>
      </c>
      <c r="BC1121" s="52">
        <f t="shared" si="177"/>
        <v>364015529</v>
      </c>
      <c r="BD1121" s="51"/>
      <c r="BE1121" s="51"/>
      <c r="BF1121" s="51"/>
      <c r="BG1121" s="51"/>
      <c r="BH1121" s="51"/>
      <c r="BI1121" s="51"/>
      <c r="BJ1121" s="51"/>
      <c r="BK1121" s="51"/>
      <c r="BL1121" s="51"/>
      <c r="BM1121" s="51"/>
      <c r="BN1121" s="51">
        <v>50488542</v>
      </c>
      <c r="BO1121" s="51"/>
      <c r="BP1121" s="52">
        <v>414504071</v>
      </c>
      <c r="BQ1121" s="52"/>
      <c r="BR1121" s="52"/>
      <c r="BS1121" s="52"/>
      <c r="BT1121" s="52"/>
      <c r="BU1121" s="52"/>
      <c r="BV1121" s="52"/>
      <c r="BW1121" s="52"/>
      <c r="BX1121" s="52"/>
      <c r="BY1121" s="52"/>
      <c r="BZ1121" s="52"/>
      <c r="CA1121" s="52"/>
      <c r="CB1121" s="52"/>
      <c r="CC1121" s="52">
        <v>50488542</v>
      </c>
      <c r="CD1121" s="52">
        <v>252442710</v>
      </c>
      <c r="CE1121" s="52"/>
      <c r="CF1121" s="52"/>
      <c r="CG1121" s="52">
        <f t="shared" si="178"/>
        <v>717435323</v>
      </c>
      <c r="CH1121" s="52"/>
      <c r="CI1121" s="52"/>
      <c r="CJ1121" s="52"/>
      <c r="CK1121" s="52"/>
      <c r="CL1121" s="52"/>
      <c r="CM1121" s="52"/>
      <c r="CN1121" s="52"/>
      <c r="CO1121" s="52"/>
      <c r="CP1121" s="52"/>
      <c r="CQ1121" s="52">
        <v>50488542</v>
      </c>
      <c r="CR1121" s="52">
        <v>231554402</v>
      </c>
      <c r="CS1121" s="52">
        <f t="shared" si="175"/>
        <v>999478267</v>
      </c>
      <c r="CT1121" s="53">
        <v>403908336</v>
      </c>
      <c r="CU1121" s="53">
        <f t="shared" si="176"/>
        <v>595569931</v>
      </c>
      <c r="CV1121" s="54">
        <f t="shared" si="179"/>
        <v>999478267</v>
      </c>
      <c r="CW1121" s="55">
        <f t="shared" si="180"/>
        <v>0</v>
      </c>
      <c r="CX1121" s="16"/>
      <c r="CY1121" s="16"/>
      <c r="CZ1121" s="16"/>
    </row>
    <row r="1122" spans="1:124" ht="15" customHeight="1" x14ac:dyDescent="0.2">
      <c r="A1122" s="1">
        <v>8909840302</v>
      </c>
      <c r="B1122" s="1">
        <v>890984030</v>
      </c>
      <c r="C1122" s="9">
        <v>219005890</v>
      </c>
      <c r="D1122" s="10" t="s">
        <v>158</v>
      </c>
      <c r="E1122" s="46" t="s">
        <v>1187</v>
      </c>
      <c r="F1122" s="21"/>
      <c r="G1122" s="50"/>
      <c r="H1122" s="21"/>
      <c r="I1122" s="50"/>
      <c r="J1122" s="21"/>
      <c r="K1122" s="21"/>
      <c r="L1122" s="50"/>
      <c r="M1122" s="51"/>
      <c r="N1122" s="21"/>
      <c r="O1122" s="50"/>
      <c r="P1122" s="21"/>
      <c r="Q1122" s="50"/>
      <c r="R1122" s="21"/>
      <c r="S1122" s="21"/>
      <c r="T1122" s="50"/>
      <c r="U1122" s="51">
        <f t="shared" si="174"/>
        <v>0</v>
      </c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>
        <v>323173178</v>
      </c>
      <c r="AN1122" s="51">
        <f>SUBTOTAL(9,AC1122:AM1122)</f>
        <v>323173178</v>
      </c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>
        <v>140614525</v>
      </c>
      <c r="AZ1122" s="51"/>
      <c r="BA1122" s="51"/>
      <c r="BB1122" s="51"/>
      <c r="BC1122" s="52">
        <f t="shared" si="177"/>
        <v>463787703</v>
      </c>
      <c r="BD1122" s="51"/>
      <c r="BE1122" s="51"/>
      <c r="BF1122" s="51"/>
      <c r="BG1122" s="51"/>
      <c r="BH1122" s="51"/>
      <c r="BI1122" s="51"/>
      <c r="BJ1122" s="51"/>
      <c r="BK1122" s="51"/>
      <c r="BL1122" s="51"/>
      <c r="BM1122" s="51"/>
      <c r="BN1122" s="51">
        <v>28122905</v>
      </c>
      <c r="BO1122" s="51"/>
      <c r="BP1122" s="52">
        <v>491910608</v>
      </c>
      <c r="BQ1122" s="52"/>
      <c r="BR1122" s="52"/>
      <c r="BS1122" s="52"/>
      <c r="BT1122" s="52"/>
      <c r="BU1122" s="52"/>
      <c r="BV1122" s="52"/>
      <c r="BW1122" s="52"/>
      <c r="BX1122" s="52"/>
      <c r="BY1122" s="52"/>
      <c r="BZ1122" s="52"/>
      <c r="CA1122" s="52"/>
      <c r="CB1122" s="52"/>
      <c r="CC1122" s="52">
        <v>28122905</v>
      </c>
      <c r="CD1122" s="52"/>
      <c r="CE1122" s="52"/>
      <c r="CF1122" s="52"/>
      <c r="CG1122" s="52">
        <f t="shared" si="178"/>
        <v>520033513</v>
      </c>
      <c r="CH1122" s="52"/>
      <c r="CI1122" s="52"/>
      <c r="CJ1122" s="52"/>
      <c r="CK1122" s="52"/>
      <c r="CL1122" s="52"/>
      <c r="CM1122" s="52"/>
      <c r="CN1122" s="52"/>
      <c r="CO1122" s="52"/>
      <c r="CP1122" s="52"/>
      <c r="CQ1122" s="52">
        <v>28122905</v>
      </c>
      <c r="CR1122" s="52"/>
      <c r="CS1122" s="52">
        <f t="shared" si="175"/>
        <v>548156418</v>
      </c>
      <c r="CT1122" s="53">
        <v>224983240</v>
      </c>
      <c r="CU1122" s="53">
        <f t="shared" si="176"/>
        <v>323173178</v>
      </c>
      <c r="CV1122" s="54">
        <f t="shared" si="179"/>
        <v>548156418</v>
      </c>
      <c r="CW1122" s="55">
        <f t="shared" si="180"/>
        <v>0</v>
      </c>
      <c r="CX1122" s="16"/>
      <c r="CY1122" s="16"/>
      <c r="CZ1122" s="16"/>
    </row>
    <row r="1123" spans="1:124" ht="15" customHeight="1" x14ac:dyDescent="0.2">
      <c r="A1123" s="1">
        <v>8909842656</v>
      </c>
      <c r="B1123" s="1">
        <v>890984265</v>
      </c>
      <c r="C1123" s="9">
        <v>219305893</v>
      </c>
      <c r="D1123" s="10" t="s">
        <v>159</v>
      </c>
      <c r="E1123" s="75" t="s">
        <v>2062</v>
      </c>
      <c r="F1123" s="21"/>
      <c r="G1123" s="50"/>
      <c r="H1123" s="21"/>
      <c r="I1123" s="50"/>
      <c r="J1123" s="21"/>
      <c r="K1123" s="21"/>
      <c r="L1123" s="50"/>
      <c r="M1123" s="51"/>
      <c r="N1123" s="21"/>
      <c r="O1123" s="50"/>
      <c r="P1123" s="21"/>
      <c r="Q1123" s="50"/>
      <c r="R1123" s="21"/>
      <c r="S1123" s="21"/>
      <c r="T1123" s="50"/>
      <c r="U1123" s="51">
        <f t="shared" si="174"/>
        <v>0</v>
      </c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>
        <v>149269715</v>
      </c>
      <c r="AZ1123" s="51"/>
      <c r="BA1123" s="51">
        <f>VLOOKUP(B1123,[1]Hoja3!J$3:K$674,2,0)</f>
        <v>250479459</v>
      </c>
      <c r="BB1123" s="51"/>
      <c r="BC1123" s="52">
        <f t="shared" si="177"/>
        <v>399749174</v>
      </c>
      <c r="BD1123" s="51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>
        <v>29853943</v>
      </c>
      <c r="BO1123" s="51"/>
      <c r="BP1123" s="52">
        <v>429603117</v>
      </c>
      <c r="BQ1123" s="52"/>
      <c r="BR1123" s="52"/>
      <c r="BS1123" s="52"/>
      <c r="BT1123" s="52"/>
      <c r="BU1123" s="52"/>
      <c r="BV1123" s="52"/>
      <c r="BW1123" s="52"/>
      <c r="BX1123" s="52"/>
      <c r="BY1123" s="52"/>
      <c r="BZ1123" s="52"/>
      <c r="CA1123" s="52"/>
      <c r="CB1123" s="52"/>
      <c r="CC1123" s="52">
        <v>29853943</v>
      </c>
      <c r="CD1123" s="52"/>
      <c r="CE1123" s="52"/>
      <c r="CF1123" s="52"/>
      <c r="CG1123" s="52">
        <f t="shared" si="178"/>
        <v>459457060</v>
      </c>
      <c r="CH1123" s="52"/>
      <c r="CI1123" s="52"/>
      <c r="CJ1123" s="52"/>
      <c r="CK1123" s="52"/>
      <c r="CL1123" s="52"/>
      <c r="CM1123" s="52"/>
      <c r="CN1123" s="52"/>
      <c r="CO1123" s="52"/>
      <c r="CP1123" s="52"/>
      <c r="CQ1123" s="52">
        <v>29853943</v>
      </c>
      <c r="CR1123" s="52"/>
      <c r="CS1123" s="52">
        <f t="shared" si="175"/>
        <v>489311003</v>
      </c>
      <c r="CT1123" s="53">
        <v>238831544</v>
      </c>
      <c r="CU1123" s="53">
        <f t="shared" si="176"/>
        <v>250479459</v>
      </c>
      <c r="CV1123" s="54">
        <f t="shared" si="179"/>
        <v>489311003</v>
      </c>
      <c r="CW1123" s="55">
        <f t="shared" si="180"/>
        <v>0</v>
      </c>
      <c r="CX1123" s="16"/>
      <c r="CY1123" s="16"/>
      <c r="CZ1123" s="16"/>
    </row>
    <row r="1124" spans="1:124" ht="15" customHeight="1" x14ac:dyDescent="0.2">
      <c r="A1124" s="1">
        <v>8918550177</v>
      </c>
      <c r="B1124" s="1">
        <v>891855017</v>
      </c>
      <c r="C1124" s="9">
        <v>210185001</v>
      </c>
      <c r="D1124" s="10" t="s">
        <v>955</v>
      </c>
      <c r="E1124" s="47" t="s">
        <v>2015</v>
      </c>
      <c r="F1124" s="21"/>
      <c r="G1124" s="50"/>
      <c r="H1124" s="21"/>
      <c r="I1124" s="50">
        <v>4534551874</v>
      </c>
      <c r="J1124" s="21">
        <v>319533495</v>
      </c>
      <c r="K1124" s="21">
        <v>637959701</v>
      </c>
      <c r="L1124" s="50"/>
      <c r="M1124" s="52">
        <f>SUM(F1124:L1124)</f>
        <v>5492045070</v>
      </c>
      <c r="N1124" s="21"/>
      <c r="O1124" s="50"/>
      <c r="P1124" s="21"/>
      <c r="Q1124" s="50">
        <f>4250707142+52493459</f>
        <v>4303200601</v>
      </c>
      <c r="R1124" s="21">
        <v>319990494</v>
      </c>
      <c r="S1124" s="21">
        <f>318426206+319990494</f>
        <v>638416700</v>
      </c>
      <c r="T1124" s="50"/>
      <c r="U1124" s="51">
        <f t="shared" si="174"/>
        <v>10753652865</v>
      </c>
      <c r="V1124" s="51"/>
      <c r="W1124" s="51"/>
      <c r="X1124" s="51"/>
      <c r="Y1124" s="51">
        <v>6574911807</v>
      </c>
      <c r="Z1124" s="51">
        <v>305145060</v>
      </c>
      <c r="AA1124" s="51">
        <v>720443305</v>
      </c>
      <c r="AB1124" s="51"/>
      <c r="AC1124" s="51">
        <f t="shared" si="182"/>
        <v>18354153037</v>
      </c>
      <c r="AD1124" s="51"/>
      <c r="AE1124" s="51"/>
      <c r="AF1124" s="51"/>
      <c r="AG1124" s="51"/>
      <c r="AH1124" s="51">
        <v>4498302482</v>
      </c>
      <c r="AI1124" s="51">
        <v>580821433</v>
      </c>
      <c r="AJ1124" s="51">
        <v>325938539</v>
      </c>
      <c r="AK1124" s="51">
        <v>823299262</v>
      </c>
      <c r="AL1124" s="51"/>
      <c r="AM1124" s="51">
        <v>2307917227</v>
      </c>
      <c r="AN1124" s="51">
        <f>SUBTOTAL(9,AC1124:AM1124)</f>
        <v>26890431980</v>
      </c>
      <c r="AO1124" s="51"/>
      <c r="AP1124" s="51"/>
      <c r="AQ1124" s="51">
        <v>809934400</v>
      </c>
      <c r="AR1124" s="51"/>
      <c r="AS1124" s="51"/>
      <c r="AT1124" s="51">
        <v>4498302482</v>
      </c>
      <c r="AU1124" s="51"/>
      <c r="AV1124" s="51">
        <v>325938539</v>
      </c>
      <c r="AW1124" s="51">
        <v>558041944</v>
      </c>
      <c r="AX1124" s="51"/>
      <c r="AY1124" s="51"/>
      <c r="AZ1124" s="51"/>
      <c r="BA1124" s="51"/>
      <c r="BB1124" s="51"/>
      <c r="BC1124" s="52">
        <f t="shared" si="177"/>
        <v>33082649345</v>
      </c>
      <c r="BD1124" s="51"/>
      <c r="BE1124" s="51"/>
      <c r="BF1124" s="51">
        <v>161986880</v>
      </c>
      <c r="BG1124" s="51"/>
      <c r="BH1124" s="51"/>
      <c r="BI1124" s="51">
        <v>5444892876</v>
      </c>
      <c r="BJ1124" s="51">
        <v>275564640</v>
      </c>
      <c r="BK1124" s="51">
        <v>305556881</v>
      </c>
      <c r="BL1124" s="51">
        <v>672496459</v>
      </c>
      <c r="BM1124" s="51"/>
      <c r="BN1124" s="51"/>
      <c r="BO1124" s="51"/>
      <c r="BP1124" s="52">
        <v>39943147081</v>
      </c>
      <c r="BQ1124" s="52"/>
      <c r="BR1124" s="52"/>
      <c r="BS1124" s="52">
        <v>161986880</v>
      </c>
      <c r="BT1124" s="52"/>
      <c r="BU1124" s="52"/>
      <c r="BV1124" s="52"/>
      <c r="BW1124" s="52">
        <v>4558165320</v>
      </c>
      <c r="BX1124" s="52"/>
      <c r="BY1124" s="52">
        <v>1971622800</v>
      </c>
      <c r="BZ1124" s="52">
        <v>339350162</v>
      </c>
      <c r="CA1124" s="52">
        <v>872259113</v>
      </c>
      <c r="CB1124" s="52"/>
      <c r="CC1124" s="52"/>
      <c r="CD1124" s="52"/>
      <c r="CE1124" s="52"/>
      <c r="CF1124" s="52"/>
      <c r="CG1124" s="52">
        <f t="shared" si="178"/>
        <v>47846531356</v>
      </c>
      <c r="CH1124" s="52"/>
      <c r="CI1124" s="52"/>
      <c r="CJ1124" s="52">
        <v>161986880</v>
      </c>
      <c r="CK1124" s="52"/>
      <c r="CL1124" s="52">
        <v>4665095375</v>
      </c>
      <c r="CM1124" s="52">
        <v>371171793</v>
      </c>
      <c r="CN1124" s="52">
        <v>338221299</v>
      </c>
      <c r="CO1124" s="52">
        <v>614599291</v>
      </c>
      <c r="CP1124" s="52"/>
      <c r="CQ1124" s="52"/>
      <c r="CR1124" s="52"/>
      <c r="CS1124" s="52">
        <f t="shared" si="175"/>
        <v>53997605994</v>
      </c>
      <c r="CT1124" s="53">
        <v>51689688767</v>
      </c>
      <c r="CU1124" s="53">
        <f t="shared" si="176"/>
        <v>2307917227</v>
      </c>
      <c r="CV1124" s="54">
        <f t="shared" si="179"/>
        <v>53997605994</v>
      </c>
      <c r="CW1124" s="55">
        <f t="shared" si="180"/>
        <v>0</v>
      </c>
      <c r="CX1124" s="16"/>
      <c r="CY1124" s="16"/>
      <c r="CZ1124" s="16"/>
    </row>
    <row r="1125" spans="1:124" ht="15" customHeight="1" x14ac:dyDescent="0.2">
      <c r="A1125" s="1">
        <v>8001005310</v>
      </c>
      <c r="B1125" s="1">
        <v>800100531</v>
      </c>
      <c r="C1125" s="9">
        <v>219076890</v>
      </c>
      <c r="D1125" s="10" t="s">
        <v>945</v>
      </c>
      <c r="E1125" s="46" t="s">
        <v>2005</v>
      </c>
      <c r="F1125" s="21"/>
      <c r="G1125" s="50"/>
      <c r="H1125" s="21"/>
      <c r="I1125" s="50"/>
      <c r="J1125" s="21"/>
      <c r="K1125" s="21"/>
      <c r="L1125" s="50"/>
      <c r="M1125" s="51"/>
      <c r="N1125" s="21"/>
      <c r="O1125" s="50"/>
      <c r="P1125" s="21"/>
      <c r="Q1125" s="50"/>
      <c r="R1125" s="21"/>
      <c r="S1125" s="21"/>
      <c r="T1125" s="50"/>
      <c r="U1125" s="51">
        <f t="shared" si="174"/>
        <v>0</v>
      </c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>
        <v>208386621</v>
      </c>
      <c r="AN1125" s="51">
        <f>SUBTOTAL(9,AC1125:AM1125)</f>
        <v>208386621</v>
      </c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>
        <v>115330945</v>
      </c>
      <c r="AZ1125" s="51"/>
      <c r="BA1125" s="51"/>
      <c r="BB1125" s="51"/>
      <c r="BC1125" s="52">
        <f t="shared" si="177"/>
        <v>323717566</v>
      </c>
      <c r="BD1125" s="51"/>
      <c r="BE1125" s="51"/>
      <c r="BF1125" s="51"/>
      <c r="BG1125" s="51"/>
      <c r="BH1125" s="51"/>
      <c r="BI1125" s="51"/>
      <c r="BJ1125" s="51"/>
      <c r="BK1125" s="51"/>
      <c r="BL1125" s="51"/>
      <c r="BM1125" s="51"/>
      <c r="BN1125" s="51">
        <v>23066189</v>
      </c>
      <c r="BO1125" s="51"/>
      <c r="BP1125" s="52">
        <v>346783755</v>
      </c>
      <c r="BQ1125" s="52"/>
      <c r="BR1125" s="52"/>
      <c r="BS1125" s="52"/>
      <c r="BT1125" s="52"/>
      <c r="BU1125" s="52"/>
      <c r="BV1125" s="52"/>
      <c r="BW1125" s="52"/>
      <c r="BX1125" s="52"/>
      <c r="BY1125" s="52"/>
      <c r="BZ1125" s="52"/>
      <c r="CA1125" s="52"/>
      <c r="CB1125" s="52"/>
      <c r="CC1125" s="52">
        <v>23066189</v>
      </c>
      <c r="CD1125" s="52"/>
      <c r="CE1125" s="52"/>
      <c r="CF1125" s="52"/>
      <c r="CG1125" s="52">
        <f t="shared" si="178"/>
        <v>369849944</v>
      </c>
      <c r="CH1125" s="52"/>
      <c r="CI1125" s="52"/>
      <c r="CJ1125" s="52"/>
      <c r="CK1125" s="52"/>
      <c r="CL1125" s="52"/>
      <c r="CM1125" s="52"/>
      <c r="CN1125" s="52"/>
      <c r="CO1125" s="52"/>
      <c r="CP1125" s="52"/>
      <c r="CQ1125" s="52">
        <v>23066189</v>
      </c>
      <c r="CR1125" s="52"/>
      <c r="CS1125" s="52">
        <f t="shared" si="175"/>
        <v>392916133</v>
      </c>
      <c r="CT1125" s="53">
        <v>184529512</v>
      </c>
      <c r="CU1125" s="53">
        <f t="shared" si="176"/>
        <v>208386621</v>
      </c>
      <c r="CV1125" s="54">
        <f t="shared" si="179"/>
        <v>392916133</v>
      </c>
      <c r="CW1125" s="55">
        <f t="shared" si="180"/>
        <v>0</v>
      </c>
      <c r="CX1125" s="16"/>
      <c r="CY1125" s="16"/>
      <c r="CZ1125" s="16"/>
    </row>
    <row r="1126" spans="1:124" ht="15" customHeight="1" x14ac:dyDescent="0.2">
      <c r="A1126" s="1">
        <v>8903990256</v>
      </c>
      <c r="B1126" s="1">
        <v>890399025</v>
      </c>
      <c r="C1126" s="9">
        <v>219276892</v>
      </c>
      <c r="D1126" s="10" t="s">
        <v>946</v>
      </c>
      <c r="E1126" s="47" t="s">
        <v>2006</v>
      </c>
      <c r="F1126" s="21"/>
      <c r="G1126" s="50"/>
      <c r="H1126" s="21"/>
      <c r="I1126" s="50">
        <v>2381129870</v>
      </c>
      <c r="J1126" s="21">
        <v>168994617</v>
      </c>
      <c r="K1126" s="21">
        <v>338371500</v>
      </c>
      <c r="L1126" s="50"/>
      <c r="M1126" s="52">
        <f>SUM(F1126:L1126)</f>
        <v>2888495987</v>
      </c>
      <c r="N1126" s="21"/>
      <c r="O1126" s="50"/>
      <c r="P1126" s="21"/>
      <c r="Q1126" s="50">
        <f>2278296001+24491106</f>
        <v>2302787107</v>
      </c>
      <c r="R1126" s="21">
        <v>168994617</v>
      </c>
      <c r="S1126" s="21">
        <f>169376883+168994617</f>
        <v>338371500</v>
      </c>
      <c r="T1126" s="50"/>
      <c r="U1126" s="51">
        <f t="shared" si="174"/>
        <v>5698649211</v>
      </c>
      <c r="V1126" s="51"/>
      <c r="W1126" s="51"/>
      <c r="X1126" s="51"/>
      <c r="Y1126" s="51">
        <v>3778292409</v>
      </c>
      <c r="Z1126" s="51">
        <v>162587418</v>
      </c>
      <c r="AA1126" s="51">
        <v>379229825</v>
      </c>
      <c r="AB1126" s="51"/>
      <c r="AC1126" s="51">
        <f t="shared" si="182"/>
        <v>10018758863</v>
      </c>
      <c r="AD1126" s="51"/>
      <c r="AE1126" s="51"/>
      <c r="AF1126" s="51"/>
      <c r="AG1126" s="51"/>
      <c r="AH1126" s="51">
        <v>2418845618</v>
      </c>
      <c r="AI1126" s="51">
        <v>299005292</v>
      </c>
      <c r="AJ1126" s="51">
        <v>174210602</v>
      </c>
      <c r="AK1126" s="51">
        <v>438991978</v>
      </c>
      <c r="AL1126" s="51"/>
      <c r="AM1126" s="51">
        <v>1165698576</v>
      </c>
      <c r="AN1126" s="51">
        <f>SUBTOTAL(9,AC1126:AM1126)</f>
        <v>14515510929</v>
      </c>
      <c r="AO1126" s="51"/>
      <c r="AP1126" s="51"/>
      <c r="AQ1126" s="51">
        <v>597441820</v>
      </c>
      <c r="AR1126" s="51"/>
      <c r="AS1126" s="51"/>
      <c r="AT1126" s="51">
        <v>2418845618</v>
      </c>
      <c r="AU1126" s="51"/>
      <c r="AV1126" s="51">
        <v>174210602</v>
      </c>
      <c r="AW1126" s="51">
        <v>297397928</v>
      </c>
      <c r="AX1126" s="51"/>
      <c r="AY1126" s="51"/>
      <c r="AZ1126" s="51"/>
      <c r="BA1126" s="51"/>
      <c r="BB1126" s="51"/>
      <c r="BC1126" s="52">
        <f t="shared" si="177"/>
        <v>18003406897</v>
      </c>
      <c r="BD1126" s="51"/>
      <c r="BE1126" s="51"/>
      <c r="BF1126" s="51">
        <v>119488364</v>
      </c>
      <c r="BG1126" s="51"/>
      <c r="BH1126" s="51"/>
      <c r="BI1126" s="51">
        <v>2950236948</v>
      </c>
      <c r="BJ1126" s="51">
        <v>86913021</v>
      </c>
      <c r="BK1126" s="51">
        <v>191039653</v>
      </c>
      <c r="BL1126" s="51">
        <v>468104596</v>
      </c>
      <c r="BM1126" s="51"/>
      <c r="BN1126" s="51"/>
      <c r="BO1126" s="51"/>
      <c r="BP1126" s="52">
        <v>21819189479</v>
      </c>
      <c r="BQ1126" s="52">
        <v>2526281260</v>
      </c>
      <c r="BR1126" s="52"/>
      <c r="BS1126" s="52"/>
      <c r="BT1126" s="52"/>
      <c r="BU1126" s="52">
        <v>119488364</v>
      </c>
      <c r="BV1126" s="52"/>
      <c r="BW1126" s="52">
        <v>1089857172</v>
      </c>
      <c r="BX1126" s="52"/>
      <c r="BY1126" s="52"/>
      <c r="BZ1126" s="52">
        <v>177592683</v>
      </c>
      <c r="CA1126" s="52">
        <v>467298670</v>
      </c>
      <c r="CB1126" s="52"/>
      <c r="CC1126" s="52"/>
      <c r="CD1126" s="52"/>
      <c r="CE1126" s="52"/>
      <c r="CF1126" s="52"/>
      <c r="CG1126" s="52">
        <f t="shared" si="178"/>
        <v>26199707628</v>
      </c>
      <c r="CH1126" s="52"/>
      <c r="CI1126" s="52"/>
      <c r="CJ1126" s="52">
        <v>119488364</v>
      </c>
      <c r="CK1126" s="52"/>
      <c r="CL1126" s="52">
        <v>2456841766</v>
      </c>
      <c r="CM1126" s="52">
        <v>303781280</v>
      </c>
      <c r="CN1126" s="52">
        <v>174749338</v>
      </c>
      <c r="CO1126" s="52">
        <v>318930946</v>
      </c>
      <c r="CP1126" s="52"/>
      <c r="CQ1126" s="52"/>
      <c r="CR1126" s="52"/>
      <c r="CS1126" s="52">
        <f t="shared" si="175"/>
        <v>29573499322</v>
      </c>
      <c r="CT1126" s="53">
        <v>28407800746</v>
      </c>
      <c r="CU1126" s="53">
        <f t="shared" si="176"/>
        <v>1165698576</v>
      </c>
      <c r="CV1126" s="54">
        <f t="shared" si="179"/>
        <v>29573499322</v>
      </c>
      <c r="CW1126" s="55">
        <f t="shared" si="180"/>
        <v>0</v>
      </c>
      <c r="CX1126" s="16"/>
      <c r="CY1126" s="16"/>
      <c r="CZ1126" s="16"/>
    </row>
    <row r="1127" spans="1:124" ht="15" customHeight="1" x14ac:dyDescent="0.2">
      <c r="A1127" s="1">
        <v>8904811777</v>
      </c>
      <c r="B1127" s="1">
        <v>890481177</v>
      </c>
      <c r="C1127" s="9">
        <v>219413894</v>
      </c>
      <c r="D1127" s="10" t="s">
        <v>217</v>
      </c>
      <c r="E1127" s="46" t="s">
        <v>1252</v>
      </c>
      <c r="F1127" s="21"/>
      <c r="G1127" s="50"/>
      <c r="H1127" s="21"/>
      <c r="I1127" s="50"/>
      <c r="J1127" s="21"/>
      <c r="K1127" s="21"/>
      <c r="L1127" s="50"/>
      <c r="M1127" s="51"/>
      <c r="N1127" s="21"/>
      <c r="O1127" s="50"/>
      <c r="P1127" s="21"/>
      <c r="Q1127" s="50"/>
      <c r="R1127" s="21"/>
      <c r="S1127" s="21"/>
      <c r="T1127" s="50"/>
      <c r="U1127" s="51">
        <f t="shared" si="174"/>
        <v>0</v>
      </c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>
        <v>204320431</v>
      </c>
      <c r="AN1127" s="51">
        <f>SUBTOTAL(9,AC1127:AM1127)</f>
        <v>204320431</v>
      </c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>
        <v>107609125</v>
      </c>
      <c r="AZ1127" s="51"/>
      <c r="BA1127" s="51"/>
      <c r="BB1127" s="51"/>
      <c r="BC1127" s="52">
        <f t="shared" si="177"/>
        <v>311929556</v>
      </c>
      <c r="BD1127" s="51"/>
      <c r="BE1127" s="51"/>
      <c r="BF1127" s="51"/>
      <c r="BG1127" s="51"/>
      <c r="BH1127" s="51"/>
      <c r="BI1127" s="51"/>
      <c r="BJ1127" s="51"/>
      <c r="BK1127" s="51"/>
      <c r="BL1127" s="51"/>
      <c r="BM1127" s="51"/>
      <c r="BN1127" s="51">
        <v>21521825</v>
      </c>
      <c r="BO1127" s="51"/>
      <c r="BP1127" s="52">
        <v>333451381</v>
      </c>
      <c r="BQ1127" s="52"/>
      <c r="BR1127" s="52"/>
      <c r="BS1127" s="52"/>
      <c r="BT1127" s="52"/>
      <c r="BU1127" s="52"/>
      <c r="BV1127" s="52"/>
      <c r="BW1127" s="52"/>
      <c r="BX1127" s="52"/>
      <c r="BY1127" s="52"/>
      <c r="BZ1127" s="52"/>
      <c r="CA1127" s="52"/>
      <c r="CB1127" s="52"/>
      <c r="CC1127" s="52">
        <v>21521825</v>
      </c>
      <c r="CD1127" s="52"/>
      <c r="CE1127" s="52"/>
      <c r="CF1127" s="52"/>
      <c r="CG1127" s="52">
        <f t="shared" si="178"/>
        <v>354973206</v>
      </c>
      <c r="CH1127" s="52"/>
      <c r="CI1127" s="52"/>
      <c r="CJ1127" s="52"/>
      <c r="CK1127" s="52"/>
      <c r="CL1127" s="52"/>
      <c r="CM1127" s="52"/>
      <c r="CN1127" s="52"/>
      <c r="CO1127" s="52"/>
      <c r="CP1127" s="52"/>
      <c r="CQ1127" s="52">
        <v>21521825</v>
      </c>
      <c r="CR1127" s="52"/>
      <c r="CS1127" s="52">
        <f t="shared" si="175"/>
        <v>376495031</v>
      </c>
      <c r="CT1127" s="53">
        <v>172174600</v>
      </c>
      <c r="CU1127" s="53">
        <f t="shared" si="176"/>
        <v>204320431</v>
      </c>
      <c r="CV1127" s="54">
        <f t="shared" si="179"/>
        <v>376495031</v>
      </c>
      <c r="CW1127" s="55">
        <f t="shared" si="180"/>
        <v>0</v>
      </c>
      <c r="CX1127" s="16"/>
      <c r="CY1127" s="8"/>
      <c r="CZ1127" s="8"/>
      <c r="DA1127" s="8"/>
      <c r="DB1127" s="8"/>
      <c r="DC1127" s="8"/>
      <c r="DD1127" s="8"/>
    </row>
    <row r="1128" spans="1:124" ht="15" customHeight="1" x14ac:dyDescent="0.2">
      <c r="A1128" s="1">
        <v>8902041383</v>
      </c>
      <c r="B1128" s="1">
        <v>890204138</v>
      </c>
      <c r="C1128" s="9">
        <v>219568895</v>
      </c>
      <c r="D1128" s="10" t="s">
        <v>889</v>
      </c>
      <c r="E1128" s="46" t="s">
        <v>1860</v>
      </c>
      <c r="F1128" s="21"/>
      <c r="G1128" s="50"/>
      <c r="H1128" s="21"/>
      <c r="I1128" s="50"/>
      <c r="J1128" s="21"/>
      <c r="K1128" s="21"/>
      <c r="L1128" s="50"/>
      <c r="M1128" s="51"/>
      <c r="N1128" s="21"/>
      <c r="O1128" s="50"/>
      <c r="P1128" s="21"/>
      <c r="Q1128" s="50"/>
      <c r="R1128" s="21"/>
      <c r="S1128" s="21"/>
      <c r="T1128" s="50"/>
      <c r="U1128" s="51">
        <f t="shared" si="174"/>
        <v>0</v>
      </c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>
        <v>49581500</v>
      </c>
      <c r="AZ1128" s="51"/>
      <c r="BA1128" s="51">
        <f>VLOOKUP(B1128,[1]Hoja3!J$3:K$674,2,0)</f>
        <v>131468365</v>
      </c>
      <c r="BB1128" s="51"/>
      <c r="BC1128" s="52">
        <f t="shared" si="177"/>
        <v>181049865</v>
      </c>
      <c r="BD1128" s="51"/>
      <c r="BE1128" s="51"/>
      <c r="BF1128" s="51"/>
      <c r="BG1128" s="51"/>
      <c r="BH1128" s="51"/>
      <c r="BI1128" s="51"/>
      <c r="BJ1128" s="51"/>
      <c r="BK1128" s="51"/>
      <c r="BL1128" s="51"/>
      <c r="BM1128" s="51"/>
      <c r="BN1128" s="51">
        <v>9916300</v>
      </c>
      <c r="BO1128" s="51"/>
      <c r="BP1128" s="52">
        <v>190966165</v>
      </c>
      <c r="BQ1128" s="52"/>
      <c r="BR1128" s="52"/>
      <c r="BS1128" s="52"/>
      <c r="BT1128" s="52"/>
      <c r="BU1128" s="52"/>
      <c r="BV1128" s="52"/>
      <c r="BW1128" s="52"/>
      <c r="BX1128" s="52"/>
      <c r="BY1128" s="52"/>
      <c r="BZ1128" s="52"/>
      <c r="CA1128" s="52"/>
      <c r="CB1128" s="52"/>
      <c r="CC1128" s="52">
        <v>9916300</v>
      </c>
      <c r="CD1128" s="52"/>
      <c r="CE1128" s="52"/>
      <c r="CF1128" s="52"/>
      <c r="CG1128" s="52">
        <f t="shared" si="178"/>
        <v>200882465</v>
      </c>
      <c r="CH1128" s="52"/>
      <c r="CI1128" s="52"/>
      <c r="CJ1128" s="52"/>
      <c r="CK1128" s="52"/>
      <c r="CL1128" s="52"/>
      <c r="CM1128" s="52"/>
      <c r="CN1128" s="52"/>
      <c r="CO1128" s="52"/>
      <c r="CP1128" s="52"/>
      <c r="CQ1128" s="52">
        <v>9916300</v>
      </c>
      <c r="CR1128" s="52"/>
      <c r="CS1128" s="52">
        <f t="shared" si="175"/>
        <v>210798765</v>
      </c>
      <c r="CT1128" s="53">
        <v>79330400</v>
      </c>
      <c r="CU1128" s="53">
        <f t="shared" si="176"/>
        <v>131468365</v>
      </c>
      <c r="CV1128" s="54">
        <f t="shared" si="179"/>
        <v>210798765</v>
      </c>
      <c r="CW1128" s="55">
        <f t="shared" si="180"/>
        <v>0</v>
      </c>
      <c r="CX1128" s="16"/>
      <c r="CY1128" s="16"/>
      <c r="CZ1128" s="16"/>
    </row>
    <row r="1129" spans="1:124" ht="15" customHeight="1" x14ac:dyDescent="0.2">
      <c r="A1129" s="1">
        <v>8190037604</v>
      </c>
      <c r="B1129" s="1">
        <v>819003760</v>
      </c>
      <c r="C1129" s="9">
        <v>216047960</v>
      </c>
      <c r="D1129" s="10" t="s">
        <v>664</v>
      </c>
      <c r="E1129" s="46" t="s">
        <v>1684</v>
      </c>
      <c r="F1129" s="21"/>
      <c r="G1129" s="50"/>
      <c r="H1129" s="21"/>
      <c r="I1129" s="50"/>
      <c r="J1129" s="21"/>
      <c r="K1129" s="21"/>
      <c r="L1129" s="50"/>
      <c r="M1129" s="51"/>
      <c r="N1129" s="21"/>
      <c r="O1129" s="50"/>
      <c r="P1129" s="21"/>
      <c r="Q1129" s="50"/>
      <c r="R1129" s="21"/>
      <c r="S1129" s="21"/>
      <c r="T1129" s="50"/>
      <c r="U1129" s="51">
        <f t="shared" si="174"/>
        <v>0</v>
      </c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>
        <v>113973205</v>
      </c>
      <c r="AZ1129" s="51"/>
      <c r="BA1129" s="51">
        <f>VLOOKUP(B1129,[1]Hoja3!J$3:K$674,2,0)</f>
        <v>177845799</v>
      </c>
      <c r="BB1129" s="51"/>
      <c r="BC1129" s="52">
        <f t="shared" si="177"/>
        <v>291819004</v>
      </c>
      <c r="BD1129" s="51"/>
      <c r="BE1129" s="51"/>
      <c r="BF1129" s="51"/>
      <c r="BG1129" s="51"/>
      <c r="BH1129" s="51"/>
      <c r="BI1129" s="51"/>
      <c r="BJ1129" s="51"/>
      <c r="BK1129" s="51"/>
      <c r="BL1129" s="51"/>
      <c r="BM1129" s="51"/>
      <c r="BN1129" s="51">
        <v>22794641</v>
      </c>
      <c r="BO1129" s="51"/>
      <c r="BP1129" s="52">
        <v>314613645</v>
      </c>
      <c r="BQ1129" s="52"/>
      <c r="BR1129" s="52"/>
      <c r="BS1129" s="52"/>
      <c r="BT1129" s="52"/>
      <c r="BU1129" s="52"/>
      <c r="BV1129" s="52"/>
      <c r="BW1129" s="52"/>
      <c r="BX1129" s="52"/>
      <c r="BY1129" s="52"/>
      <c r="BZ1129" s="52"/>
      <c r="CA1129" s="52"/>
      <c r="CB1129" s="52"/>
      <c r="CC1129" s="52">
        <v>22794641</v>
      </c>
      <c r="CD1129" s="52"/>
      <c r="CE1129" s="52"/>
      <c r="CF1129" s="52"/>
      <c r="CG1129" s="52">
        <f t="shared" si="178"/>
        <v>337408286</v>
      </c>
      <c r="CH1129" s="52"/>
      <c r="CI1129" s="52"/>
      <c r="CJ1129" s="52"/>
      <c r="CK1129" s="52"/>
      <c r="CL1129" s="52"/>
      <c r="CM1129" s="52"/>
      <c r="CN1129" s="52"/>
      <c r="CO1129" s="52"/>
      <c r="CP1129" s="52"/>
      <c r="CQ1129" s="52">
        <v>22794641</v>
      </c>
      <c r="CR1129" s="52"/>
      <c r="CS1129" s="52">
        <f t="shared" si="175"/>
        <v>360202927</v>
      </c>
      <c r="CT1129" s="53">
        <v>182357128</v>
      </c>
      <c r="CU1129" s="53">
        <f t="shared" si="176"/>
        <v>177845799</v>
      </c>
      <c r="CV1129" s="54">
        <f t="shared" si="179"/>
        <v>360202927</v>
      </c>
      <c r="CW1129" s="55">
        <f t="shared" si="180"/>
        <v>0</v>
      </c>
      <c r="CX1129" s="16"/>
      <c r="CY1129" s="16"/>
      <c r="CZ1129" s="16"/>
    </row>
    <row r="1130" spans="1:124" ht="15" customHeight="1" x14ac:dyDescent="0.2">
      <c r="A1130" s="1">
        <v>8909811504</v>
      </c>
      <c r="B1130" s="1">
        <v>890981150</v>
      </c>
      <c r="C1130" s="9">
        <v>219505895</v>
      </c>
      <c r="D1130" s="10" t="s">
        <v>160</v>
      </c>
      <c r="E1130" s="46" t="s">
        <v>1188</v>
      </c>
      <c r="F1130" s="21"/>
      <c r="G1130" s="50"/>
      <c r="H1130" s="21"/>
      <c r="I1130" s="50"/>
      <c r="J1130" s="21"/>
      <c r="K1130" s="21"/>
      <c r="L1130" s="50"/>
      <c r="M1130" s="51"/>
      <c r="N1130" s="21"/>
      <c r="O1130" s="50"/>
      <c r="P1130" s="21"/>
      <c r="Q1130" s="50"/>
      <c r="R1130" s="21"/>
      <c r="S1130" s="21"/>
      <c r="T1130" s="50"/>
      <c r="U1130" s="51">
        <f t="shared" si="174"/>
        <v>0</v>
      </c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>
        <v>118029911</v>
      </c>
      <c r="AN1130" s="51">
        <f>SUBTOTAL(9,AC1130:AM1130)</f>
        <v>118029911</v>
      </c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>
        <f>VLOOKUP(B1130,[1]Hoja3!J$3:K$674,2,0)</f>
        <v>421679786</v>
      </c>
      <c r="BB1130" s="51"/>
      <c r="BC1130" s="52">
        <f t="shared" si="177"/>
        <v>539709697</v>
      </c>
      <c r="BD1130" s="51"/>
      <c r="BE1130" s="51"/>
      <c r="BF1130" s="51"/>
      <c r="BG1130" s="51"/>
      <c r="BH1130" s="51"/>
      <c r="BI1130" s="51"/>
      <c r="BJ1130" s="51"/>
      <c r="BK1130" s="51"/>
      <c r="BL1130" s="51"/>
      <c r="BM1130" s="51"/>
      <c r="BN1130" s="51">
        <v>75985388</v>
      </c>
      <c r="BO1130" s="51"/>
      <c r="BP1130" s="52">
        <v>615695085</v>
      </c>
      <c r="BQ1130" s="52"/>
      <c r="BR1130" s="52"/>
      <c r="BS1130" s="52"/>
      <c r="BT1130" s="52"/>
      <c r="BU1130" s="52"/>
      <c r="BV1130" s="52"/>
      <c r="BW1130" s="52"/>
      <c r="BX1130" s="52"/>
      <c r="BY1130" s="52"/>
      <c r="BZ1130" s="52"/>
      <c r="CA1130" s="52"/>
      <c r="CB1130" s="52"/>
      <c r="CC1130" s="52">
        <v>75985388</v>
      </c>
      <c r="CD1130" s="52">
        <v>379926940</v>
      </c>
      <c r="CE1130" s="52"/>
      <c r="CF1130" s="52"/>
      <c r="CG1130" s="52">
        <f t="shared" si="178"/>
        <v>1071607413</v>
      </c>
      <c r="CH1130" s="52"/>
      <c r="CI1130" s="52"/>
      <c r="CJ1130" s="52"/>
      <c r="CK1130" s="52"/>
      <c r="CL1130" s="52"/>
      <c r="CM1130" s="52"/>
      <c r="CN1130" s="52"/>
      <c r="CO1130" s="52"/>
      <c r="CP1130" s="52"/>
      <c r="CQ1130" s="52">
        <v>75985388</v>
      </c>
      <c r="CR1130" s="52">
        <v>48449216</v>
      </c>
      <c r="CS1130" s="52">
        <f t="shared" si="175"/>
        <v>1196042017</v>
      </c>
      <c r="CT1130" s="53">
        <v>607883104</v>
      </c>
      <c r="CU1130" s="53">
        <f t="shared" si="176"/>
        <v>588158913</v>
      </c>
      <c r="CV1130" s="54">
        <f t="shared" si="179"/>
        <v>1196042017</v>
      </c>
      <c r="CW1130" s="55">
        <f t="shared" si="180"/>
        <v>0</v>
      </c>
      <c r="CX1130" s="16"/>
      <c r="CY1130" s="16"/>
      <c r="CZ1130" s="16"/>
    </row>
    <row r="1131" spans="1:124" ht="15" customHeight="1" x14ac:dyDescent="0.2">
      <c r="A1131" s="1">
        <v>8919006240</v>
      </c>
      <c r="B1131" s="1">
        <v>891900624</v>
      </c>
      <c r="C1131" s="9">
        <v>219576895</v>
      </c>
      <c r="D1131" s="10" t="s">
        <v>947</v>
      </c>
      <c r="E1131" s="46" t="s">
        <v>2007</v>
      </c>
      <c r="F1131" s="21"/>
      <c r="G1131" s="50"/>
      <c r="H1131" s="21"/>
      <c r="I1131" s="50"/>
      <c r="J1131" s="21"/>
      <c r="K1131" s="21"/>
      <c r="L1131" s="50"/>
      <c r="M1131" s="51"/>
      <c r="N1131" s="21"/>
      <c r="O1131" s="50"/>
      <c r="P1131" s="21"/>
      <c r="Q1131" s="50"/>
      <c r="R1131" s="21"/>
      <c r="S1131" s="21"/>
      <c r="T1131" s="50"/>
      <c r="U1131" s="51">
        <f t="shared" si="174"/>
        <v>0</v>
      </c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>
        <v>250009642</v>
      </c>
      <c r="AN1131" s="51">
        <f>SUBTOTAL(9,AC1131:AM1131)</f>
        <v>250009642</v>
      </c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>
        <v>250770220</v>
      </c>
      <c r="AZ1131" s="51"/>
      <c r="BA1131" s="51">
        <f>VLOOKUP(B1131,[1]Hoja3!J$3:K$674,2,0)</f>
        <v>252492949</v>
      </c>
      <c r="BB1131" s="51"/>
      <c r="BC1131" s="52">
        <f t="shared" si="177"/>
        <v>753272811</v>
      </c>
      <c r="BD1131" s="51"/>
      <c r="BE1131" s="51"/>
      <c r="BF1131" s="51"/>
      <c r="BG1131" s="51"/>
      <c r="BH1131" s="51"/>
      <c r="BI1131" s="51"/>
      <c r="BJ1131" s="51"/>
      <c r="BK1131" s="51"/>
      <c r="BL1131" s="51"/>
      <c r="BM1131" s="51"/>
      <c r="BN1131" s="51">
        <v>50154044</v>
      </c>
      <c r="BO1131" s="51"/>
      <c r="BP1131" s="52">
        <v>803426855</v>
      </c>
      <c r="BQ1131" s="52"/>
      <c r="BR1131" s="52"/>
      <c r="BS1131" s="52"/>
      <c r="BT1131" s="52"/>
      <c r="BU1131" s="52"/>
      <c r="BV1131" s="52"/>
      <c r="BW1131" s="52"/>
      <c r="BX1131" s="52"/>
      <c r="BY1131" s="52"/>
      <c r="BZ1131" s="52"/>
      <c r="CA1131" s="52"/>
      <c r="CB1131" s="52"/>
      <c r="CC1131" s="52">
        <v>50154044</v>
      </c>
      <c r="CD1131" s="52"/>
      <c r="CE1131" s="52"/>
      <c r="CF1131" s="52"/>
      <c r="CG1131" s="52">
        <f t="shared" si="178"/>
        <v>853580899</v>
      </c>
      <c r="CH1131" s="52"/>
      <c r="CI1131" s="52"/>
      <c r="CJ1131" s="52"/>
      <c r="CK1131" s="52"/>
      <c r="CL1131" s="52"/>
      <c r="CM1131" s="52"/>
      <c r="CN1131" s="52"/>
      <c r="CO1131" s="52"/>
      <c r="CP1131" s="52"/>
      <c r="CQ1131" s="52">
        <v>50154044</v>
      </c>
      <c r="CR1131" s="52"/>
      <c r="CS1131" s="52">
        <f t="shared" si="175"/>
        <v>903734943</v>
      </c>
      <c r="CT1131" s="53">
        <v>401232352</v>
      </c>
      <c r="CU1131" s="53">
        <f t="shared" si="176"/>
        <v>502502591</v>
      </c>
      <c r="CV1131" s="54">
        <f t="shared" si="179"/>
        <v>903734943</v>
      </c>
      <c r="CW1131" s="55">
        <f t="shared" si="180"/>
        <v>0</v>
      </c>
      <c r="CX1131" s="16"/>
      <c r="CY1131" s="16"/>
      <c r="CZ1131" s="16"/>
    </row>
    <row r="1132" spans="1:124" ht="15" customHeight="1" x14ac:dyDescent="0.2">
      <c r="A1132" s="1">
        <v>8918021067</v>
      </c>
      <c r="B1132" s="1">
        <v>891802106</v>
      </c>
      <c r="C1132" s="9">
        <v>219715897</v>
      </c>
      <c r="D1132" s="10" t="s">
        <v>335</v>
      </c>
      <c r="E1132" s="46" t="s">
        <v>1366</v>
      </c>
      <c r="F1132" s="21"/>
      <c r="G1132" s="50"/>
      <c r="H1132" s="21"/>
      <c r="I1132" s="50"/>
      <c r="J1132" s="21"/>
      <c r="K1132" s="21"/>
      <c r="L1132" s="50"/>
      <c r="M1132" s="51"/>
      <c r="N1132" s="21"/>
      <c r="O1132" s="50"/>
      <c r="P1132" s="21"/>
      <c r="Q1132" s="50"/>
      <c r="R1132" s="21"/>
      <c r="S1132" s="21"/>
      <c r="T1132" s="50"/>
      <c r="U1132" s="51">
        <f t="shared" si="174"/>
        <v>0</v>
      </c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>
        <v>45438535</v>
      </c>
      <c r="AZ1132" s="51"/>
      <c r="BA1132" s="51">
        <f>VLOOKUP(B1132,[1]Hoja3!J$3:K$674,2,0)</f>
        <v>79190140</v>
      </c>
      <c r="BB1132" s="51"/>
      <c r="BC1132" s="52">
        <f t="shared" si="177"/>
        <v>124628675</v>
      </c>
      <c r="BD1132" s="51"/>
      <c r="BE1132" s="51"/>
      <c r="BF1132" s="51"/>
      <c r="BG1132" s="51"/>
      <c r="BH1132" s="51"/>
      <c r="BI1132" s="51"/>
      <c r="BJ1132" s="51"/>
      <c r="BK1132" s="51"/>
      <c r="BL1132" s="51"/>
      <c r="BM1132" s="51"/>
      <c r="BN1132" s="51">
        <v>9087707</v>
      </c>
      <c r="BO1132" s="51"/>
      <c r="BP1132" s="52">
        <v>133716382</v>
      </c>
      <c r="BQ1132" s="52"/>
      <c r="BR1132" s="52"/>
      <c r="BS1132" s="52"/>
      <c r="BT1132" s="52"/>
      <c r="BU1132" s="52"/>
      <c r="BV1132" s="52"/>
      <c r="BW1132" s="52"/>
      <c r="BX1132" s="52"/>
      <c r="BY1132" s="52"/>
      <c r="BZ1132" s="52"/>
      <c r="CA1132" s="52"/>
      <c r="CB1132" s="52"/>
      <c r="CC1132" s="52">
        <v>9087707</v>
      </c>
      <c r="CD1132" s="52"/>
      <c r="CE1132" s="52"/>
      <c r="CF1132" s="52"/>
      <c r="CG1132" s="52">
        <f t="shared" si="178"/>
        <v>142804089</v>
      </c>
      <c r="CH1132" s="52"/>
      <c r="CI1132" s="52"/>
      <c r="CJ1132" s="52"/>
      <c r="CK1132" s="52"/>
      <c r="CL1132" s="52"/>
      <c r="CM1132" s="52"/>
      <c r="CN1132" s="52"/>
      <c r="CO1132" s="52"/>
      <c r="CP1132" s="52"/>
      <c r="CQ1132" s="52">
        <v>9087707</v>
      </c>
      <c r="CR1132" s="52"/>
      <c r="CS1132" s="52">
        <f t="shared" si="175"/>
        <v>151891796</v>
      </c>
      <c r="CT1132" s="53">
        <v>72701656</v>
      </c>
      <c r="CU1132" s="53">
        <f t="shared" si="176"/>
        <v>79190140</v>
      </c>
      <c r="CV1132" s="54">
        <f t="shared" si="179"/>
        <v>151891796</v>
      </c>
      <c r="CW1132" s="55">
        <f t="shared" si="180"/>
        <v>0</v>
      </c>
      <c r="CX1132" s="16"/>
      <c r="CY1132" s="8"/>
      <c r="CZ1132" s="8"/>
      <c r="DA1132" s="8"/>
      <c r="DB1132" s="8"/>
      <c r="DC1132" s="8"/>
      <c r="DD1132" s="8"/>
    </row>
    <row r="1133" spans="1:124" ht="15" customHeight="1" x14ac:dyDescent="0.2">
      <c r="A1133" s="1">
        <v>8000947786</v>
      </c>
      <c r="B1133" s="1">
        <v>800094778</v>
      </c>
      <c r="C1133" s="9">
        <v>219825898</v>
      </c>
      <c r="D1133" s="10" t="s">
        <v>566</v>
      </c>
      <c r="E1133" s="46" t="s">
        <v>1585</v>
      </c>
      <c r="F1133" s="21"/>
      <c r="G1133" s="50"/>
      <c r="H1133" s="21"/>
      <c r="I1133" s="50"/>
      <c r="J1133" s="21"/>
      <c r="K1133" s="21"/>
      <c r="L1133" s="50"/>
      <c r="M1133" s="51"/>
      <c r="N1133" s="21"/>
      <c r="O1133" s="50"/>
      <c r="P1133" s="21"/>
      <c r="Q1133" s="50"/>
      <c r="R1133" s="21"/>
      <c r="S1133" s="21"/>
      <c r="T1133" s="50"/>
      <c r="U1133" s="51">
        <f t="shared" si="174"/>
        <v>0</v>
      </c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>
        <v>61636818</v>
      </c>
      <c r="AN1133" s="51">
        <f>SUBTOTAL(9,AC1133:AM1133)</f>
        <v>61636818</v>
      </c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>
        <v>30981275</v>
      </c>
      <c r="AZ1133" s="51"/>
      <c r="BA1133" s="51"/>
      <c r="BB1133" s="51"/>
      <c r="BC1133" s="52">
        <f t="shared" si="177"/>
        <v>92618093</v>
      </c>
      <c r="BD1133" s="51"/>
      <c r="BE1133" s="51"/>
      <c r="BF1133" s="51"/>
      <c r="BG1133" s="51"/>
      <c r="BH1133" s="51"/>
      <c r="BI1133" s="51"/>
      <c r="BJ1133" s="51"/>
      <c r="BK1133" s="51"/>
      <c r="BL1133" s="51"/>
      <c r="BM1133" s="51"/>
      <c r="BN1133" s="51">
        <v>6196255</v>
      </c>
      <c r="BO1133" s="51"/>
      <c r="BP1133" s="52">
        <v>98814348</v>
      </c>
      <c r="BQ1133" s="52"/>
      <c r="BR1133" s="52"/>
      <c r="BS1133" s="52"/>
      <c r="BT1133" s="52"/>
      <c r="BU1133" s="52"/>
      <c r="BV1133" s="52"/>
      <c r="BW1133" s="52"/>
      <c r="BX1133" s="52"/>
      <c r="BY1133" s="52"/>
      <c r="BZ1133" s="52"/>
      <c r="CA1133" s="52"/>
      <c r="CB1133" s="52"/>
      <c r="CC1133" s="52">
        <v>6196255</v>
      </c>
      <c r="CD1133" s="52"/>
      <c r="CE1133" s="52"/>
      <c r="CF1133" s="52"/>
      <c r="CG1133" s="52">
        <f t="shared" si="178"/>
        <v>105010603</v>
      </c>
      <c r="CH1133" s="52"/>
      <c r="CI1133" s="52"/>
      <c r="CJ1133" s="52"/>
      <c r="CK1133" s="52"/>
      <c r="CL1133" s="52"/>
      <c r="CM1133" s="52"/>
      <c r="CN1133" s="52"/>
      <c r="CO1133" s="52"/>
      <c r="CP1133" s="52"/>
      <c r="CQ1133" s="52">
        <v>6196255</v>
      </c>
      <c r="CR1133" s="52"/>
      <c r="CS1133" s="52">
        <f t="shared" si="175"/>
        <v>111206858</v>
      </c>
      <c r="CT1133" s="53">
        <v>49570040</v>
      </c>
      <c r="CU1133" s="53">
        <f t="shared" si="176"/>
        <v>61636818</v>
      </c>
      <c r="CV1133" s="54">
        <f t="shared" si="179"/>
        <v>111206858</v>
      </c>
      <c r="CW1133" s="55">
        <f t="shared" si="180"/>
        <v>0</v>
      </c>
      <c r="CX1133" s="16"/>
      <c r="CY1133" s="16"/>
      <c r="CZ1133" s="16"/>
    </row>
    <row r="1134" spans="1:124" ht="15" customHeight="1" x14ac:dyDescent="0.2">
      <c r="A1134" s="1">
        <v>8999993186</v>
      </c>
      <c r="B1134" s="1">
        <v>899999318</v>
      </c>
      <c r="C1134" s="9">
        <v>219925899</v>
      </c>
      <c r="D1134" s="10" t="s">
        <v>567</v>
      </c>
      <c r="E1134" s="47" t="s">
        <v>1586</v>
      </c>
      <c r="F1134" s="21"/>
      <c r="G1134" s="50"/>
      <c r="H1134" s="21"/>
      <c r="I1134" s="50">
        <v>2369172498</v>
      </c>
      <c r="J1134" s="21">
        <v>157344652</v>
      </c>
      <c r="K1134" s="21">
        <v>311650913</v>
      </c>
      <c r="L1134" s="50"/>
      <c r="M1134" s="52">
        <f>SUM(F1134:L1134)</f>
        <v>2838168063</v>
      </c>
      <c r="N1134" s="21"/>
      <c r="O1134" s="50"/>
      <c r="P1134" s="21"/>
      <c r="Q1134" s="50">
        <f>2236387026+15034816</f>
        <v>2251421842</v>
      </c>
      <c r="R1134" s="21">
        <v>157344652</v>
      </c>
      <c r="S1134" s="21">
        <f>154306261+157344652</f>
        <v>311650913</v>
      </c>
      <c r="T1134" s="50"/>
      <c r="U1134" s="51">
        <f t="shared" si="174"/>
        <v>5558585470</v>
      </c>
      <c r="V1134" s="51"/>
      <c r="W1134" s="51"/>
      <c r="X1134" s="51"/>
      <c r="Y1134" s="51">
        <v>2770852913</v>
      </c>
      <c r="Z1134" s="51">
        <v>156787775</v>
      </c>
      <c r="AA1134" s="51">
        <v>362327016</v>
      </c>
      <c r="AB1134" s="51"/>
      <c r="AC1134" s="51">
        <f t="shared" si="182"/>
        <v>8848553174</v>
      </c>
      <c r="AD1134" s="51"/>
      <c r="AE1134" s="51"/>
      <c r="AF1134" s="51"/>
      <c r="AG1134" s="51"/>
      <c r="AH1134" s="51">
        <v>2181847565</v>
      </c>
      <c r="AI1134" s="51">
        <v>217423171</v>
      </c>
      <c r="AJ1134" s="51">
        <v>161582706</v>
      </c>
      <c r="AK1134" s="51">
        <v>406975021</v>
      </c>
      <c r="AL1134" s="51"/>
      <c r="AM1134" s="51">
        <v>980822506</v>
      </c>
      <c r="AN1134" s="51">
        <f>SUBTOTAL(9,AC1134:AM1134)</f>
        <v>12797204143</v>
      </c>
      <c r="AO1134" s="51"/>
      <c r="AP1134" s="51"/>
      <c r="AQ1134" s="51">
        <v>521112600</v>
      </c>
      <c r="AR1134" s="51"/>
      <c r="AS1134" s="51"/>
      <c r="AT1134" s="51">
        <v>2181847565</v>
      </c>
      <c r="AU1134" s="51"/>
      <c r="AV1134" s="51">
        <v>161582706</v>
      </c>
      <c r="AW1134" s="51">
        <v>275633203</v>
      </c>
      <c r="AX1134" s="51"/>
      <c r="AY1134" s="51"/>
      <c r="AZ1134" s="51"/>
      <c r="BA1134" s="51">
        <f>VLOOKUP(B1134,[1]Hoja3!J$3:K$674,2,0)</f>
        <v>156377313</v>
      </c>
      <c r="BB1134" s="51"/>
      <c r="BC1134" s="52">
        <f t="shared" si="177"/>
        <v>16093757530</v>
      </c>
      <c r="BD1134" s="51"/>
      <c r="BE1134" s="51"/>
      <c r="BF1134" s="51">
        <v>104222520</v>
      </c>
      <c r="BG1134" s="51"/>
      <c r="BH1134" s="51"/>
      <c r="BI1134" s="51">
        <v>2750541274</v>
      </c>
      <c r="BJ1134" s="51">
        <v>55075900</v>
      </c>
      <c r="BK1134" s="51">
        <v>183118848</v>
      </c>
      <c r="BL1134" s="51">
        <v>465245640</v>
      </c>
      <c r="BM1134" s="51"/>
      <c r="BN1134" s="51"/>
      <c r="BO1134" s="51"/>
      <c r="BP1134" s="52">
        <v>19651961712</v>
      </c>
      <c r="BQ1134" s="52"/>
      <c r="BR1134" s="52"/>
      <c r="BS1134" s="52">
        <v>104222520</v>
      </c>
      <c r="BT1134" s="52"/>
      <c r="BU1134" s="52"/>
      <c r="BV1134" s="52"/>
      <c r="BW1134" s="52">
        <v>2308130837</v>
      </c>
      <c r="BX1134" s="52"/>
      <c r="BY1134" s="52">
        <v>1056351451</v>
      </c>
      <c r="BZ1134" s="52">
        <v>166561234</v>
      </c>
      <c r="CA1134" s="52">
        <v>432900183</v>
      </c>
      <c r="CB1134" s="52"/>
      <c r="CC1134" s="52"/>
      <c r="CD1134" s="52"/>
      <c r="CE1134" s="52"/>
      <c r="CF1134" s="52"/>
      <c r="CG1134" s="52">
        <f t="shared" si="178"/>
        <v>23720127937</v>
      </c>
      <c r="CH1134" s="52"/>
      <c r="CI1134" s="52"/>
      <c r="CJ1134" s="52">
        <v>104222520</v>
      </c>
      <c r="CK1134" s="52"/>
      <c r="CL1134" s="52">
        <v>2323566657</v>
      </c>
      <c r="CM1134" s="52">
        <v>34442840</v>
      </c>
      <c r="CN1134" s="52">
        <v>167757317</v>
      </c>
      <c r="CO1134" s="52">
        <v>303359277</v>
      </c>
      <c r="CP1134" s="52"/>
      <c r="CQ1134" s="52"/>
      <c r="CR1134" s="52"/>
      <c r="CS1134" s="52">
        <f t="shared" si="175"/>
        <v>26653476548</v>
      </c>
      <c r="CT1134" s="53">
        <v>25516276729</v>
      </c>
      <c r="CU1134" s="53">
        <f t="shared" si="176"/>
        <v>1137199819</v>
      </c>
      <c r="CV1134" s="54">
        <f t="shared" si="179"/>
        <v>26653476548</v>
      </c>
      <c r="CW1134" s="55">
        <f t="shared" si="180"/>
        <v>0</v>
      </c>
      <c r="CX1134" s="16"/>
      <c r="CY1134" s="16"/>
      <c r="CZ1134" s="16"/>
    </row>
    <row r="1135" spans="1:124" ht="15" customHeight="1" x14ac:dyDescent="0.2">
      <c r="A1135" s="1">
        <v>8190032975</v>
      </c>
      <c r="B1135" s="1">
        <v>819003297</v>
      </c>
      <c r="C1135" s="9">
        <v>218047980</v>
      </c>
      <c r="D1135" s="10" t="s">
        <v>665</v>
      </c>
      <c r="E1135" s="46" t="s">
        <v>1685</v>
      </c>
      <c r="F1135" s="21"/>
      <c r="G1135" s="50"/>
      <c r="H1135" s="21"/>
      <c r="I1135" s="50"/>
      <c r="J1135" s="21"/>
      <c r="K1135" s="21"/>
      <c r="L1135" s="50"/>
      <c r="M1135" s="51"/>
      <c r="N1135" s="21"/>
      <c r="O1135" s="50"/>
      <c r="P1135" s="21"/>
      <c r="Q1135" s="50"/>
      <c r="R1135" s="21"/>
      <c r="S1135" s="21"/>
      <c r="T1135" s="50"/>
      <c r="U1135" s="51">
        <f t="shared" si="174"/>
        <v>0</v>
      </c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61">
        <v>432954164</v>
      </c>
      <c r="AN1135" s="51">
        <f>SUBTOTAL(9,AC1135:AM1135)</f>
        <v>432954164</v>
      </c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>
        <v>628721615</v>
      </c>
      <c r="AZ1135" s="51"/>
      <c r="BA1135" s="51">
        <f>VLOOKUP(B1135,[1]Hoja3!J$3:K$674,2,0)</f>
        <v>1099946223</v>
      </c>
      <c r="BB1135" s="51"/>
      <c r="BC1135" s="52">
        <f t="shared" si="177"/>
        <v>2161622002</v>
      </c>
      <c r="BD1135" s="51"/>
      <c r="BE1135" s="51"/>
      <c r="BF1135" s="51"/>
      <c r="BG1135" s="51"/>
      <c r="BH1135" s="51"/>
      <c r="BI1135" s="51"/>
      <c r="BJ1135" s="51"/>
      <c r="BK1135" s="51"/>
      <c r="BL1135" s="51"/>
      <c r="BM1135" s="51"/>
      <c r="BN1135" s="51">
        <v>125744323</v>
      </c>
      <c r="BO1135" s="51"/>
      <c r="BP1135" s="52">
        <v>2287366325</v>
      </c>
      <c r="BQ1135" s="52"/>
      <c r="BR1135" s="52"/>
      <c r="BS1135" s="52"/>
      <c r="BT1135" s="52"/>
      <c r="BU1135" s="52"/>
      <c r="BV1135" s="52"/>
      <c r="BW1135" s="52"/>
      <c r="BX1135" s="52"/>
      <c r="BY1135" s="52"/>
      <c r="BZ1135" s="52"/>
      <c r="CA1135" s="52"/>
      <c r="CB1135" s="52"/>
      <c r="CC1135" s="52">
        <v>125744323</v>
      </c>
      <c r="CD1135" s="52"/>
      <c r="CE1135" s="52"/>
      <c r="CF1135" s="52"/>
      <c r="CG1135" s="52">
        <f t="shared" si="178"/>
        <v>2413110648</v>
      </c>
      <c r="CH1135" s="52"/>
      <c r="CI1135" s="52"/>
      <c r="CJ1135" s="52"/>
      <c r="CK1135" s="52"/>
      <c r="CL1135" s="52"/>
      <c r="CM1135" s="52"/>
      <c r="CN1135" s="52"/>
      <c r="CO1135" s="52"/>
      <c r="CP1135" s="52"/>
      <c r="CQ1135" s="52">
        <v>125744323</v>
      </c>
      <c r="CR1135" s="52"/>
      <c r="CS1135" s="52">
        <f t="shared" si="175"/>
        <v>2538854971</v>
      </c>
      <c r="CT1135" s="53">
        <v>1005954584</v>
      </c>
      <c r="CU1135" s="53">
        <f t="shared" si="176"/>
        <v>1532900387</v>
      </c>
      <c r="CV1135" s="54">
        <f t="shared" si="179"/>
        <v>2538854971</v>
      </c>
      <c r="CW1135" s="55">
        <f t="shared" si="180"/>
        <v>0</v>
      </c>
      <c r="CX1135" s="16"/>
      <c r="CY1135" s="16"/>
      <c r="CZ1135" s="16"/>
      <c r="DQ1135" s="20">
        <f>SUM(AN3:AN1135)</f>
        <v>6843779305294</v>
      </c>
      <c r="DR1135" s="20">
        <f>SUM(AO3:AO1135)</f>
        <v>611516138401</v>
      </c>
      <c r="DS1135" s="20">
        <f>SUM(AP3:AP1135)</f>
        <v>15568008607</v>
      </c>
      <c r="DT1135" s="20">
        <f>SUM(AQ3:AQ1135)</f>
        <v>89872530930</v>
      </c>
    </row>
    <row r="1136" spans="1:124" s="3" customFormat="1" ht="13.5" customHeight="1" x14ac:dyDescent="0.2">
      <c r="A1136" s="86" t="s">
        <v>1002</v>
      </c>
      <c r="B1136" s="86"/>
      <c r="C1136" s="86"/>
      <c r="D1136" s="86"/>
      <c r="E1136" s="87"/>
      <c r="F1136" s="62">
        <f t="shared" ref="F1136:X1136" si="184">SUM(F3:F1134)</f>
        <v>599100912219</v>
      </c>
      <c r="G1136" s="62">
        <f t="shared" si="184"/>
        <v>0</v>
      </c>
      <c r="H1136" s="62">
        <f t="shared" si="184"/>
        <v>24408484383</v>
      </c>
      <c r="I1136" s="62">
        <f t="shared" si="184"/>
        <v>526000803651</v>
      </c>
      <c r="J1136" s="62">
        <f t="shared" si="184"/>
        <v>76690023332</v>
      </c>
      <c r="K1136" s="62">
        <f t="shared" si="184"/>
        <v>154331629618</v>
      </c>
      <c r="L1136" s="62">
        <f t="shared" si="184"/>
        <v>3721053169</v>
      </c>
      <c r="M1136" s="62">
        <f t="shared" si="184"/>
        <v>1384252906372</v>
      </c>
      <c r="N1136" s="62">
        <f t="shared" si="184"/>
        <v>635175623497</v>
      </c>
      <c r="O1136" s="62">
        <f t="shared" si="184"/>
        <v>0</v>
      </c>
      <c r="P1136" s="62">
        <f t="shared" si="184"/>
        <v>28129537552</v>
      </c>
      <c r="Q1136" s="62">
        <f t="shared" si="184"/>
        <v>554792200290</v>
      </c>
      <c r="R1136" s="62">
        <f t="shared" si="184"/>
        <v>76617664008</v>
      </c>
      <c r="S1136" s="62">
        <f t="shared" si="184"/>
        <v>154293631604</v>
      </c>
      <c r="T1136" s="62">
        <f t="shared" si="184"/>
        <v>0</v>
      </c>
      <c r="U1136" s="62">
        <f t="shared" si="184"/>
        <v>2833261563323</v>
      </c>
      <c r="V1136" s="62">
        <f t="shared" si="184"/>
        <v>863593300745</v>
      </c>
      <c r="W1136" s="62">
        <f t="shared" si="184"/>
        <v>0</v>
      </c>
      <c r="X1136" s="62">
        <f t="shared" si="184"/>
        <v>24398908638</v>
      </c>
      <c r="Y1136" s="62">
        <f t="shared" ref="Y1136:AL1136" si="185">SUM(Y3:Y1134)</f>
        <v>845742951305</v>
      </c>
      <c r="Z1136" s="62">
        <f t="shared" si="185"/>
        <v>77256450991</v>
      </c>
      <c r="AA1136" s="62">
        <f t="shared" si="185"/>
        <v>168839077119</v>
      </c>
      <c r="AB1136" s="62">
        <f t="shared" si="185"/>
        <v>3721053169</v>
      </c>
      <c r="AC1136" s="62">
        <f t="shared" si="185"/>
        <v>4816813305290</v>
      </c>
      <c r="AD1136" s="62">
        <f t="shared" si="185"/>
        <v>600858134858</v>
      </c>
      <c r="AE1136" s="62">
        <f t="shared" si="185"/>
        <v>101979759607</v>
      </c>
      <c r="AF1136" s="62">
        <f t="shared" si="185"/>
        <v>0</v>
      </c>
      <c r="AG1136" s="62">
        <f t="shared" si="185"/>
        <v>24408484383</v>
      </c>
      <c r="AH1136" s="62">
        <f t="shared" si="185"/>
        <v>540570128982</v>
      </c>
      <c r="AI1136" s="62">
        <f t="shared" si="185"/>
        <v>94907177426</v>
      </c>
      <c r="AJ1136" s="62">
        <f t="shared" si="185"/>
        <v>77910341647</v>
      </c>
      <c r="AK1136" s="62">
        <f t="shared" si="185"/>
        <v>196629021350</v>
      </c>
      <c r="AL1136" s="62">
        <f t="shared" si="185"/>
        <v>3721053169</v>
      </c>
      <c r="AM1136" s="62">
        <f>SUM(AM3:AM1135)</f>
        <v>385981898582</v>
      </c>
      <c r="AN1136" s="62">
        <f t="shared" ref="AN1136:BC1136" si="186">SUM(AN3:AN1135)</f>
        <v>6843779305294</v>
      </c>
      <c r="AO1136" s="62">
        <f t="shared" si="186"/>
        <v>611516138401</v>
      </c>
      <c r="AP1136" s="62">
        <f t="shared" si="186"/>
        <v>15568008607</v>
      </c>
      <c r="AQ1136" s="62">
        <f t="shared" si="186"/>
        <v>89872530930</v>
      </c>
      <c r="AR1136" s="62">
        <f t="shared" si="186"/>
        <v>24408484383</v>
      </c>
      <c r="AS1136" s="62">
        <f>SUM(AS3:AS1135)</f>
        <v>35630597573</v>
      </c>
      <c r="AT1136" s="62">
        <f>SUM(AT3:AT1135)</f>
        <v>526502455145</v>
      </c>
      <c r="AU1136" s="62">
        <f>SUM(AU3:AU1135)</f>
        <v>31949960201</v>
      </c>
      <c r="AV1136" s="62">
        <f t="shared" si="186"/>
        <v>74937343928</v>
      </c>
      <c r="AW1136" s="62">
        <f t="shared" si="186"/>
        <v>119634341694</v>
      </c>
      <c r="AX1136" s="62">
        <f t="shared" si="186"/>
        <v>3721053169</v>
      </c>
      <c r="AY1136" s="62">
        <f t="shared" si="186"/>
        <v>119039351240</v>
      </c>
      <c r="AZ1136" s="62">
        <f>SUM(AZ3:AZ1135)</f>
        <v>64565772317</v>
      </c>
      <c r="BA1136" s="62">
        <f t="shared" si="186"/>
        <v>133691166058</v>
      </c>
      <c r="BB1136" s="62">
        <f t="shared" si="186"/>
        <v>8718050000</v>
      </c>
      <c r="BC1136" s="62">
        <f t="shared" si="186"/>
        <v>8686098458940</v>
      </c>
      <c r="BD1136" s="62">
        <f>SUM(BD3:BD1135)</f>
        <v>614502935653</v>
      </c>
      <c r="BE1136" s="62">
        <f t="shared" ref="BE1136:BO1136" si="187">SUM(BE3:BE1135)</f>
        <v>32840715615</v>
      </c>
      <c r="BF1136" s="62">
        <f t="shared" si="187"/>
        <v>17974506186</v>
      </c>
      <c r="BG1136" s="62">
        <f t="shared" si="187"/>
        <v>48816968766</v>
      </c>
      <c r="BH1136" s="62">
        <f t="shared" si="187"/>
        <v>0</v>
      </c>
      <c r="BI1136" s="62">
        <f t="shared" si="187"/>
        <v>534272643245</v>
      </c>
      <c r="BJ1136" s="62">
        <f t="shared" si="187"/>
        <v>46074327763</v>
      </c>
      <c r="BK1136" s="62">
        <f t="shared" si="187"/>
        <v>80473622830</v>
      </c>
      <c r="BL1136" s="62">
        <f t="shared" si="187"/>
        <v>214415688931</v>
      </c>
      <c r="BM1136" s="62">
        <f t="shared" si="187"/>
        <v>7442106338</v>
      </c>
      <c r="BN1136" s="62">
        <f t="shared" si="187"/>
        <v>26635251945</v>
      </c>
      <c r="BO1136" s="62">
        <f t="shared" si="187"/>
        <v>2016768552</v>
      </c>
      <c r="BP1136" s="62">
        <f>SUM(BP3:BP1135)</f>
        <v>10311563994764</v>
      </c>
      <c r="BQ1136" s="62">
        <f t="shared" ref="BQ1136:CC1136" si="188">SUM(BQ3:BQ1135)</f>
        <v>616728467656</v>
      </c>
      <c r="BR1136" s="62">
        <f t="shared" si="188"/>
        <v>43219399914</v>
      </c>
      <c r="BS1136" s="62">
        <f t="shared" si="188"/>
        <v>17855017822</v>
      </c>
      <c r="BT1136" s="62">
        <f t="shared" si="188"/>
        <v>24408484383</v>
      </c>
      <c r="BU1136" s="62">
        <f t="shared" si="188"/>
        <v>267197029833</v>
      </c>
      <c r="BV1136" s="62">
        <f t="shared" si="188"/>
        <v>2984450562</v>
      </c>
      <c r="BW1136" s="62">
        <f t="shared" si="188"/>
        <v>533634607039</v>
      </c>
      <c r="BX1136" s="62">
        <f t="shared" si="188"/>
        <v>57505616145</v>
      </c>
      <c r="BY1136" s="62">
        <f t="shared" si="188"/>
        <v>241033337556</v>
      </c>
      <c r="BZ1136" s="62">
        <f t="shared" si="188"/>
        <v>80855129831</v>
      </c>
      <c r="CA1136" s="62">
        <f t="shared" si="188"/>
        <v>210891570911</v>
      </c>
      <c r="CB1136" s="62">
        <f t="shared" si="188"/>
        <v>3721053169</v>
      </c>
      <c r="CC1136" s="62">
        <f t="shared" si="188"/>
        <v>39433128941</v>
      </c>
      <c r="CD1136" s="66">
        <f>SUM(CD3:CD1135)</f>
        <v>10586538541</v>
      </c>
      <c r="CE1136" s="66">
        <f>SUM(CE3:CE1135)</f>
        <v>12124474263</v>
      </c>
      <c r="CF1136" s="62">
        <f t="shared" ref="CF1136:CW1136" si="189">SUM(CF3:CF1135)</f>
        <v>-141339755</v>
      </c>
      <c r="CG1136" s="62">
        <f t="shared" si="189"/>
        <v>12473600961575</v>
      </c>
      <c r="CH1136" s="62">
        <f t="shared" si="189"/>
        <v>614761032206</v>
      </c>
      <c r="CI1136" s="62">
        <f t="shared" si="189"/>
        <v>43857770949</v>
      </c>
      <c r="CJ1136" s="62">
        <f t="shared" si="189"/>
        <v>17670064938</v>
      </c>
      <c r="CK1136" s="62">
        <f t="shared" si="189"/>
        <v>23270426354</v>
      </c>
      <c r="CL1136" s="62">
        <f t="shared" si="189"/>
        <v>532423789603</v>
      </c>
      <c r="CM1136" s="62">
        <f t="shared" si="189"/>
        <v>84912166918</v>
      </c>
      <c r="CN1136" s="62">
        <f t="shared" si="189"/>
        <v>81824368988</v>
      </c>
      <c r="CO1136" s="62">
        <f t="shared" si="189"/>
        <v>148977143465</v>
      </c>
      <c r="CP1136" s="62">
        <f t="shared" si="189"/>
        <v>3721053165</v>
      </c>
      <c r="CQ1136" s="62">
        <f t="shared" si="189"/>
        <v>39359435856</v>
      </c>
      <c r="CR1136" s="66">
        <f>SUM(CR3:CR1135)</f>
        <v>5342957497</v>
      </c>
      <c r="CS1136" s="62">
        <f t="shared" ref="CS1136:CU1136" si="190">SUM(CS3:CS1135)</f>
        <v>14069721171514</v>
      </c>
      <c r="CT1136" s="62">
        <f t="shared" si="190"/>
        <v>13539423296317</v>
      </c>
      <c r="CU1136" s="62">
        <f t="shared" si="190"/>
        <v>530297875197</v>
      </c>
      <c r="CV1136" s="62">
        <f t="shared" si="189"/>
        <v>14069721171514</v>
      </c>
      <c r="CW1136" s="62">
        <f t="shared" si="189"/>
        <v>0</v>
      </c>
      <c r="CX1136" s="16"/>
      <c r="CY1136" s="15"/>
      <c r="CZ1136" s="16" t="s">
        <v>2252</v>
      </c>
    </row>
    <row r="1137" spans="38:100" x14ac:dyDescent="0.25">
      <c r="AL1137" s="6">
        <v>13349812353</v>
      </c>
      <c r="AO1137" s="15"/>
      <c r="BB1137" s="39"/>
      <c r="BC1137" s="39"/>
      <c r="BD1137" s="15"/>
      <c r="BO1137" s="25"/>
      <c r="BP1137" s="39"/>
      <c r="BQ1137" s="15"/>
      <c r="CF1137" s="39"/>
      <c r="CG1137" s="39"/>
      <c r="CH1137" s="15"/>
      <c r="CS1137" s="39"/>
      <c r="CT1137" s="38"/>
      <c r="CU1137" s="38"/>
      <c r="CV1137" s="16"/>
    </row>
    <row r="1138" spans="38:100" x14ac:dyDescent="0.25"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41"/>
      <c r="BC1138" s="8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O1138" s="2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8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8"/>
      <c r="CV1138" s="15"/>
    </row>
    <row r="1139" spans="38:100" x14ac:dyDescent="0.25">
      <c r="AM1139" s="33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63">
        <f>SUBTOTAL(9,AW51:AW1134)</f>
        <v>119634341694</v>
      </c>
      <c r="AX1139" s="25"/>
      <c r="AY1139" s="25"/>
      <c r="AZ1139" s="25"/>
      <c r="BA1139" s="25"/>
      <c r="BB1139" s="40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  <c r="BN1139" s="25"/>
      <c r="BO1139" s="25"/>
      <c r="BP1139" s="8"/>
      <c r="BQ1139" s="25"/>
      <c r="BR1139" s="25"/>
      <c r="BS1139" s="25"/>
      <c r="BT1139" s="25"/>
      <c r="BU1139" s="25"/>
      <c r="BV1139" s="25"/>
      <c r="BW1139" s="25"/>
      <c r="BX1139" s="25"/>
      <c r="BY1139" s="25"/>
      <c r="BZ1139" s="25"/>
      <c r="CA1139" s="63"/>
      <c r="CB1139" s="25"/>
      <c r="CC1139" s="25"/>
      <c r="CD1139" s="25"/>
      <c r="CE1139" s="25"/>
      <c r="CF1139" s="25"/>
      <c r="CG1139" s="25"/>
      <c r="CH1139" s="25"/>
      <c r="CI1139" s="25"/>
      <c r="CJ1139" s="25"/>
      <c r="CK1139" s="25"/>
      <c r="CL1139" s="25"/>
      <c r="CM1139" s="25"/>
      <c r="CN1139" s="25"/>
      <c r="CO1139" s="63"/>
      <c r="CP1139" s="25"/>
      <c r="CQ1139" s="25"/>
      <c r="CR1139" s="25"/>
      <c r="CS1139" s="25"/>
      <c r="CV1139" s="25"/>
    </row>
    <row r="1140" spans="38:100" x14ac:dyDescent="0.25">
      <c r="CE1140" s="15"/>
      <c r="CR1140" s="15"/>
      <c r="CS1140" s="16"/>
    </row>
    <row r="1141" spans="38:100" x14ac:dyDescent="0.25">
      <c r="CE1141" s="16"/>
      <c r="CR1141" s="16"/>
    </row>
  </sheetData>
  <autoFilter ref="A2:DT1141" xr:uid="{A0A40850-B9AF-4B00-92F6-39A0FF19E701}"/>
  <mergeCells count="36">
    <mergeCell ref="CT1:CW1"/>
    <mergeCell ref="U1:U2"/>
    <mergeCell ref="V1:X1"/>
    <mergeCell ref="Y1:AB1"/>
    <mergeCell ref="AC1:AC2"/>
    <mergeCell ref="AD1:AG1"/>
    <mergeCell ref="AN1:AN2"/>
    <mergeCell ref="AM1:AM2"/>
    <mergeCell ref="AH1:AL1"/>
    <mergeCell ref="AO1:AS1"/>
    <mergeCell ref="AT1:AZ1"/>
    <mergeCell ref="BD1:BH1"/>
    <mergeCell ref="BI1:BM1"/>
    <mergeCell ref="BP1:BP2"/>
    <mergeCell ref="BA1:BB1"/>
    <mergeCell ref="BO1:BO2"/>
    <mergeCell ref="A1136:E1136"/>
    <mergeCell ref="A1:A2"/>
    <mergeCell ref="C1:C2"/>
    <mergeCell ref="D1:D2"/>
    <mergeCell ref="E1:E2"/>
    <mergeCell ref="B1:B2"/>
    <mergeCell ref="F1:H1"/>
    <mergeCell ref="BN1:BN2"/>
    <mergeCell ref="BC1:BC2"/>
    <mergeCell ref="I1:L1"/>
    <mergeCell ref="M1:M2"/>
    <mergeCell ref="N1:P1"/>
    <mergeCell ref="Q1:T1"/>
    <mergeCell ref="CH1:CK1"/>
    <mergeCell ref="CL1:CQ1"/>
    <mergeCell ref="CS1:CS2"/>
    <mergeCell ref="BQ1:BV1"/>
    <mergeCell ref="BW1:CD1"/>
    <mergeCell ref="CE1:CF1"/>
    <mergeCell ref="CG1:CG2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3" r:id="rId46" xr:uid="{139366E4-ECEB-40E5-B206-474FE43129F4}"/>
    <hyperlink ref="E473" r:id="rId47" display="mailto:Alexander.cardona@itagui.gov.co" xr:uid="{45F666EC-4B90-499C-9D90-38A79C38C0ED}"/>
    <hyperlink ref="E528" r:id="rId48" xr:uid="{65C90646-5855-4794-AC86-665C1DABECC5}"/>
    <hyperlink ref="E286" r:id="rId49" xr:uid="{29338C5A-6C0A-4DC3-98E8-D341AFC98509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50"/>
  <headerFooter alignWithMargins="0">
    <oddFooter>&amp;L&amp;8Archivo: jfontecha\SGP\&amp;F&amp;C&amp;8Fecha de Impresión  &amp;D</oddFooter>
  </headerFooter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65A1-A592-4C14-BBFC-548C5F499F0D}">
  <dimension ref="A1:A3"/>
  <sheetViews>
    <sheetView topLeftCell="A34" workbookViewId="0">
      <selection activeCell="I40" sqref="I40"/>
    </sheetView>
  </sheetViews>
  <sheetFormatPr baseColWidth="10" defaultRowHeight="12.75" x14ac:dyDescent="0.2"/>
  <sheetData>
    <row r="1" spans="1:1" x14ac:dyDescent="0.2">
      <c r="A1">
        <f>140*3</f>
        <v>420</v>
      </c>
    </row>
    <row r="2" spans="1:1" x14ac:dyDescent="0.2">
      <c r="A2">
        <v>200</v>
      </c>
    </row>
    <row r="3" spans="1:1" x14ac:dyDescent="0.2">
      <c r="A3">
        <f>SUM(A1:A2)</f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SGP AGO 2018</vt:lpstr>
      <vt:lpstr>Hoja1</vt:lpstr>
      <vt:lpstr>'SGP AGO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Patricia Herrera Reyes</dc:creator>
  <cp:lastModifiedBy>Doris Patricia Herrera Reyes</cp:lastModifiedBy>
  <dcterms:created xsi:type="dcterms:W3CDTF">2018-08-08T15:36:41Z</dcterms:created>
  <dcterms:modified xsi:type="dcterms:W3CDTF">2018-11-07T18:59:15Z</dcterms:modified>
</cp:coreProperties>
</file>