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Julio\540818\"/>
    </mc:Choice>
  </mc:AlternateContent>
  <xr:revisionPtr revIDLastSave="6" documentId="13_ncr:1_{8CEBCA20-F339-4656-8080-F47A8051EDAE}" xr6:coauthVersionLast="34" xr6:coauthVersionMax="34" xr10:uidLastSave="{32827F01-1D76-490B-91D9-C50106933926}"/>
  <bookViews>
    <workbookView xWindow="0" yWindow="0" windowWidth="20460" windowHeight="5805" xr2:uid="{00000000-000D-0000-FFFF-FFFF00000000}"/>
  </bookViews>
  <sheets>
    <sheet name="SGP JUNIO 2018" sheetId="1" r:id="rId1"/>
  </sheets>
  <externalReferences>
    <externalReference r:id="rId2"/>
    <externalReference r:id="rId3"/>
    <externalReference r:id="rId4"/>
    <externalReference r:id="rId5"/>
  </externalReferences>
  <definedNames>
    <definedName name="_DIS2008" localSheetId="0">#REF!</definedName>
    <definedName name="_DIS2008">#REF!</definedName>
    <definedName name="_xlnm._FilterDatabase" localSheetId="0" hidden="1">'SGP JUNIO 2018'!$A$2:$DH$1141</definedName>
    <definedName name="_xlnm.Print_Area" localSheetId="0">'SGP JUNIO 2018'!$A$1:$CK$2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JUNIO 2018'!#REF!</definedName>
    <definedName name="DEPTOSAPORTES12008" localSheetId="0">'SGP JUNIO 2018'!#REF!</definedName>
    <definedName name="DEPTOSAPORTES22008" localSheetId="0">'SGP JUNIO 2018'!#REF!</definedName>
    <definedName name="DEPTOSDEUDA2008" localSheetId="0">'SGP JUNIO 2018'!#REF!</definedName>
    <definedName name="DEPTOSPENSION2008" localSheetId="0">'SGP JUNIO 2018'!#REF!</definedName>
    <definedName name="DEPTOSSERVICIOS2008" localSheetId="0">'SGP JUNIO 2018'!#REF!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JUNIO 2018'!#REF!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9021"/>
  <fileRecoveryPr autoRecover="0"/>
</workbook>
</file>

<file path=xl/calcChain.xml><?xml version="1.0" encoding="utf-8"?>
<calcChain xmlns="http://schemas.openxmlformats.org/spreadsheetml/2006/main">
  <c r="CI1126" i="1" l="1"/>
  <c r="CG1126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202" i="1"/>
  <c r="CG203" i="1"/>
  <c r="CG204" i="1"/>
  <c r="CG205" i="1"/>
  <c r="CG206" i="1"/>
  <c r="CG207" i="1"/>
  <c r="CG208" i="1"/>
  <c r="CG209" i="1"/>
  <c r="CG210" i="1"/>
  <c r="CG211" i="1"/>
  <c r="CG212" i="1"/>
  <c r="CG213" i="1"/>
  <c r="CG214" i="1"/>
  <c r="CG215" i="1"/>
  <c r="CG216" i="1"/>
  <c r="CG217" i="1"/>
  <c r="CG218" i="1"/>
  <c r="CG219" i="1"/>
  <c r="CG220" i="1"/>
  <c r="CG221" i="1"/>
  <c r="CG222" i="1"/>
  <c r="CG223" i="1"/>
  <c r="CG224" i="1"/>
  <c r="CG225" i="1"/>
  <c r="CG226" i="1"/>
  <c r="CG227" i="1"/>
  <c r="CG228" i="1"/>
  <c r="CG229" i="1"/>
  <c r="CG230" i="1"/>
  <c r="CG231" i="1"/>
  <c r="CG232" i="1"/>
  <c r="CG233" i="1"/>
  <c r="CG234" i="1"/>
  <c r="CG235" i="1"/>
  <c r="CG236" i="1"/>
  <c r="CG237" i="1"/>
  <c r="CG238" i="1"/>
  <c r="CG239" i="1"/>
  <c r="CG240" i="1"/>
  <c r="CG241" i="1"/>
  <c r="CG242" i="1"/>
  <c r="CG243" i="1"/>
  <c r="CG244" i="1"/>
  <c r="CG245" i="1"/>
  <c r="CG246" i="1"/>
  <c r="CG247" i="1"/>
  <c r="CG248" i="1"/>
  <c r="CG249" i="1"/>
  <c r="CG250" i="1"/>
  <c r="CG251" i="1"/>
  <c r="CG252" i="1"/>
  <c r="CG253" i="1"/>
  <c r="CG254" i="1"/>
  <c r="CG255" i="1"/>
  <c r="CG256" i="1"/>
  <c r="CG257" i="1"/>
  <c r="CG258" i="1"/>
  <c r="CG259" i="1"/>
  <c r="CG260" i="1"/>
  <c r="CG261" i="1"/>
  <c r="CG262" i="1"/>
  <c r="CG263" i="1"/>
  <c r="CG264" i="1"/>
  <c r="CG265" i="1"/>
  <c r="CG266" i="1"/>
  <c r="CG267" i="1"/>
  <c r="CG268" i="1"/>
  <c r="CG269" i="1"/>
  <c r="CG270" i="1"/>
  <c r="CG271" i="1"/>
  <c r="CG272" i="1"/>
  <c r="CG273" i="1"/>
  <c r="CG274" i="1"/>
  <c r="CG275" i="1"/>
  <c r="CG276" i="1"/>
  <c r="CG277" i="1"/>
  <c r="CG278" i="1"/>
  <c r="CG279" i="1"/>
  <c r="CG280" i="1"/>
  <c r="CG281" i="1"/>
  <c r="CG282" i="1"/>
  <c r="CG283" i="1"/>
  <c r="CG284" i="1"/>
  <c r="CG285" i="1"/>
  <c r="CG286" i="1"/>
  <c r="CG287" i="1"/>
  <c r="CG288" i="1"/>
  <c r="CG289" i="1"/>
  <c r="CG290" i="1"/>
  <c r="CG291" i="1"/>
  <c r="CG292" i="1"/>
  <c r="CG293" i="1"/>
  <c r="CG294" i="1"/>
  <c r="CG295" i="1"/>
  <c r="CG296" i="1"/>
  <c r="CG297" i="1"/>
  <c r="CG298" i="1"/>
  <c r="CG299" i="1"/>
  <c r="CG300" i="1"/>
  <c r="CG301" i="1"/>
  <c r="CG302" i="1"/>
  <c r="CG303" i="1"/>
  <c r="CG304" i="1"/>
  <c r="CG305" i="1"/>
  <c r="CG306" i="1"/>
  <c r="CG307" i="1"/>
  <c r="CG308" i="1"/>
  <c r="CG309" i="1"/>
  <c r="CG310" i="1"/>
  <c r="CG311" i="1"/>
  <c r="CG312" i="1"/>
  <c r="CG313" i="1"/>
  <c r="CG314" i="1"/>
  <c r="CG315" i="1"/>
  <c r="CG316" i="1"/>
  <c r="CG317" i="1"/>
  <c r="CG318" i="1"/>
  <c r="CG319" i="1"/>
  <c r="CG320" i="1"/>
  <c r="CG321" i="1"/>
  <c r="CG322" i="1"/>
  <c r="CG323" i="1"/>
  <c r="CG324" i="1"/>
  <c r="CG325" i="1"/>
  <c r="CG326" i="1"/>
  <c r="CG327" i="1"/>
  <c r="CG328" i="1"/>
  <c r="CG329" i="1"/>
  <c r="CG330" i="1"/>
  <c r="CG331" i="1"/>
  <c r="CG332" i="1"/>
  <c r="CG333" i="1"/>
  <c r="CG334" i="1"/>
  <c r="CG335" i="1"/>
  <c r="CG336" i="1"/>
  <c r="CG337" i="1"/>
  <c r="CG338" i="1"/>
  <c r="CG339" i="1"/>
  <c r="CG340" i="1"/>
  <c r="CG341" i="1"/>
  <c r="CG342" i="1"/>
  <c r="CG343" i="1"/>
  <c r="CG344" i="1"/>
  <c r="CG345" i="1"/>
  <c r="CG346" i="1"/>
  <c r="CG347" i="1"/>
  <c r="CG348" i="1"/>
  <c r="CG349" i="1"/>
  <c r="CG350" i="1"/>
  <c r="CG351" i="1"/>
  <c r="CG352" i="1"/>
  <c r="CG353" i="1"/>
  <c r="CG354" i="1"/>
  <c r="CG355" i="1"/>
  <c r="CG356" i="1"/>
  <c r="CG357" i="1"/>
  <c r="CG358" i="1"/>
  <c r="CG359" i="1"/>
  <c r="CG360" i="1"/>
  <c r="CG361" i="1"/>
  <c r="CG362" i="1"/>
  <c r="CG363" i="1"/>
  <c r="CG364" i="1"/>
  <c r="CG365" i="1"/>
  <c r="CG366" i="1"/>
  <c r="CG367" i="1"/>
  <c r="CG368" i="1"/>
  <c r="CG369" i="1"/>
  <c r="CG370" i="1"/>
  <c r="CG371" i="1"/>
  <c r="CG372" i="1"/>
  <c r="CG373" i="1"/>
  <c r="CG374" i="1"/>
  <c r="CG375" i="1"/>
  <c r="CG376" i="1"/>
  <c r="CG377" i="1"/>
  <c r="CG378" i="1"/>
  <c r="CG379" i="1"/>
  <c r="CG380" i="1"/>
  <c r="CG381" i="1"/>
  <c r="CG382" i="1"/>
  <c r="CG383" i="1"/>
  <c r="CG384" i="1"/>
  <c r="CG385" i="1"/>
  <c r="CG386" i="1"/>
  <c r="CG387" i="1"/>
  <c r="CG388" i="1"/>
  <c r="CG389" i="1"/>
  <c r="CG390" i="1"/>
  <c r="CG391" i="1"/>
  <c r="CG392" i="1"/>
  <c r="CG393" i="1"/>
  <c r="CG394" i="1"/>
  <c r="CG395" i="1"/>
  <c r="CG396" i="1"/>
  <c r="CG397" i="1"/>
  <c r="CG398" i="1"/>
  <c r="CG399" i="1"/>
  <c r="CG400" i="1"/>
  <c r="CG401" i="1"/>
  <c r="CG402" i="1"/>
  <c r="CG403" i="1"/>
  <c r="CG404" i="1"/>
  <c r="CG405" i="1"/>
  <c r="CG406" i="1"/>
  <c r="CG407" i="1"/>
  <c r="CG408" i="1"/>
  <c r="CG409" i="1"/>
  <c r="CG410" i="1"/>
  <c r="CG411" i="1"/>
  <c r="CG412" i="1"/>
  <c r="CG413" i="1"/>
  <c r="CG414" i="1"/>
  <c r="CG415" i="1"/>
  <c r="CG416" i="1"/>
  <c r="CG417" i="1"/>
  <c r="CG418" i="1"/>
  <c r="CG419" i="1"/>
  <c r="CG420" i="1"/>
  <c r="CG421" i="1"/>
  <c r="CG422" i="1"/>
  <c r="CG423" i="1"/>
  <c r="CG424" i="1"/>
  <c r="CG425" i="1"/>
  <c r="CG426" i="1"/>
  <c r="CG427" i="1"/>
  <c r="CG428" i="1"/>
  <c r="CG429" i="1"/>
  <c r="CG430" i="1"/>
  <c r="CG431" i="1"/>
  <c r="CG432" i="1"/>
  <c r="CG433" i="1"/>
  <c r="CG434" i="1"/>
  <c r="CG435" i="1"/>
  <c r="CG436" i="1"/>
  <c r="CG437" i="1"/>
  <c r="CG438" i="1"/>
  <c r="CG439" i="1"/>
  <c r="CG440" i="1"/>
  <c r="CG441" i="1"/>
  <c r="CG442" i="1"/>
  <c r="CG443" i="1"/>
  <c r="CG444" i="1"/>
  <c r="CG445" i="1"/>
  <c r="CG446" i="1"/>
  <c r="CG447" i="1"/>
  <c r="CG448" i="1"/>
  <c r="CG449" i="1"/>
  <c r="CG450" i="1"/>
  <c r="CG451" i="1"/>
  <c r="CG452" i="1"/>
  <c r="CG453" i="1"/>
  <c r="CG454" i="1"/>
  <c r="CG455" i="1"/>
  <c r="CG456" i="1"/>
  <c r="CG457" i="1"/>
  <c r="CG458" i="1"/>
  <c r="CG459" i="1"/>
  <c r="CG460" i="1"/>
  <c r="CG461" i="1"/>
  <c r="CG462" i="1"/>
  <c r="CG463" i="1"/>
  <c r="CG464" i="1"/>
  <c r="CG465" i="1"/>
  <c r="CG466" i="1"/>
  <c r="CG467" i="1"/>
  <c r="CG468" i="1"/>
  <c r="CG469" i="1"/>
  <c r="CG470" i="1"/>
  <c r="CG471" i="1"/>
  <c r="CG472" i="1"/>
  <c r="CG473" i="1"/>
  <c r="CG474" i="1"/>
  <c r="CG475" i="1"/>
  <c r="CG476" i="1"/>
  <c r="CG477" i="1"/>
  <c r="CG478" i="1"/>
  <c r="CG479" i="1"/>
  <c r="CG480" i="1"/>
  <c r="CG481" i="1"/>
  <c r="CG482" i="1"/>
  <c r="CG483" i="1"/>
  <c r="CG484" i="1"/>
  <c r="CG485" i="1"/>
  <c r="CG486" i="1"/>
  <c r="CG487" i="1"/>
  <c r="CG488" i="1"/>
  <c r="CG489" i="1"/>
  <c r="CG490" i="1"/>
  <c r="CG491" i="1"/>
  <c r="CG492" i="1"/>
  <c r="CG493" i="1"/>
  <c r="CG494" i="1"/>
  <c r="CG495" i="1"/>
  <c r="CG496" i="1"/>
  <c r="CG497" i="1"/>
  <c r="CG498" i="1"/>
  <c r="CG499" i="1"/>
  <c r="CG500" i="1"/>
  <c r="CG501" i="1"/>
  <c r="CG502" i="1"/>
  <c r="CG503" i="1"/>
  <c r="CG504" i="1"/>
  <c r="CG505" i="1"/>
  <c r="CG506" i="1"/>
  <c r="CG507" i="1"/>
  <c r="CG508" i="1"/>
  <c r="CG509" i="1"/>
  <c r="CG510" i="1"/>
  <c r="CG511" i="1"/>
  <c r="CG512" i="1"/>
  <c r="CG513" i="1"/>
  <c r="CG514" i="1"/>
  <c r="CG515" i="1"/>
  <c r="CG516" i="1"/>
  <c r="CG517" i="1"/>
  <c r="CG518" i="1"/>
  <c r="CG519" i="1"/>
  <c r="CG520" i="1"/>
  <c r="CG521" i="1"/>
  <c r="CG522" i="1"/>
  <c r="CG523" i="1"/>
  <c r="CG524" i="1"/>
  <c r="CG525" i="1"/>
  <c r="CG526" i="1"/>
  <c r="CG527" i="1"/>
  <c r="CG528" i="1"/>
  <c r="CG529" i="1"/>
  <c r="CG530" i="1"/>
  <c r="CG531" i="1"/>
  <c r="CG532" i="1"/>
  <c r="CG533" i="1"/>
  <c r="CG534" i="1"/>
  <c r="CG535" i="1"/>
  <c r="CG536" i="1"/>
  <c r="CG537" i="1"/>
  <c r="CG538" i="1"/>
  <c r="CG539" i="1"/>
  <c r="CG540" i="1"/>
  <c r="CG541" i="1"/>
  <c r="CG542" i="1"/>
  <c r="CG543" i="1"/>
  <c r="CG544" i="1"/>
  <c r="CG545" i="1"/>
  <c r="CG546" i="1"/>
  <c r="CG547" i="1"/>
  <c r="CG548" i="1"/>
  <c r="CG549" i="1"/>
  <c r="CG550" i="1"/>
  <c r="CG551" i="1"/>
  <c r="CG552" i="1"/>
  <c r="CG553" i="1"/>
  <c r="CG554" i="1"/>
  <c r="CG555" i="1"/>
  <c r="CG556" i="1"/>
  <c r="CG557" i="1"/>
  <c r="CG558" i="1"/>
  <c r="CG559" i="1"/>
  <c r="CG560" i="1"/>
  <c r="CG561" i="1"/>
  <c r="CG562" i="1"/>
  <c r="CG563" i="1"/>
  <c r="CG564" i="1"/>
  <c r="CG565" i="1"/>
  <c r="CG566" i="1"/>
  <c r="CG567" i="1"/>
  <c r="CG568" i="1"/>
  <c r="CG569" i="1"/>
  <c r="CG570" i="1"/>
  <c r="CG571" i="1"/>
  <c r="CG572" i="1"/>
  <c r="CG573" i="1"/>
  <c r="CG574" i="1"/>
  <c r="CG575" i="1"/>
  <c r="CG576" i="1"/>
  <c r="CG577" i="1"/>
  <c r="CG578" i="1"/>
  <c r="CG579" i="1"/>
  <c r="CG580" i="1"/>
  <c r="CG581" i="1"/>
  <c r="CG582" i="1"/>
  <c r="CG583" i="1"/>
  <c r="CG584" i="1"/>
  <c r="CG585" i="1"/>
  <c r="CG586" i="1"/>
  <c r="CG587" i="1"/>
  <c r="CG588" i="1"/>
  <c r="CG589" i="1"/>
  <c r="CG590" i="1"/>
  <c r="CG591" i="1"/>
  <c r="CG592" i="1"/>
  <c r="CG593" i="1"/>
  <c r="CG594" i="1"/>
  <c r="CG595" i="1"/>
  <c r="CG596" i="1"/>
  <c r="CG597" i="1"/>
  <c r="CG598" i="1"/>
  <c r="CG599" i="1"/>
  <c r="CG600" i="1"/>
  <c r="CG601" i="1"/>
  <c r="CG602" i="1"/>
  <c r="CG603" i="1"/>
  <c r="CG604" i="1"/>
  <c r="CG605" i="1"/>
  <c r="CG606" i="1"/>
  <c r="CG607" i="1"/>
  <c r="CG608" i="1"/>
  <c r="CG609" i="1"/>
  <c r="CG610" i="1"/>
  <c r="CG611" i="1"/>
  <c r="CG612" i="1"/>
  <c r="CG613" i="1"/>
  <c r="CG614" i="1"/>
  <c r="CG615" i="1"/>
  <c r="CG616" i="1"/>
  <c r="CG617" i="1"/>
  <c r="CG618" i="1"/>
  <c r="CG619" i="1"/>
  <c r="CG620" i="1"/>
  <c r="CG621" i="1"/>
  <c r="CG622" i="1"/>
  <c r="CG623" i="1"/>
  <c r="CG624" i="1"/>
  <c r="CG625" i="1"/>
  <c r="CG626" i="1"/>
  <c r="CG627" i="1"/>
  <c r="CG628" i="1"/>
  <c r="CG629" i="1"/>
  <c r="CG630" i="1"/>
  <c r="CG631" i="1"/>
  <c r="CG632" i="1"/>
  <c r="CG633" i="1"/>
  <c r="CG634" i="1"/>
  <c r="CG635" i="1"/>
  <c r="CG636" i="1"/>
  <c r="CG637" i="1"/>
  <c r="CG638" i="1"/>
  <c r="CG639" i="1"/>
  <c r="CG640" i="1"/>
  <c r="CG641" i="1"/>
  <c r="CG642" i="1"/>
  <c r="CG643" i="1"/>
  <c r="CG644" i="1"/>
  <c r="CG645" i="1"/>
  <c r="CG646" i="1"/>
  <c r="CG647" i="1"/>
  <c r="CG648" i="1"/>
  <c r="CG649" i="1"/>
  <c r="CG650" i="1"/>
  <c r="CG651" i="1"/>
  <c r="CG652" i="1"/>
  <c r="CG653" i="1"/>
  <c r="CG654" i="1"/>
  <c r="CG655" i="1"/>
  <c r="CG656" i="1"/>
  <c r="CG657" i="1"/>
  <c r="CG658" i="1"/>
  <c r="CG659" i="1"/>
  <c r="CG660" i="1"/>
  <c r="CG661" i="1"/>
  <c r="CG662" i="1"/>
  <c r="CG663" i="1"/>
  <c r="CG664" i="1"/>
  <c r="CG665" i="1"/>
  <c r="CG666" i="1"/>
  <c r="CG667" i="1"/>
  <c r="CG668" i="1"/>
  <c r="CG669" i="1"/>
  <c r="CG670" i="1"/>
  <c r="CG671" i="1"/>
  <c r="CG672" i="1"/>
  <c r="CG673" i="1"/>
  <c r="CG674" i="1"/>
  <c r="CG675" i="1"/>
  <c r="CG676" i="1"/>
  <c r="CG677" i="1"/>
  <c r="CG678" i="1"/>
  <c r="CG679" i="1"/>
  <c r="CG680" i="1"/>
  <c r="CG681" i="1"/>
  <c r="CG682" i="1"/>
  <c r="CG683" i="1"/>
  <c r="CG684" i="1"/>
  <c r="CG685" i="1"/>
  <c r="CG686" i="1"/>
  <c r="CG687" i="1"/>
  <c r="CG688" i="1"/>
  <c r="CG689" i="1"/>
  <c r="CG690" i="1"/>
  <c r="CG691" i="1"/>
  <c r="CG692" i="1"/>
  <c r="CG693" i="1"/>
  <c r="CG694" i="1"/>
  <c r="CG695" i="1"/>
  <c r="CG696" i="1"/>
  <c r="CG697" i="1"/>
  <c r="CG698" i="1"/>
  <c r="CG699" i="1"/>
  <c r="CG700" i="1"/>
  <c r="CG701" i="1"/>
  <c r="CG702" i="1"/>
  <c r="CG703" i="1"/>
  <c r="CG704" i="1"/>
  <c r="CG705" i="1"/>
  <c r="CG706" i="1"/>
  <c r="CG707" i="1"/>
  <c r="CG708" i="1"/>
  <c r="CG709" i="1"/>
  <c r="CG710" i="1"/>
  <c r="CG711" i="1"/>
  <c r="CG712" i="1"/>
  <c r="CG713" i="1"/>
  <c r="CG714" i="1"/>
  <c r="CG715" i="1"/>
  <c r="CG716" i="1"/>
  <c r="CG717" i="1"/>
  <c r="CG718" i="1"/>
  <c r="CG719" i="1"/>
  <c r="CG720" i="1"/>
  <c r="CG721" i="1"/>
  <c r="CG722" i="1"/>
  <c r="CG723" i="1"/>
  <c r="CG724" i="1"/>
  <c r="CG725" i="1"/>
  <c r="CG726" i="1"/>
  <c r="CG727" i="1"/>
  <c r="CG728" i="1"/>
  <c r="CG729" i="1"/>
  <c r="CG730" i="1"/>
  <c r="CG731" i="1"/>
  <c r="CG732" i="1"/>
  <c r="CG733" i="1"/>
  <c r="CG734" i="1"/>
  <c r="CG735" i="1"/>
  <c r="CG736" i="1"/>
  <c r="CG737" i="1"/>
  <c r="CG738" i="1"/>
  <c r="CG739" i="1"/>
  <c r="CG740" i="1"/>
  <c r="CG741" i="1"/>
  <c r="CG742" i="1"/>
  <c r="CG743" i="1"/>
  <c r="CG744" i="1"/>
  <c r="CG745" i="1"/>
  <c r="CG746" i="1"/>
  <c r="CG747" i="1"/>
  <c r="CG748" i="1"/>
  <c r="CG749" i="1"/>
  <c r="CG750" i="1"/>
  <c r="CG751" i="1"/>
  <c r="CG752" i="1"/>
  <c r="CG753" i="1"/>
  <c r="CG754" i="1"/>
  <c r="CG755" i="1"/>
  <c r="CG756" i="1"/>
  <c r="CG757" i="1"/>
  <c r="CG758" i="1"/>
  <c r="CG759" i="1"/>
  <c r="CG760" i="1"/>
  <c r="CG761" i="1"/>
  <c r="CG762" i="1"/>
  <c r="CG763" i="1"/>
  <c r="CG764" i="1"/>
  <c r="CG765" i="1"/>
  <c r="CG766" i="1"/>
  <c r="CG767" i="1"/>
  <c r="CG768" i="1"/>
  <c r="CG769" i="1"/>
  <c r="CG770" i="1"/>
  <c r="CG771" i="1"/>
  <c r="CG772" i="1"/>
  <c r="CG773" i="1"/>
  <c r="CG774" i="1"/>
  <c r="CG775" i="1"/>
  <c r="CG776" i="1"/>
  <c r="CG777" i="1"/>
  <c r="CG778" i="1"/>
  <c r="CG779" i="1"/>
  <c r="CG780" i="1"/>
  <c r="CG781" i="1"/>
  <c r="CG782" i="1"/>
  <c r="CG783" i="1"/>
  <c r="CG784" i="1"/>
  <c r="CG785" i="1"/>
  <c r="CG786" i="1"/>
  <c r="CG787" i="1"/>
  <c r="CG788" i="1"/>
  <c r="CG789" i="1"/>
  <c r="CG790" i="1"/>
  <c r="CG791" i="1"/>
  <c r="CG792" i="1"/>
  <c r="CG793" i="1"/>
  <c r="CG794" i="1"/>
  <c r="CG795" i="1"/>
  <c r="CG796" i="1"/>
  <c r="CG797" i="1"/>
  <c r="CG798" i="1"/>
  <c r="CG799" i="1"/>
  <c r="CG800" i="1"/>
  <c r="CG801" i="1"/>
  <c r="CG802" i="1"/>
  <c r="CG803" i="1"/>
  <c r="CG804" i="1"/>
  <c r="CG805" i="1"/>
  <c r="CG806" i="1"/>
  <c r="CG807" i="1"/>
  <c r="CG808" i="1"/>
  <c r="CG809" i="1"/>
  <c r="CG810" i="1"/>
  <c r="CG811" i="1"/>
  <c r="CG812" i="1"/>
  <c r="CG813" i="1"/>
  <c r="CG814" i="1"/>
  <c r="CG815" i="1"/>
  <c r="CG816" i="1"/>
  <c r="CG817" i="1"/>
  <c r="CG818" i="1"/>
  <c r="CG819" i="1"/>
  <c r="CG820" i="1"/>
  <c r="CG821" i="1"/>
  <c r="CG822" i="1"/>
  <c r="CG823" i="1"/>
  <c r="CG824" i="1"/>
  <c r="CG825" i="1"/>
  <c r="CG826" i="1"/>
  <c r="CG827" i="1"/>
  <c r="CG828" i="1"/>
  <c r="CG829" i="1"/>
  <c r="CG830" i="1"/>
  <c r="CG831" i="1"/>
  <c r="CG832" i="1"/>
  <c r="CG833" i="1"/>
  <c r="CG834" i="1"/>
  <c r="CG835" i="1"/>
  <c r="CG836" i="1"/>
  <c r="CG837" i="1"/>
  <c r="CG838" i="1"/>
  <c r="CG839" i="1"/>
  <c r="CG840" i="1"/>
  <c r="CG841" i="1"/>
  <c r="CG842" i="1"/>
  <c r="CG843" i="1"/>
  <c r="CG844" i="1"/>
  <c r="CG845" i="1"/>
  <c r="CG846" i="1"/>
  <c r="CG847" i="1"/>
  <c r="CG848" i="1"/>
  <c r="CG849" i="1"/>
  <c r="CG850" i="1"/>
  <c r="CG851" i="1"/>
  <c r="CG852" i="1"/>
  <c r="CG853" i="1"/>
  <c r="CG854" i="1"/>
  <c r="CG855" i="1"/>
  <c r="CG856" i="1"/>
  <c r="CG857" i="1"/>
  <c r="CG858" i="1"/>
  <c r="CG859" i="1"/>
  <c r="CG860" i="1"/>
  <c r="CG861" i="1"/>
  <c r="CG862" i="1"/>
  <c r="CG863" i="1"/>
  <c r="CG864" i="1"/>
  <c r="CG865" i="1"/>
  <c r="CG866" i="1"/>
  <c r="CG867" i="1"/>
  <c r="CG868" i="1"/>
  <c r="CG869" i="1"/>
  <c r="CG870" i="1"/>
  <c r="CG871" i="1"/>
  <c r="CG872" i="1"/>
  <c r="CG873" i="1"/>
  <c r="CG874" i="1"/>
  <c r="CG875" i="1"/>
  <c r="CG876" i="1"/>
  <c r="CG877" i="1"/>
  <c r="CG878" i="1"/>
  <c r="CG879" i="1"/>
  <c r="CG880" i="1"/>
  <c r="CG881" i="1"/>
  <c r="CG882" i="1"/>
  <c r="CG883" i="1"/>
  <c r="CG884" i="1"/>
  <c r="CG885" i="1"/>
  <c r="CG886" i="1"/>
  <c r="CG887" i="1"/>
  <c r="CG888" i="1"/>
  <c r="CG889" i="1"/>
  <c r="CG890" i="1"/>
  <c r="CG891" i="1"/>
  <c r="CG892" i="1"/>
  <c r="CG893" i="1"/>
  <c r="CG894" i="1"/>
  <c r="CG895" i="1"/>
  <c r="CG896" i="1"/>
  <c r="CG897" i="1"/>
  <c r="CG898" i="1"/>
  <c r="CG899" i="1"/>
  <c r="CG900" i="1"/>
  <c r="CG901" i="1"/>
  <c r="CG902" i="1"/>
  <c r="CG903" i="1"/>
  <c r="CG904" i="1"/>
  <c r="CG905" i="1"/>
  <c r="CG906" i="1"/>
  <c r="CG907" i="1"/>
  <c r="CG908" i="1"/>
  <c r="CG909" i="1"/>
  <c r="CG910" i="1"/>
  <c r="CG911" i="1"/>
  <c r="CG912" i="1"/>
  <c r="CG913" i="1"/>
  <c r="CG914" i="1"/>
  <c r="CG915" i="1"/>
  <c r="CG916" i="1"/>
  <c r="CG917" i="1"/>
  <c r="CG918" i="1"/>
  <c r="CG919" i="1"/>
  <c r="CG920" i="1"/>
  <c r="CG921" i="1"/>
  <c r="CG922" i="1"/>
  <c r="CG923" i="1"/>
  <c r="CG924" i="1"/>
  <c r="CG925" i="1"/>
  <c r="CG926" i="1"/>
  <c r="CG927" i="1"/>
  <c r="CG928" i="1"/>
  <c r="CG929" i="1"/>
  <c r="CG930" i="1"/>
  <c r="CG931" i="1"/>
  <c r="CG932" i="1"/>
  <c r="CG933" i="1"/>
  <c r="CG934" i="1"/>
  <c r="CG935" i="1"/>
  <c r="CG936" i="1"/>
  <c r="CG937" i="1"/>
  <c r="CG938" i="1"/>
  <c r="CG939" i="1"/>
  <c r="CG940" i="1"/>
  <c r="CG941" i="1"/>
  <c r="CG942" i="1"/>
  <c r="CG943" i="1"/>
  <c r="CG944" i="1"/>
  <c r="CG945" i="1"/>
  <c r="CG946" i="1"/>
  <c r="CG947" i="1"/>
  <c r="CG948" i="1"/>
  <c r="CG949" i="1"/>
  <c r="CG950" i="1"/>
  <c r="CG951" i="1"/>
  <c r="CG952" i="1"/>
  <c r="CG953" i="1"/>
  <c r="CG954" i="1"/>
  <c r="CG955" i="1"/>
  <c r="CG956" i="1"/>
  <c r="CG957" i="1"/>
  <c r="CG958" i="1"/>
  <c r="CG959" i="1"/>
  <c r="CG960" i="1"/>
  <c r="CG961" i="1"/>
  <c r="CG962" i="1"/>
  <c r="CG963" i="1"/>
  <c r="CG964" i="1"/>
  <c r="CG965" i="1"/>
  <c r="CG966" i="1"/>
  <c r="CG967" i="1"/>
  <c r="CG968" i="1"/>
  <c r="CG969" i="1"/>
  <c r="CG970" i="1"/>
  <c r="CG971" i="1"/>
  <c r="CG972" i="1"/>
  <c r="CG973" i="1"/>
  <c r="CG974" i="1"/>
  <c r="CG975" i="1"/>
  <c r="CG976" i="1"/>
  <c r="CG977" i="1"/>
  <c r="CG978" i="1"/>
  <c r="CG979" i="1"/>
  <c r="CG980" i="1"/>
  <c r="CG981" i="1"/>
  <c r="CG982" i="1"/>
  <c r="CG983" i="1"/>
  <c r="CG984" i="1"/>
  <c r="CG985" i="1"/>
  <c r="CG986" i="1"/>
  <c r="CG987" i="1"/>
  <c r="CG988" i="1"/>
  <c r="CG989" i="1"/>
  <c r="CG990" i="1"/>
  <c r="CG991" i="1"/>
  <c r="CG992" i="1"/>
  <c r="CG993" i="1"/>
  <c r="CG994" i="1"/>
  <c r="CG995" i="1"/>
  <c r="CG996" i="1"/>
  <c r="CG997" i="1"/>
  <c r="CG998" i="1"/>
  <c r="CG999" i="1"/>
  <c r="CG1000" i="1"/>
  <c r="CG1001" i="1"/>
  <c r="CG1002" i="1"/>
  <c r="CG1003" i="1"/>
  <c r="CG1004" i="1"/>
  <c r="CG1005" i="1"/>
  <c r="CG1006" i="1"/>
  <c r="CG1007" i="1"/>
  <c r="CG1008" i="1"/>
  <c r="CG1009" i="1"/>
  <c r="CG1010" i="1"/>
  <c r="CG1011" i="1"/>
  <c r="CG1012" i="1"/>
  <c r="CG1013" i="1"/>
  <c r="CG1014" i="1"/>
  <c r="CG1015" i="1"/>
  <c r="CG1016" i="1"/>
  <c r="CG1017" i="1"/>
  <c r="CG1018" i="1"/>
  <c r="CG1019" i="1"/>
  <c r="CG1020" i="1"/>
  <c r="CG1021" i="1"/>
  <c r="CG1022" i="1"/>
  <c r="CG1023" i="1"/>
  <c r="CG1024" i="1"/>
  <c r="CG1025" i="1"/>
  <c r="CG1026" i="1"/>
  <c r="CG1027" i="1"/>
  <c r="CG1028" i="1"/>
  <c r="CG1029" i="1"/>
  <c r="CG1030" i="1"/>
  <c r="CG1031" i="1"/>
  <c r="CG1032" i="1"/>
  <c r="CG1033" i="1"/>
  <c r="CG1034" i="1"/>
  <c r="CG1035" i="1"/>
  <c r="CG1036" i="1"/>
  <c r="CG1037" i="1"/>
  <c r="CG1038" i="1"/>
  <c r="CG1039" i="1"/>
  <c r="CG1040" i="1"/>
  <c r="CG1041" i="1"/>
  <c r="CG1042" i="1"/>
  <c r="CG1043" i="1"/>
  <c r="CG1044" i="1"/>
  <c r="CG1045" i="1"/>
  <c r="CG1046" i="1"/>
  <c r="CG1047" i="1"/>
  <c r="CG1048" i="1"/>
  <c r="CG1049" i="1"/>
  <c r="CG1050" i="1"/>
  <c r="CG1051" i="1"/>
  <c r="CG1052" i="1"/>
  <c r="CG1053" i="1"/>
  <c r="CG1054" i="1"/>
  <c r="CG1055" i="1"/>
  <c r="CG1056" i="1"/>
  <c r="CG1057" i="1"/>
  <c r="CG1058" i="1"/>
  <c r="CG1059" i="1"/>
  <c r="CG1060" i="1"/>
  <c r="CG1061" i="1"/>
  <c r="CG1062" i="1"/>
  <c r="CG1063" i="1"/>
  <c r="CG1064" i="1"/>
  <c r="CG1065" i="1"/>
  <c r="CG1066" i="1"/>
  <c r="CG1067" i="1"/>
  <c r="CG1068" i="1"/>
  <c r="CG1069" i="1"/>
  <c r="CG1070" i="1"/>
  <c r="CG1071" i="1"/>
  <c r="CG1072" i="1"/>
  <c r="CG1073" i="1"/>
  <c r="CG1074" i="1"/>
  <c r="CG1075" i="1"/>
  <c r="CG1076" i="1"/>
  <c r="CG1077" i="1"/>
  <c r="CG1078" i="1"/>
  <c r="CG1079" i="1"/>
  <c r="CG1080" i="1"/>
  <c r="CG1081" i="1"/>
  <c r="CG1082" i="1"/>
  <c r="CG1083" i="1"/>
  <c r="CG1084" i="1"/>
  <c r="CG1085" i="1"/>
  <c r="CG1086" i="1"/>
  <c r="CG1087" i="1"/>
  <c r="CG1088" i="1"/>
  <c r="CG1089" i="1"/>
  <c r="CG1090" i="1"/>
  <c r="CG1091" i="1"/>
  <c r="CG1092" i="1"/>
  <c r="CG1093" i="1"/>
  <c r="CG1094" i="1"/>
  <c r="CG1095" i="1"/>
  <c r="CG1096" i="1"/>
  <c r="CG1097" i="1"/>
  <c r="CG1098" i="1"/>
  <c r="CG1099" i="1"/>
  <c r="CG1100" i="1"/>
  <c r="CG1101" i="1"/>
  <c r="CG1102" i="1"/>
  <c r="CG1103" i="1"/>
  <c r="CG1104" i="1"/>
  <c r="CG1105" i="1"/>
  <c r="CG1106" i="1"/>
  <c r="CG1107" i="1"/>
  <c r="CG1108" i="1"/>
  <c r="CG1109" i="1"/>
  <c r="CG1110" i="1"/>
  <c r="CG1111" i="1"/>
  <c r="CG1112" i="1"/>
  <c r="CG1113" i="1"/>
  <c r="CG1114" i="1"/>
  <c r="CG1115" i="1"/>
  <c r="CG1116" i="1"/>
  <c r="CG1117" i="1"/>
  <c r="CG1118" i="1"/>
  <c r="CG1119" i="1"/>
  <c r="CG1120" i="1"/>
  <c r="CG1121" i="1"/>
  <c r="CG1122" i="1"/>
  <c r="CG1123" i="1"/>
  <c r="CG1124" i="1"/>
  <c r="CG1125" i="1"/>
  <c r="CG1127" i="1"/>
  <c r="CG1128" i="1"/>
  <c r="CG1129" i="1"/>
  <c r="CG1130" i="1"/>
  <c r="CG1131" i="1"/>
  <c r="CG1132" i="1"/>
  <c r="CG1133" i="1"/>
  <c r="CG1134" i="1"/>
  <c r="CG1135" i="1"/>
  <c r="CG3" i="1"/>
  <c r="CI5" i="1"/>
  <c r="CI6" i="1"/>
  <c r="CI7" i="1"/>
  <c r="CI11" i="1"/>
  <c r="CI13" i="1"/>
  <c r="CI14" i="1"/>
  <c r="CI15" i="1"/>
  <c r="CI18" i="1"/>
  <c r="CI20" i="1"/>
  <c r="CI24" i="1"/>
  <c r="CI29" i="1"/>
  <c r="CI32" i="1"/>
  <c r="CI33" i="1"/>
  <c r="CI36" i="1"/>
  <c r="CI37" i="1"/>
  <c r="CI38" i="1"/>
  <c r="CI39" i="1"/>
  <c r="CI40" i="1"/>
  <c r="CI41" i="1"/>
  <c r="CI44" i="1"/>
  <c r="CI46" i="1"/>
  <c r="CI51" i="1"/>
  <c r="CI56" i="1"/>
  <c r="CI60" i="1"/>
  <c r="CI68" i="1"/>
  <c r="CI76" i="1"/>
  <c r="CI77" i="1"/>
  <c r="CI78" i="1"/>
  <c r="CI79" i="1"/>
  <c r="CI80" i="1"/>
  <c r="CI86" i="1"/>
  <c r="CI87" i="1"/>
  <c r="CI89" i="1"/>
  <c r="CI90" i="1"/>
  <c r="CI101" i="1"/>
  <c r="CI102" i="1"/>
  <c r="CI107" i="1"/>
  <c r="CI111" i="1"/>
  <c r="CI112" i="1"/>
  <c r="CI118" i="1"/>
  <c r="CI119" i="1"/>
  <c r="CI120" i="1"/>
  <c r="CI124" i="1"/>
  <c r="CI125" i="1"/>
  <c r="CI130" i="1"/>
  <c r="CI131" i="1"/>
  <c r="CI134" i="1"/>
  <c r="CI135" i="1"/>
  <c r="CI136" i="1"/>
  <c r="CI138" i="1"/>
  <c r="CI142" i="1"/>
  <c r="CI146" i="1"/>
  <c r="CI148" i="1"/>
  <c r="CI154" i="1"/>
  <c r="CI159" i="1"/>
  <c r="CI166" i="1"/>
  <c r="CI167" i="1"/>
  <c r="CI172" i="1"/>
  <c r="CI173" i="1"/>
  <c r="CI174" i="1"/>
  <c r="CI175" i="1"/>
  <c r="CI177" i="1"/>
  <c r="CI180" i="1"/>
  <c r="CI181" i="1"/>
  <c r="CI183" i="1"/>
  <c r="CI190" i="1"/>
  <c r="CI191" i="1"/>
  <c r="CI192" i="1"/>
  <c r="CI193" i="1"/>
  <c r="CI194" i="1"/>
  <c r="CI195" i="1"/>
  <c r="CI196" i="1"/>
  <c r="CI197" i="1"/>
  <c r="CI198" i="1"/>
  <c r="CI201" i="1"/>
  <c r="CI206" i="1"/>
  <c r="CI208" i="1"/>
  <c r="CI210" i="1"/>
  <c r="CI211" i="1"/>
  <c r="CI217" i="1"/>
  <c r="CI219" i="1"/>
  <c r="CI220" i="1"/>
  <c r="CI223" i="1"/>
  <c r="CI228" i="1"/>
  <c r="CI231" i="1"/>
  <c r="CI239" i="1"/>
  <c r="CI241" i="1"/>
  <c r="CI244" i="1"/>
  <c r="CI245" i="1"/>
  <c r="CI248" i="1"/>
  <c r="CI249" i="1"/>
  <c r="CI250" i="1"/>
  <c r="CI255" i="1"/>
  <c r="CI256" i="1"/>
  <c r="CI261" i="1"/>
  <c r="CI262" i="1"/>
  <c r="CI264" i="1"/>
  <c r="CI265" i="1"/>
  <c r="CI266" i="1"/>
  <c r="CI269" i="1"/>
  <c r="CI276" i="1"/>
  <c r="CI279" i="1"/>
  <c r="CI280" i="1"/>
  <c r="CI281" i="1"/>
  <c r="CI282" i="1"/>
  <c r="CI283" i="1"/>
  <c r="CI284" i="1"/>
  <c r="CI285" i="1"/>
  <c r="CI286" i="1"/>
  <c r="CI287" i="1"/>
  <c r="CI288" i="1"/>
  <c r="CI289" i="1"/>
  <c r="CI290" i="1"/>
  <c r="CI291" i="1"/>
  <c r="CI292" i="1"/>
  <c r="CI294" i="1"/>
  <c r="CI295" i="1"/>
  <c r="CI296" i="1"/>
  <c r="CI297" i="1"/>
  <c r="CI298" i="1"/>
  <c r="CI299" i="1"/>
  <c r="CI300" i="1"/>
  <c r="CI301" i="1"/>
  <c r="CI302" i="1"/>
  <c r="CI303" i="1"/>
  <c r="CI304" i="1"/>
  <c r="CI305" i="1"/>
  <c r="CI306" i="1"/>
  <c r="CI307" i="1"/>
  <c r="CI308" i="1"/>
  <c r="CI309" i="1"/>
  <c r="CI310" i="1"/>
  <c r="CI311" i="1"/>
  <c r="CI325" i="1"/>
  <c r="CI326" i="1"/>
  <c r="CI327" i="1"/>
  <c r="CI328" i="1"/>
  <c r="CI338" i="1"/>
  <c r="CI339" i="1"/>
  <c r="CI345" i="1"/>
  <c r="CI347" i="1"/>
  <c r="CI350" i="1"/>
  <c r="CI352" i="1"/>
  <c r="CI354" i="1"/>
  <c r="CI357" i="1"/>
  <c r="CI363" i="1"/>
  <c r="CI364" i="1"/>
  <c r="CI365" i="1"/>
  <c r="CI368" i="1"/>
  <c r="CI370" i="1"/>
  <c r="CI373" i="1"/>
  <c r="CI380" i="1"/>
  <c r="CI381" i="1"/>
  <c r="CI383" i="1"/>
  <c r="CI385" i="1"/>
  <c r="CI386" i="1"/>
  <c r="CI391" i="1"/>
  <c r="CI393" i="1"/>
  <c r="CI394" i="1"/>
  <c r="CI396" i="1"/>
  <c r="CI398" i="1"/>
  <c r="CI400" i="1"/>
  <c r="CI405" i="1"/>
  <c r="CI406" i="1"/>
  <c r="CI408" i="1"/>
  <c r="CI410" i="1"/>
  <c r="CI416" i="1"/>
  <c r="CI417" i="1"/>
  <c r="CI418" i="1"/>
  <c r="CI424" i="1"/>
  <c r="CI429" i="1"/>
  <c r="CI431" i="1"/>
  <c r="CI433" i="1"/>
  <c r="CI434" i="1"/>
  <c r="CI436" i="1"/>
  <c r="CI439" i="1"/>
  <c r="CI441" i="1"/>
  <c r="CI442" i="1"/>
  <c r="CI446" i="1"/>
  <c r="CI448" i="1"/>
  <c r="CI452" i="1"/>
  <c r="CI453" i="1"/>
  <c r="CI456" i="1"/>
  <c r="CI461" i="1"/>
  <c r="CI463" i="1"/>
  <c r="CI467" i="1"/>
  <c r="CI474" i="1"/>
  <c r="CI477" i="1"/>
  <c r="CI479" i="1"/>
  <c r="CI483" i="1"/>
  <c r="CI487" i="1"/>
  <c r="CI488" i="1"/>
  <c r="CI492" i="1"/>
  <c r="CI500" i="1"/>
  <c r="CI501" i="1"/>
  <c r="CI505" i="1"/>
  <c r="CI506" i="1"/>
  <c r="CI508" i="1"/>
  <c r="CI510" i="1"/>
  <c r="CI513" i="1"/>
  <c r="CI518" i="1"/>
  <c r="CI522" i="1"/>
  <c r="CI525" i="1"/>
  <c r="CI526" i="1"/>
  <c r="CI529" i="1"/>
  <c r="CI531" i="1"/>
  <c r="CI532" i="1"/>
  <c r="CI539" i="1"/>
  <c r="CI540" i="1"/>
  <c r="CI542" i="1"/>
  <c r="CI545" i="1"/>
  <c r="CI546" i="1"/>
  <c r="CI548" i="1"/>
  <c r="CI550" i="1"/>
  <c r="CI559" i="1"/>
  <c r="CI560" i="1"/>
  <c r="CI566" i="1"/>
  <c r="CI567" i="1"/>
  <c r="CI573" i="1"/>
  <c r="CI574" i="1"/>
  <c r="CI575" i="1"/>
  <c r="CI576" i="1"/>
  <c r="CI577" i="1"/>
  <c r="CI581" i="1"/>
  <c r="CI582" i="1"/>
  <c r="CI583" i="1"/>
  <c r="CI584" i="1"/>
  <c r="CI585" i="1"/>
  <c r="CI586" i="1"/>
  <c r="CI588" i="1"/>
  <c r="CI589" i="1"/>
  <c r="CI590" i="1"/>
  <c r="CI591" i="1"/>
  <c r="CI592" i="1"/>
  <c r="CI595" i="1"/>
  <c r="CI597" i="1"/>
  <c r="CI600" i="1"/>
  <c r="CI604" i="1"/>
  <c r="CI610" i="1"/>
  <c r="CI611" i="1"/>
  <c r="CI614" i="1"/>
  <c r="CI615" i="1"/>
  <c r="CI618" i="1"/>
  <c r="CI621" i="1"/>
  <c r="CI622" i="1"/>
  <c r="CI630" i="1"/>
  <c r="CI631" i="1"/>
  <c r="CI637" i="1"/>
  <c r="CI638" i="1"/>
  <c r="CI639" i="1"/>
  <c r="CI640" i="1"/>
  <c r="CI641" i="1"/>
  <c r="CI642" i="1"/>
  <c r="CI643" i="1"/>
  <c r="CI644" i="1"/>
  <c r="CI645" i="1"/>
  <c r="CI646" i="1"/>
  <c r="CI649" i="1"/>
  <c r="CI650" i="1"/>
  <c r="CI653" i="1"/>
  <c r="CI654" i="1"/>
  <c r="CI660" i="1"/>
  <c r="CI662" i="1"/>
  <c r="CI663" i="1"/>
  <c r="CI667" i="1"/>
  <c r="CI668" i="1"/>
  <c r="CI674" i="1"/>
  <c r="CI676" i="1"/>
  <c r="CI677" i="1"/>
  <c r="CI678" i="1"/>
  <c r="CI681" i="1"/>
  <c r="CI682" i="1"/>
  <c r="CI684" i="1"/>
  <c r="CI688" i="1"/>
  <c r="CI690" i="1"/>
  <c r="CI691" i="1"/>
  <c r="CI692" i="1"/>
  <c r="CI697" i="1"/>
  <c r="CI702" i="1"/>
  <c r="CI706" i="1"/>
  <c r="CI707" i="1"/>
  <c r="CI712" i="1"/>
  <c r="CI717" i="1"/>
  <c r="CI720" i="1"/>
  <c r="CI723" i="1"/>
  <c r="CI726" i="1"/>
  <c r="CI727" i="1"/>
  <c r="CI730" i="1"/>
  <c r="CI737" i="1"/>
  <c r="CI740" i="1"/>
  <c r="CI743" i="1"/>
  <c r="CI745" i="1"/>
  <c r="CI750" i="1"/>
  <c r="CI751" i="1"/>
  <c r="CI754" i="1"/>
  <c r="CI755" i="1"/>
  <c r="CI759" i="1"/>
  <c r="CI764" i="1"/>
  <c r="CI766" i="1"/>
  <c r="CI768" i="1"/>
  <c r="CI769" i="1"/>
  <c r="CI770" i="1"/>
  <c r="CI772" i="1"/>
  <c r="CI773" i="1"/>
  <c r="CI775" i="1"/>
  <c r="CI779" i="1"/>
  <c r="CI784" i="1"/>
  <c r="CI785" i="1"/>
  <c r="CI786" i="1"/>
  <c r="CI787" i="1"/>
  <c r="CI790" i="1"/>
  <c r="CI791" i="1"/>
  <c r="CI792" i="1"/>
  <c r="CI797" i="1"/>
  <c r="CI798" i="1"/>
  <c r="CI800" i="1"/>
  <c r="CI813" i="1"/>
  <c r="CI814" i="1"/>
  <c r="CI816" i="1"/>
  <c r="CI818" i="1"/>
  <c r="CI823" i="1"/>
  <c r="CI827" i="1"/>
  <c r="CI834" i="1"/>
  <c r="CI837" i="1"/>
  <c r="CI843" i="1"/>
  <c r="CI844" i="1"/>
  <c r="CI849" i="1"/>
  <c r="CI850" i="1"/>
  <c r="CI851" i="1"/>
  <c r="CI855" i="1"/>
  <c r="CI857" i="1"/>
  <c r="CI859" i="1"/>
  <c r="CI861" i="1"/>
  <c r="CI864" i="1"/>
  <c r="CI866" i="1"/>
  <c r="CI867" i="1"/>
  <c r="CI868" i="1"/>
  <c r="CI869" i="1"/>
  <c r="CI870" i="1"/>
  <c r="CI872" i="1"/>
  <c r="CI873" i="1"/>
  <c r="CI876" i="1"/>
  <c r="CI879" i="1"/>
  <c r="CI884" i="1"/>
  <c r="CI897" i="1"/>
  <c r="CI898" i="1"/>
  <c r="CI909" i="1"/>
  <c r="CI910" i="1"/>
  <c r="CI917" i="1"/>
  <c r="CI920" i="1"/>
  <c r="CI924" i="1"/>
  <c r="CI927" i="1"/>
  <c r="CI928" i="1"/>
  <c r="CI934" i="1"/>
  <c r="CI935" i="1"/>
  <c r="CI938" i="1"/>
  <c r="CI942" i="1"/>
  <c r="CI945" i="1"/>
  <c r="CI946" i="1"/>
  <c r="CI948" i="1"/>
  <c r="CI951" i="1"/>
  <c r="CI955" i="1"/>
  <c r="CI958" i="1"/>
  <c r="CI968" i="1"/>
  <c r="CI970" i="1"/>
  <c r="CI971" i="1"/>
  <c r="CI972" i="1"/>
  <c r="CI973" i="1"/>
  <c r="CI976" i="1"/>
  <c r="CI981" i="1"/>
  <c r="CI982" i="1"/>
  <c r="CI987" i="1"/>
  <c r="CI990" i="1"/>
  <c r="CI992" i="1"/>
  <c r="CI994" i="1"/>
  <c r="CI995" i="1"/>
  <c r="CI996" i="1"/>
  <c r="CI1002" i="1"/>
  <c r="CI1003" i="1"/>
  <c r="CI1009" i="1"/>
  <c r="CI1011" i="1"/>
  <c r="CI1013" i="1"/>
  <c r="CI1018" i="1"/>
  <c r="CI1021" i="1"/>
  <c r="CI1023" i="1"/>
  <c r="CI1027" i="1"/>
  <c r="CI1032" i="1"/>
  <c r="CI1033" i="1"/>
  <c r="CI1041" i="1"/>
  <c r="CI1042" i="1"/>
  <c r="CI1049" i="1"/>
  <c r="CI1051" i="1"/>
  <c r="CI1054" i="1"/>
  <c r="CI1055" i="1"/>
  <c r="CI1056" i="1"/>
  <c r="CI1061" i="1"/>
  <c r="CI1062" i="1"/>
  <c r="CI1063" i="1"/>
  <c r="CI1066" i="1"/>
  <c r="CI1067" i="1"/>
  <c r="CI1068" i="1"/>
  <c r="CI1069" i="1"/>
  <c r="CI1070" i="1"/>
  <c r="CI1071" i="1"/>
  <c r="CI1072" i="1"/>
  <c r="CI1077" i="1"/>
  <c r="CI1080" i="1"/>
  <c r="CI1085" i="1"/>
  <c r="CI1087" i="1"/>
  <c r="CI1089" i="1"/>
  <c r="CI1090" i="1"/>
  <c r="CI1092" i="1"/>
  <c r="CI1093" i="1"/>
  <c r="CI1094" i="1"/>
  <c r="CI1095" i="1"/>
  <c r="CI1100" i="1"/>
  <c r="CI1103" i="1"/>
  <c r="CI1104" i="1"/>
  <c r="CI1107" i="1"/>
  <c r="CI1109" i="1"/>
  <c r="CI1112" i="1"/>
  <c r="CI1113" i="1"/>
  <c r="CI1114" i="1"/>
  <c r="CI1116" i="1"/>
  <c r="CI1117" i="1"/>
  <c r="CI1120" i="1"/>
  <c r="CI1122" i="1"/>
  <c r="CI1124" i="1"/>
  <c r="CI1125" i="1"/>
  <c r="CI1127" i="1"/>
  <c r="CI1133" i="1"/>
  <c r="CI3" i="1"/>
  <c r="CG1136" i="1" l="1"/>
  <c r="CE1136" i="1" l="1"/>
  <c r="AW1139" i="1" l="1"/>
  <c r="CF1136" i="1"/>
  <c r="CD1136" i="1"/>
  <c r="CC1136" i="1"/>
  <c r="CB1136" i="1"/>
  <c r="CA1136" i="1"/>
  <c r="BZ1136" i="1"/>
  <c r="BY1136" i="1"/>
  <c r="BX1136" i="1"/>
  <c r="BW1136" i="1"/>
  <c r="BV1136" i="1"/>
  <c r="BU1136" i="1"/>
  <c r="BT1136" i="1"/>
  <c r="BS1136" i="1"/>
  <c r="BR1136" i="1"/>
  <c r="BQ1136" i="1"/>
  <c r="BP1136" i="1"/>
  <c r="BO1136" i="1"/>
  <c r="BN1136" i="1"/>
  <c r="BM1136" i="1"/>
  <c r="BL1136" i="1"/>
  <c r="BK1136" i="1"/>
  <c r="BJ1136" i="1"/>
  <c r="BI1136" i="1"/>
  <c r="BH1136" i="1"/>
  <c r="BG1136" i="1"/>
  <c r="BF1136" i="1"/>
  <c r="BE1136" i="1"/>
  <c r="BD1136" i="1"/>
  <c r="AZ1136" i="1"/>
  <c r="AY1136" i="1"/>
  <c r="AX1136" i="1"/>
  <c r="AW1136" i="1"/>
  <c r="AV1136" i="1"/>
  <c r="AU1136" i="1"/>
  <c r="AT1136" i="1"/>
  <c r="AS1136" i="1"/>
  <c r="AR1136" i="1"/>
  <c r="AQ1136" i="1"/>
  <c r="AP1136" i="1"/>
  <c r="AO1136" i="1"/>
  <c r="AM1136" i="1"/>
  <c r="AL1136" i="1"/>
  <c r="AK1136" i="1"/>
  <c r="AJ1136" i="1"/>
  <c r="AI1136" i="1"/>
  <c r="AH1136" i="1"/>
  <c r="AG1136" i="1"/>
  <c r="AF1136" i="1"/>
  <c r="AE1136" i="1"/>
  <c r="AD1136" i="1"/>
  <c r="AB1136" i="1"/>
  <c r="AA1136" i="1"/>
  <c r="Z1136" i="1"/>
  <c r="Y1136" i="1"/>
  <c r="X1136" i="1"/>
  <c r="W1136" i="1"/>
  <c r="V1136" i="1"/>
  <c r="T1136" i="1"/>
  <c r="S1136" i="1"/>
  <c r="R1136" i="1"/>
  <c r="Q1136" i="1"/>
  <c r="O1136" i="1"/>
  <c r="N1136" i="1"/>
  <c r="L1136" i="1"/>
  <c r="K1136" i="1"/>
  <c r="J1136" i="1"/>
  <c r="I1136" i="1"/>
  <c r="H1136" i="1"/>
  <c r="G1136" i="1"/>
  <c r="F1136" i="1"/>
  <c r="DH1135" i="1"/>
  <c r="DG1135" i="1"/>
  <c r="DF1135" i="1"/>
  <c r="CH1135" i="1"/>
  <c r="BA1135" i="1"/>
  <c r="CI1135" i="1" s="1"/>
  <c r="U1135" i="1"/>
  <c r="AN1135" i="1" s="1"/>
  <c r="CH1134" i="1"/>
  <c r="BA1134" i="1"/>
  <c r="CI1134" i="1" s="1"/>
  <c r="S1134" i="1"/>
  <c r="Q1134" i="1"/>
  <c r="M1134" i="1"/>
  <c r="U1134" i="1" s="1"/>
  <c r="AC1134" i="1" s="1"/>
  <c r="AN1134" i="1" s="1"/>
  <c r="CH1133" i="1"/>
  <c r="U1133" i="1"/>
  <c r="AN1133" i="1" s="1"/>
  <c r="BC1133" i="1" s="1"/>
  <c r="CH1132" i="1"/>
  <c r="BA1132" i="1"/>
  <c r="CI1132" i="1" s="1"/>
  <c r="U1132" i="1"/>
  <c r="CH1131" i="1"/>
  <c r="BA1131" i="1"/>
  <c r="CI1131" i="1" s="1"/>
  <c r="U1131" i="1"/>
  <c r="AN1131" i="1" s="1"/>
  <c r="CH1130" i="1"/>
  <c r="BA1130" i="1"/>
  <c r="CI1130" i="1" s="1"/>
  <c r="U1130" i="1"/>
  <c r="AN1130" i="1" s="1"/>
  <c r="CH1129" i="1"/>
  <c r="BA1129" i="1"/>
  <c r="CI1129" i="1" s="1"/>
  <c r="U1129" i="1"/>
  <c r="CH1128" i="1"/>
  <c r="BA1128" i="1"/>
  <c r="CI1128" i="1" s="1"/>
  <c r="U1128" i="1"/>
  <c r="CH1127" i="1"/>
  <c r="U1127" i="1"/>
  <c r="AN1127" i="1" s="1"/>
  <c r="BC1127" i="1" s="1"/>
  <c r="CH1126" i="1"/>
  <c r="S1126" i="1"/>
  <c r="Q1126" i="1"/>
  <c r="M1126" i="1"/>
  <c r="U1126" i="1" s="1"/>
  <c r="AC1126" i="1" s="1"/>
  <c r="AN1126" i="1" s="1"/>
  <c r="BC1126" i="1" s="1"/>
  <c r="CH1125" i="1"/>
  <c r="U1125" i="1"/>
  <c r="AN1125" i="1" s="1"/>
  <c r="BC1125" i="1" s="1"/>
  <c r="CH1124" i="1"/>
  <c r="S1124" i="1"/>
  <c r="Q1124" i="1"/>
  <c r="M1124" i="1"/>
  <c r="U1124" i="1" s="1"/>
  <c r="AC1124" i="1" s="1"/>
  <c r="AN1124" i="1" s="1"/>
  <c r="BC1124" i="1" s="1"/>
  <c r="CH1123" i="1"/>
  <c r="BA1123" i="1"/>
  <c r="CI1123" i="1" s="1"/>
  <c r="U1123" i="1"/>
  <c r="CH1122" i="1"/>
  <c r="U1122" i="1"/>
  <c r="AN1122" i="1" s="1"/>
  <c r="BC1122" i="1" s="1"/>
  <c r="CH1121" i="1"/>
  <c r="BB1121" i="1"/>
  <c r="BA1121" i="1"/>
  <c r="U1121" i="1"/>
  <c r="AN1121" i="1" s="1"/>
  <c r="CJ1120" i="1"/>
  <c r="U1120" i="1"/>
  <c r="AN1120" i="1" s="1"/>
  <c r="BC1120" i="1" s="1"/>
  <c r="BA1119" i="1"/>
  <c r="CI1119" i="1" s="1"/>
  <c r="U1119" i="1"/>
  <c r="CH1118" i="1"/>
  <c r="BA1118" i="1"/>
  <c r="CI1118" i="1" s="1"/>
  <c r="U1118" i="1"/>
  <c r="AN1118" i="1" s="1"/>
  <c r="CH1117" i="1"/>
  <c r="U1117" i="1"/>
  <c r="AN1117" i="1" s="1"/>
  <c r="BC1117" i="1" s="1"/>
  <c r="CH1116" i="1"/>
  <c r="U1116" i="1"/>
  <c r="AN1116" i="1" s="1"/>
  <c r="BC1116" i="1" s="1"/>
  <c r="CH1115" i="1"/>
  <c r="BA1115" i="1"/>
  <c r="CI1115" i="1" s="1"/>
  <c r="U1115" i="1"/>
  <c r="AN1115" i="1" s="1"/>
  <c r="CH1114" i="1"/>
  <c r="U1114" i="1"/>
  <c r="AN1114" i="1" s="1"/>
  <c r="BC1114" i="1" s="1"/>
  <c r="CH1113" i="1"/>
  <c r="U1113" i="1"/>
  <c r="AN1113" i="1" s="1"/>
  <c r="BC1113" i="1" s="1"/>
  <c r="CH1112" i="1"/>
  <c r="U1112" i="1"/>
  <c r="AN1112" i="1" s="1"/>
  <c r="BC1112" i="1" s="1"/>
  <c r="CH1111" i="1"/>
  <c r="BA1111" i="1"/>
  <c r="CI1111" i="1" s="1"/>
  <c r="S1111" i="1"/>
  <c r="Q1111" i="1"/>
  <c r="M1111" i="1"/>
  <c r="U1111" i="1" s="1"/>
  <c r="AC1111" i="1" s="1"/>
  <c r="AN1111" i="1" s="1"/>
  <c r="I1111" i="1"/>
  <c r="CH1110" i="1"/>
  <c r="BA1110" i="1"/>
  <c r="CI1110" i="1" s="1"/>
  <c r="U1110" i="1"/>
  <c r="CH1109" i="1"/>
  <c r="U1109" i="1"/>
  <c r="AN1109" i="1" s="1"/>
  <c r="BC1109" i="1" s="1"/>
  <c r="CH1108" i="1"/>
  <c r="BA1108" i="1"/>
  <c r="U1108" i="1"/>
  <c r="CH1107" i="1"/>
  <c r="U1107" i="1"/>
  <c r="AN1107" i="1" s="1"/>
  <c r="BC1107" i="1" s="1"/>
  <c r="CH1106" i="1"/>
  <c r="BB1106" i="1"/>
  <c r="CI1106" i="1" s="1"/>
  <c r="U1106" i="1"/>
  <c r="AN1106" i="1" s="1"/>
  <c r="CH1105" i="1"/>
  <c r="BA1105" i="1"/>
  <c r="CI1105" i="1" s="1"/>
  <c r="U1105" i="1"/>
  <c r="AN1105" i="1" s="1"/>
  <c r="CH1104" i="1"/>
  <c r="U1104" i="1"/>
  <c r="AN1104" i="1" s="1"/>
  <c r="BC1104" i="1" s="1"/>
  <c r="CH1103" i="1"/>
  <c r="U1103" i="1"/>
  <c r="AN1103" i="1" s="1"/>
  <c r="BC1103" i="1" s="1"/>
  <c r="CH1102" i="1"/>
  <c r="BA1102" i="1"/>
  <c r="CI1102" i="1" s="1"/>
  <c r="U1102" i="1"/>
  <c r="AN1102" i="1" s="1"/>
  <c r="CH1101" i="1"/>
  <c r="BA1101" i="1"/>
  <c r="CI1101" i="1" s="1"/>
  <c r="U1101" i="1"/>
  <c r="CH1100" i="1"/>
  <c r="U1100" i="1"/>
  <c r="AN1100" i="1" s="1"/>
  <c r="BC1100" i="1" s="1"/>
  <c r="CH1099" i="1"/>
  <c r="BA1099" i="1"/>
  <c r="CI1099" i="1" s="1"/>
  <c r="U1099" i="1"/>
  <c r="AN1099" i="1" s="1"/>
  <c r="CH1098" i="1"/>
  <c r="BA1098" i="1"/>
  <c r="CI1098" i="1" s="1"/>
  <c r="U1098" i="1"/>
  <c r="AN1098" i="1" s="1"/>
  <c r="CH1097" i="1"/>
  <c r="BA1097" i="1"/>
  <c r="CI1097" i="1" s="1"/>
  <c r="U1097" i="1"/>
  <c r="AN1097" i="1" s="1"/>
  <c r="CH1096" i="1"/>
  <c r="BA1096" i="1"/>
  <c r="CI1096" i="1" s="1"/>
  <c r="U1096" i="1"/>
  <c r="CH1095" i="1"/>
  <c r="U1095" i="1"/>
  <c r="AN1095" i="1" s="1"/>
  <c r="BC1095" i="1" s="1"/>
  <c r="CJ1094" i="1"/>
  <c r="U1094" i="1"/>
  <c r="AN1094" i="1" s="1"/>
  <c r="BC1094" i="1" s="1"/>
  <c r="CH1093" i="1"/>
  <c r="U1093" i="1"/>
  <c r="AN1093" i="1" s="1"/>
  <c r="BC1093" i="1" s="1"/>
  <c r="CH1092" i="1"/>
  <c r="U1092" i="1"/>
  <c r="AN1092" i="1" s="1"/>
  <c r="BC1092" i="1" s="1"/>
  <c r="CH1091" i="1"/>
  <c r="BA1091" i="1"/>
  <c r="U1091" i="1"/>
  <c r="CJ1090" i="1"/>
  <c r="U1090" i="1"/>
  <c r="AN1090" i="1" s="1"/>
  <c r="BC1090" i="1" s="1"/>
  <c r="CH1089" i="1"/>
  <c r="U1089" i="1"/>
  <c r="AN1089" i="1" s="1"/>
  <c r="BC1089" i="1" s="1"/>
  <c r="CH1088" i="1"/>
  <c r="BA1088" i="1"/>
  <c r="CI1088" i="1" s="1"/>
  <c r="U1088" i="1"/>
  <c r="AN1088" i="1" s="1"/>
  <c r="CH1087" i="1"/>
  <c r="U1087" i="1"/>
  <c r="AN1087" i="1" s="1"/>
  <c r="BC1087" i="1" s="1"/>
  <c r="CH1086" i="1"/>
  <c r="BA1086" i="1"/>
  <c r="CI1086" i="1" s="1"/>
  <c r="U1086" i="1"/>
  <c r="AN1086" i="1" s="1"/>
  <c r="CH1085" i="1"/>
  <c r="U1085" i="1"/>
  <c r="AN1085" i="1" s="1"/>
  <c r="BC1085" i="1" s="1"/>
  <c r="CH1084" i="1"/>
  <c r="BA1084" i="1"/>
  <c r="CI1084" i="1" s="1"/>
  <c r="U1084" i="1"/>
  <c r="CH1083" i="1"/>
  <c r="BA1083" i="1"/>
  <c r="CI1083" i="1" s="1"/>
  <c r="U1083" i="1"/>
  <c r="AN1083" i="1" s="1"/>
  <c r="CH1082" i="1"/>
  <c r="BA1082" i="1"/>
  <c r="U1082" i="1"/>
  <c r="CH1081" i="1"/>
  <c r="BB1081" i="1"/>
  <c r="BA1081" i="1"/>
  <c r="CI1081" i="1" s="1"/>
  <c r="S1081" i="1"/>
  <c r="Q1081" i="1"/>
  <c r="M1081" i="1"/>
  <c r="U1081" i="1" s="1"/>
  <c r="AC1081" i="1" s="1"/>
  <c r="AN1081" i="1" s="1"/>
  <c r="I1081" i="1"/>
  <c r="CH1080" i="1"/>
  <c r="U1080" i="1"/>
  <c r="AN1080" i="1" s="1"/>
  <c r="BC1080" i="1" s="1"/>
  <c r="CH1079" i="1"/>
  <c r="BA1079" i="1"/>
  <c r="CI1079" i="1" s="1"/>
  <c r="U1079" i="1"/>
  <c r="AN1079" i="1" s="1"/>
  <c r="CH1078" i="1"/>
  <c r="BA1078" i="1"/>
  <c r="CI1078" i="1" s="1"/>
  <c r="U1078" i="1"/>
  <c r="AN1078" i="1" s="1"/>
  <c r="CH1077" i="1"/>
  <c r="U1077" i="1"/>
  <c r="AN1077" i="1" s="1"/>
  <c r="BC1077" i="1" s="1"/>
  <c r="CH1076" i="1"/>
  <c r="BA1076" i="1"/>
  <c r="CI1076" i="1" s="1"/>
  <c r="U1076" i="1"/>
  <c r="CH1075" i="1"/>
  <c r="BB1075" i="1"/>
  <c r="CI1075" i="1" s="1"/>
  <c r="U1075" i="1"/>
  <c r="AN1075" i="1" s="1"/>
  <c r="CH1074" i="1"/>
  <c r="BA1074" i="1"/>
  <c r="CI1074" i="1" s="1"/>
  <c r="U1074" i="1"/>
  <c r="CH1073" i="1"/>
  <c r="BA1073" i="1"/>
  <c r="U1073" i="1"/>
  <c r="CH1072" i="1"/>
  <c r="U1072" i="1"/>
  <c r="AN1072" i="1" s="1"/>
  <c r="BC1072" i="1" s="1"/>
  <c r="CH1071" i="1"/>
  <c r="Y1071" i="1"/>
  <c r="S1071" i="1"/>
  <c r="Q1071" i="1"/>
  <c r="M1071" i="1"/>
  <c r="U1071" i="1" s="1"/>
  <c r="AC1071" i="1" s="1"/>
  <c r="AN1071" i="1" s="1"/>
  <c r="BC1071" i="1" s="1"/>
  <c r="I1071" i="1"/>
  <c r="CH1070" i="1"/>
  <c r="U1070" i="1"/>
  <c r="AN1070" i="1" s="1"/>
  <c r="BC1070" i="1" s="1"/>
  <c r="CH1069" i="1"/>
  <c r="U1069" i="1"/>
  <c r="AN1069" i="1" s="1"/>
  <c r="BC1069" i="1" s="1"/>
  <c r="CH1068" i="1"/>
  <c r="S1068" i="1"/>
  <c r="Q1068" i="1"/>
  <c r="M1068" i="1"/>
  <c r="U1068" i="1" s="1"/>
  <c r="AC1068" i="1" s="1"/>
  <c r="AN1068" i="1" s="1"/>
  <c r="BC1068" i="1" s="1"/>
  <c r="I1068" i="1"/>
  <c r="CJ1067" i="1"/>
  <c r="CK1067" i="1" s="1"/>
  <c r="U1067" i="1"/>
  <c r="AN1067" i="1" s="1"/>
  <c r="BC1067" i="1" s="1"/>
  <c r="CH1066" i="1"/>
  <c r="U1066" i="1"/>
  <c r="AN1066" i="1" s="1"/>
  <c r="BC1066" i="1" s="1"/>
  <c r="CH1065" i="1"/>
  <c r="BA1065" i="1"/>
  <c r="CI1065" i="1" s="1"/>
  <c r="U1065" i="1"/>
  <c r="CH1064" i="1"/>
  <c r="BA1064" i="1"/>
  <c r="CI1064" i="1" s="1"/>
  <c r="U1064" i="1"/>
  <c r="CJ1063" i="1"/>
  <c r="CK1063" i="1" s="1"/>
  <c r="U1063" i="1"/>
  <c r="AN1063" i="1" s="1"/>
  <c r="BC1063" i="1" s="1"/>
  <c r="CH1062" i="1"/>
  <c r="U1062" i="1"/>
  <c r="AN1062" i="1" s="1"/>
  <c r="BC1062" i="1" s="1"/>
  <c r="CJ1061" i="1"/>
  <c r="U1061" i="1"/>
  <c r="AN1061" i="1" s="1"/>
  <c r="BC1061" i="1" s="1"/>
  <c r="BA1060" i="1"/>
  <c r="U1060" i="1"/>
  <c r="CH1059" i="1"/>
  <c r="BA1059" i="1"/>
  <c r="CI1059" i="1" s="1"/>
  <c r="U1059" i="1"/>
  <c r="AN1059" i="1" s="1"/>
  <c r="CH1058" i="1"/>
  <c r="BA1058" i="1"/>
  <c r="CI1058" i="1" s="1"/>
  <c r="U1058" i="1"/>
  <c r="AN1058" i="1" s="1"/>
  <c r="CH1057" i="1"/>
  <c r="BB1057" i="1"/>
  <c r="BA1057" i="1"/>
  <c r="S1057" i="1"/>
  <c r="Q1057" i="1"/>
  <c r="M1057" i="1"/>
  <c r="U1057" i="1" s="1"/>
  <c r="AC1057" i="1" s="1"/>
  <c r="AN1057" i="1" s="1"/>
  <c r="I1057" i="1"/>
  <c r="CJ1056" i="1"/>
  <c r="U1056" i="1"/>
  <c r="AN1056" i="1" s="1"/>
  <c r="BC1056" i="1" s="1"/>
  <c r="CJ1055" i="1"/>
  <c r="CK1055" i="1" s="1"/>
  <c r="U1055" i="1"/>
  <c r="AN1055" i="1" s="1"/>
  <c r="BC1055" i="1" s="1"/>
  <c r="CH1054" i="1"/>
  <c r="U1054" i="1"/>
  <c r="AN1054" i="1" s="1"/>
  <c r="BC1054" i="1" s="1"/>
  <c r="CH1053" i="1"/>
  <c r="BA1053" i="1"/>
  <c r="CI1053" i="1" s="1"/>
  <c r="U1053" i="1"/>
  <c r="CH1052" i="1"/>
  <c r="BA1052" i="1"/>
  <c r="CI1052" i="1" s="1"/>
  <c r="S1052" i="1"/>
  <c r="Q1052" i="1"/>
  <c r="M1052" i="1"/>
  <c r="U1052" i="1" s="1"/>
  <c r="AC1052" i="1" s="1"/>
  <c r="AN1052" i="1" s="1"/>
  <c r="I1052" i="1"/>
  <c r="CH1051" i="1"/>
  <c r="S1051" i="1"/>
  <c r="Q1051" i="1"/>
  <c r="M1051" i="1"/>
  <c r="U1051" i="1" s="1"/>
  <c r="AC1051" i="1" s="1"/>
  <c r="AN1051" i="1" s="1"/>
  <c r="BC1051" i="1" s="1"/>
  <c r="I1051" i="1"/>
  <c r="CH1050" i="1"/>
  <c r="BA1050" i="1"/>
  <c r="CI1050" i="1" s="1"/>
  <c r="S1050" i="1"/>
  <c r="Q1050" i="1"/>
  <c r="M1050" i="1"/>
  <c r="U1050" i="1" s="1"/>
  <c r="AC1050" i="1" s="1"/>
  <c r="AN1050" i="1" s="1"/>
  <c r="I1050" i="1"/>
  <c r="CH1049" i="1"/>
  <c r="BC1049" i="1"/>
  <c r="U1049" i="1"/>
  <c r="CH1048" i="1"/>
  <c r="BA1048" i="1"/>
  <c r="CI1048" i="1" s="1"/>
  <c r="U1048" i="1"/>
  <c r="AN1048" i="1" s="1"/>
  <c r="CH1047" i="1"/>
  <c r="BA1047" i="1"/>
  <c r="CI1047" i="1" s="1"/>
  <c r="U1047" i="1"/>
  <c r="CH1046" i="1"/>
  <c r="BA1046" i="1"/>
  <c r="CI1046" i="1" s="1"/>
  <c r="U1046" i="1"/>
  <c r="AN1046" i="1" s="1"/>
  <c r="CH1045" i="1"/>
  <c r="BA1045" i="1"/>
  <c r="CI1045" i="1" s="1"/>
  <c r="U1045" i="1"/>
  <c r="AN1045" i="1" s="1"/>
  <c r="CH1044" i="1"/>
  <c r="BA1044" i="1"/>
  <c r="CI1044" i="1" s="1"/>
  <c r="U1044" i="1"/>
  <c r="CH1043" i="1"/>
  <c r="BA1043" i="1"/>
  <c r="CI1043" i="1" s="1"/>
  <c r="U1043" i="1"/>
  <c r="CH1042" i="1"/>
  <c r="BC1042" i="1"/>
  <c r="U1042" i="1"/>
  <c r="CJ1041" i="1"/>
  <c r="CK1041" i="1" s="1"/>
  <c r="U1041" i="1"/>
  <c r="AN1041" i="1" s="1"/>
  <c r="BC1041" i="1" s="1"/>
  <c r="CH1040" i="1"/>
  <c r="BA1040" i="1"/>
  <c r="CI1040" i="1" s="1"/>
  <c r="U1040" i="1"/>
  <c r="CH1039" i="1"/>
  <c r="BA1039" i="1"/>
  <c r="CI1039" i="1" s="1"/>
  <c r="U1039" i="1"/>
  <c r="AN1039" i="1" s="1"/>
  <c r="CH1038" i="1"/>
  <c r="BA1038" i="1"/>
  <c r="CI1038" i="1" s="1"/>
  <c r="U1038" i="1"/>
  <c r="AN1038" i="1" s="1"/>
  <c r="CH1037" i="1"/>
  <c r="BA1037" i="1"/>
  <c r="CI1037" i="1" s="1"/>
  <c r="U1037" i="1"/>
  <c r="AN1037" i="1" s="1"/>
  <c r="CH1036" i="1"/>
  <c r="BA1036" i="1"/>
  <c r="U1036" i="1"/>
  <c r="CH1035" i="1"/>
  <c r="BA1035" i="1"/>
  <c r="CI1035" i="1" s="1"/>
  <c r="U1035" i="1"/>
  <c r="CH1034" i="1"/>
  <c r="BA1034" i="1"/>
  <c r="U1034" i="1"/>
  <c r="CH1033" i="1"/>
  <c r="U1033" i="1"/>
  <c r="AN1033" i="1" s="1"/>
  <c r="BC1033" i="1" s="1"/>
  <c r="CH1032" i="1"/>
  <c r="U1032" i="1"/>
  <c r="AN1032" i="1" s="1"/>
  <c r="BC1032" i="1" s="1"/>
  <c r="CH1031" i="1"/>
  <c r="BA1031" i="1"/>
  <c r="CI1031" i="1" s="1"/>
  <c r="U1031" i="1"/>
  <c r="CH1030" i="1"/>
  <c r="BA1030" i="1"/>
  <c r="CI1030" i="1" s="1"/>
  <c r="U1030" i="1"/>
  <c r="AN1030" i="1" s="1"/>
  <c r="CH1029" i="1"/>
  <c r="BA1029" i="1"/>
  <c r="CI1029" i="1" s="1"/>
  <c r="U1029" i="1"/>
  <c r="AN1029" i="1" s="1"/>
  <c r="BA1028" i="1"/>
  <c r="CI1028" i="1" s="1"/>
  <c r="U1028" i="1"/>
  <c r="CH1027" i="1"/>
  <c r="U1027" i="1"/>
  <c r="AN1027" i="1" s="1"/>
  <c r="BC1027" i="1" s="1"/>
  <c r="BA1026" i="1"/>
  <c r="U1026" i="1"/>
  <c r="BA1025" i="1"/>
  <c r="CI1025" i="1" s="1"/>
  <c r="U1025" i="1"/>
  <c r="CH1024" i="1"/>
  <c r="BA1024" i="1"/>
  <c r="CI1024" i="1" s="1"/>
  <c r="U1024" i="1"/>
  <c r="CH1023" i="1"/>
  <c r="U1023" i="1"/>
  <c r="AN1023" i="1" s="1"/>
  <c r="BC1023" i="1" s="1"/>
  <c r="CH1022" i="1"/>
  <c r="BA1022" i="1"/>
  <c r="CI1022" i="1" s="1"/>
  <c r="U1022" i="1"/>
  <c r="AN1022" i="1" s="1"/>
  <c r="CH1021" i="1"/>
  <c r="U1021" i="1"/>
  <c r="AN1021" i="1" s="1"/>
  <c r="BC1021" i="1" s="1"/>
  <c r="CH1020" i="1"/>
  <c r="BA1020" i="1"/>
  <c r="CI1020" i="1" s="1"/>
  <c r="U1020" i="1"/>
  <c r="AN1020" i="1" s="1"/>
  <c r="CH1019" i="1"/>
  <c r="BA1019" i="1"/>
  <c r="CI1019" i="1" s="1"/>
  <c r="U1019" i="1"/>
  <c r="CH1018" i="1"/>
  <c r="U1018" i="1"/>
  <c r="AN1018" i="1" s="1"/>
  <c r="BC1018" i="1" s="1"/>
  <c r="CH1017" i="1"/>
  <c r="BA1017" i="1"/>
  <c r="CI1017" i="1" s="1"/>
  <c r="U1017" i="1"/>
  <c r="CH1016" i="1"/>
  <c r="BA1016" i="1"/>
  <c r="CI1016" i="1" s="1"/>
  <c r="U1016" i="1"/>
  <c r="CH1015" i="1"/>
  <c r="BA1015" i="1"/>
  <c r="CI1015" i="1" s="1"/>
  <c r="U1015" i="1"/>
  <c r="CH1014" i="1"/>
  <c r="BA1014" i="1"/>
  <c r="U1014" i="1"/>
  <c r="CH1013" i="1"/>
  <c r="U1013" i="1"/>
  <c r="AN1013" i="1" s="1"/>
  <c r="BC1013" i="1" s="1"/>
  <c r="BA1012" i="1"/>
  <c r="U1012" i="1"/>
  <c r="AN1012" i="1" s="1"/>
  <c r="CJ1011" i="1"/>
  <c r="U1011" i="1"/>
  <c r="AN1011" i="1" s="1"/>
  <c r="BC1011" i="1" s="1"/>
  <c r="CH1010" i="1"/>
  <c r="BA1010" i="1"/>
  <c r="CI1010" i="1" s="1"/>
  <c r="U1010" i="1"/>
  <c r="AN1010" i="1" s="1"/>
  <c r="CH1009" i="1"/>
  <c r="U1009" i="1"/>
  <c r="AN1009" i="1" s="1"/>
  <c r="BC1009" i="1" s="1"/>
  <c r="CH1008" i="1"/>
  <c r="BA1008" i="1"/>
  <c r="CI1008" i="1" s="1"/>
  <c r="U1008" i="1"/>
  <c r="AN1008" i="1" s="1"/>
  <c r="CH1007" i="1"/>
  <c r="BA1007" i="1"/>
  <c r="CI1007" i="1" s="1"/>
  <c r="U1007" i="1"/>
  <c r="CH1006" i="1"/>
  <c r="BA1006" i="1"/>
  <c r="CI1006" i="1" s="1"/>
  <c r="U1006" i="1"/>
  <c r="CH1005" i="1"/>
  <c r="BA1005" i="1"/>
  <c r="CI1005" i="1" s="1"/>
  <c r="U1005" i="1"/>
  <c r="CH1004" i="1"/>
  <c r="BA1004" i="1"/>
  <c r="CI1004" i="1" s="1"/>
  <c r="U1004" i="1"/>
  <c r="CJ1003" i="1"/>
  <c r="CK1003" i="1" s="1"/>
  <c r="BC1003" i="1"/>
  <c r="U1003" i="1"/>
  <c r="CH1002" i="1"/>
  <c r="U1002" i="1"/>
  <c r="AN1002" i="1" s="1"/>
  <c r="BC1002" i="1" s="1"/>
  <c r="CH1001" i="1"/>
  <c r="BA1001" i="1"/>
  <c r="CI1001" i="1" s="1"/>
  <c r="U1001" i="1"/>
  <c r="AN1001" i="1" s="1"/>
  <c r="CH1000" i="1"/>
  <c r="BA1000" i="1"/>
  <c r="CI1000" i="1" s="1"/>
  <c r="U1000" i="1"/>
  <c r="AN1000" i="1" s="1"/>
  <c r="CH999" i="1"/>
  <c r="BA999" i="1"/>
  <c r="CI999" i="1" s="1"/>
  <c r="U999" i="1"/>
  <c r="AN999" i="1" s="1"/>
  <c r="CH998" i="1"/>
  <c r="BA998" i="1"/>
  <c r="CI998" i="1" s="1"/>
  <c r="U998" i="1"/>
  <c r="AN998" i="1" s="1"/>
  <c r="CH997" i="1"/>
  <c r="BA997" i="1"/>
  <c r="CI997" i="1" s="1"/>
  <c r="U997" i="1"/>
  <c r="AN997" i="1" s="1"/>
  <c r="CH996" i="1"/>
  <c r="U996" i="1"/>
  <c r="AN996" i="1" s="1"/>
  <c r="BC996" i="1" s="1"/>
  <c r="CH995" i="1"/>
  <c r="U995" i="1"/>
  <c r="AN995" i="1" s="1"/>
  <c r="BC995" i="1" s="1"/>
  <c r="CH994" i="1"/>
  <c r="U994" i="1"/>
  <c r="AN994" i="1" s="1"/>
  <c r="BC994" i="1" s="1"/>
  <c r="CH993" i="1"/>
  <c r="BA993" i="1"/>
  <c r="CI993" i="1" s="1"/>
  <c r="U993" i="1"/>
  <c r="CJ992" i="1"/>
  <c r="CK992" i="1" s="1"/>
  <c r="U992" i="1"/>
  <c r="AN992" i="1" s="1"/>
  <c r="BC992" i="1" s="1"/>
  <c r="CH991" i="1"/>
  <c r="BA991" i="1"/>
  <c r="CI991" i="1" s="1"/>
  <c r="U991" i="1"/>
  <c r="CH990" i="1"/>
  <c r="U990" i="1"/>
  <c r="AN990" i="1" s="1"/>
  <c r="BC990" i="1" s="1"/>
  <c r="CH989" i="1"/>
  <c r="BA989" i="1"/>
  <c r="CI989" i="1" s="1"/>
  <c r="U989" i="1"/>
  <c r="CH988" i="1"/>
  <c r="BA988" i="1"/>
  <c r="CI988" i="1" s="1"/>
  <c r="U988" i="1"/>
  <c r="AN988" i="1" s="1"/>
  <c r="CH987" i="1"/>
  <c r="U987" i="1"/>
  <c r="AN987" i="1" s="1"/>
  <c r="BC987" i="1" s="1"/>
  <c r="CH986" i="1"/>
  <c r="BB986" i="1"/>
  <c r="CI986" i="1" s="1"/>
  <c r="U986" i="1"/>
  <c r="AN986" i="1" s="1"/>
  <c r="CH985" i="1"/>
  <c r="BB985" i="1"/>
  <c r="CI985" i="1" s="1"/>
  <c r="U985" i="1"/>
  <c r="AN985" i="1" s="1"/>
  <c r="CH984" i="1"/>
  <c r="BA984" i="1"/>
  <c r="CI984" i="1" s="1"/>
  <c r="U984" i="1"/>
  <c r="CH983" i="1"/>
  <c r="BA983" i="1"/>
  <c r="CI983" i="1" s="1"/>
  <c r="U983" i="1"/>
  <c r="AN983" i="1" s="1"/>
  <c r="CJ982" i="1"/>
  <c r="U982" i="1"/>
  <c r="AN982" i="1" s="1"/>
  <c r="BC982" i="1" s="1"/>
  <c r="CH981" i="1"/>
  <c r="U981" i="1"/>
  <c r="AN981" i="1" s="1"/>
  <c r="BC981" i="1" s="1"/>
  <c r="CH980" i="1"/>
  <c r="BA980" i="1"/>
  <c r="U980" i="1"/>
  <c r="CH979" i="1"/>
  <c r="BA979" i="1"/>
  <c r="CI979" i="1" s="1"/>
  <c r="U979" i="1"/>
  <c r="BA978" i="1"/>
  <c r="U978" i="1"/>
  <c r="AN978" i="1" s="1"/>
  <c r="CH977" i="1"/>
  <c r="BA977" i="1"/>
  <c r="U977" i="1"/>
  <c r="CH976" i="1"/>
  <c r="U976" i="1"/>
  <c r="AN976" i="1" s="1"/>
  <c r="BC976" i="1" s="1"/>
  <c r="CH975" i="1"/>
  <c r="BA975" i="1"/>
  <c r="CI975" i="1" s="1"/>
  <c r="U975" i="1"/>
  <c r="AN975" i="1" s="1"/>
  <c r="CH974" i="1"/>
  <c r="BA974" i="1"/>
  <c r="U974" i="1"/>
  <c r="CH973" i="1"/>
  <c r="U973" i="1"/>
  <c r="AN973" i="1" s="1"/>
  <c r="BC973" i="1" s="1"/>
  <c r="CH972" i="1"/>
  <c r="U972" i="1"/>
  <c r="AN972" i="1" s="1"/>
  <c r="BC972" i="1" s="1"/>
  <c r="CJ971" i="1"/>
  <c r="CK971" i="1" s="1"/>
  <c r="U971" i="1"/>
  <c r="AN971" i="1" s="1"/>
  <c r="BC971" i="1" s="1"/>
  <c r="CH970" i="1"/>
  <c r="U970" i="1"/>
  <c r="AN970" i="1" s="1"/>
  <c r="BC970" i="1" s="1"/>
  <c r="BA969" i="1"/>
  <c r="CI969" i="1" s="1"/>
  <c r="U969" i="1"/>
  <c r="CH968" i="1"/>
  <c r="U968" i="1"/>
  <c r="AN968" i="1" s="1"/>
  <c r="BC968" i="1" s="1"/>
  <c r="CH967" i="1"/>
  <c r="BA967" i="1"/>
  <c r="CI967" i="1" s="1"/>
  <c r="U967" i="1"/>
  <c r="CH966" i="1"/>
  <c r="BA966" i="1"/>
  <c r="CI966" i="1" s="1"/>
  <c r="U966" i="1"/>
  <c r="AN966" i="1" s="1"/>
  <c r="CH965" i="1"/>
  <c r="BA965" i="1"/>
  <c r="CI965" i="1" s="1"/>
  <c r="S965" i="1"/>
  <c r="Q965" i="1"/>
  <c r="M965" i="1"/>
  <c r="U965" i="1" s="1"/>
  <c r="AC965" i="1" s="1"/>
  <c r="AN965" i="1" s="1"/>
  <c r="I965" i="1"/>
  <c r="CH964" i="1"/>
  <c r="BA964" i="1"/>
  <c r="CI964" i="1" s="1"/>
  <c r="U964" i="1"/>
  <c r="AN964" i="1" s="1"/>
  <c r="CH963" i="1"/>
  <c r="BA963" i="1"/>
  <c r="CI963" i="1" s="1"/>
  <c r="S963" i="1"/>
  <c r="Q963" i="1"/>
  <c r="M963" i="1"/>
  <c r="U963" i="1" s="1"/>
  <c r="AC963" i="1" s="1"/>
  <c r="AN963" i="1" s="1"/>
  <c r="I963" i="1"/>
  <c r="BA962" i="1"/>
  <c r="U962" i="1"/>
  <c r="CH961" i="1"/>
  <c r="BA961" i="1"/>
  <c r="CI961" i="1" s="1"/>
  <c r="U961" i="1"/>
  <c r="AN961" i="1" s="1"/>
  <c r="CH960" i="1"/>
  <c r="BA960" i="1"/>
  <c r="CI960" i="1" s="1"/>
  <c r="U960" i="1"/>
  <c r="CH959" i="1"/>
  <c r="BA959" i="1"/>
  <c r="CI959" i="1" s="1"/>
  <c r="U959" i="1"/>
  <c r="CH958" i="1"/>
  <c r="S958" i="1"/>
  <c r="Q958" i="1"/>
  <c r="M958" i="1"/>
  <c r="U958" i="1" s="1"/>
  <c r="AC958" i="1" s="1"/>
  <c r="AN958" i="1" s="1"/>
  <c r="BC958" i="1" s="1"/>
  <c r="I958" i="1"/>
  <c r="CH957" i="1"/>
  <c r="BA957" i="1"/>
  <c r="CI957" i="1" s="1"/>
  <c r="U957" i="1"/>
  <c r="BA956" i="1"/>
  <c r="U956" i="1"/>
  <c r="AN956" i="1" s="1"/>
  <c r="CH955" i="1"/>
  <c r="U955" i="1"/>
  <c r="AN955" i="1" s="1"/>
  <c r="BC955" i="1" s="1"/>
  <c r="CH954" i="1"/>
  <c r="BA954" i="1"/>
  <c r="CI954" i="1" s="1"/>
  <c r="U954" i="1"/>
  <c r="CH953" i="1"/>
  <c r="BA953" i="1"/>
  <c r="CI953" i="1" s="1"/>
  <c r="S953" i="1"/>
  <c r="Q953" i="1"/>
  <c r="M953" i="1"/>
  <c r="U953" i="1" s="1"/>
  <c r="AC953" i="1" s="1"/>
  <c r="AN953" i="1" s="1"/>
  <c r="I953" i="1"/>
  <c r="CH952" i="1"/>
  <c r="BA952" i="1"/>
  <c r="U952" i="1"/>
  <c r="CH951" i="1"/>
  <c r="U951" i="1"/>
  <c r="AN951" i="1" s="1"/>
  <c r="BC951" i="1" s="1"/>
  <c r="CH950" i="1"/>
  <c r="BA950" i="1"/>
  <c r="CI950" i="1" s="1"/>
  <c r="U950" i="1"/>
  <c r="BA949" i="1"/>
  <c r="U949" i="1"/>
  <c r="AN949" i="1" s="1"/>
  <c r="CH948" i="1"/>
  <c r="U948" i="1"/>
  <c r="AN948" i="1" s="1"/>
  <c r="BC948" i="1" s="1"/>
  <c r="CH947" i="1"/>
  <c r="BA947" i="1"/>
  <c r="CI947" i="1" s="1"/>
  <c r="U947" i="1"/>
  <c r="AN947" i="1" s="1"/>
  <c r="CH946" i="1"/>
  <c r="U946" i="1"/>
  <c r="AN946" i="1" s="1"/>
  <c r="BC946" i="1" s="1"/>
  <c r="CJ945" i="1"/>
  <c r="CK945" i="1" s="1"/>
  <c r="U945" i="1"/>
  <c r="AN945" i="1" s="1"/>
  <c r="BC945" i="1" s="1"/>
  <c r="CH944" i="1"/>
  <c r="BA944" i="1"/>
  <c r="CI944" i="1" s="1"/>
  <c r="U944" i="1"/>
  <c r="AN944" i="1" s="1"/>
  <c r="CH943" i="1"/>
  <c r="BA943" i="1"/>
  <c r="CI943" i="1" s="1"/>
  <c r="U943" i="1"/>
  <c r="AN943" i="1" s="1"/>
  <c r="CH942" i="1"/>
  <c r="U942" i="1"/>
  <c r="AN942" i="1" s="1"/>
  <c r="BC942" i="1" s="1"/>
  <c r="CH941" i="1"/>
  <c r="BA941" i="1"/>
  <c r="CI941" i="1" s="1"/>
  <c r="U941" i="1"/>
  <c r="CH940" i="1"/>
  <c r="BA940" i="1"/>
  <c r="CI940" i="1" s="1"/>
  <c r="U940" i="1"/>
  <c r="CH939" i="1"/>
  <c r="BA939" i="1"/>
  <c r="CI939" i="1" s="1"/>
  <c r="U939" i="1"/>
  <c r="CH938" i="1"/>
  <c r="U938" i="1"/>
  <c r="AN938" i="1" s="1"/>
  <c r="BC938" i="1" s="1"/>
  <c r="BA937" i="1"/>
  <c r="CI937" i="1" s="1"/>
  <c r="U937" i="1"/>
  <c r="AN937" i="1" s="1"/>
  <c r="CH936" i="1"/>
  <c r="BA936" i="1"/>
  <c r="CI936" i="1" s="1"/>
  <c r="U936" i="1"/>
  <c r="AN936" i="1" s="1"/>
  <c r="CH935" i="1"/>
  <c r="U935" i="1"/>
  <c r="AN935" i="1" s="1"/>
  <c r="BC935" i="1" s="1"/>
  <c r="CH934" i="1"/>
  <c r="U934" i="1"/>
  <c r="AN934" i="1" s="1"/>
  <c r="BC934" i="1" s="1"/>
  <c r="CH933" i="1"/>
  <c r="BA933" i="1"/>
  <c r="U933" i="1"/>
  <c r="CH932" i="1"/>
  <c r="BA932" i="1"/>
  <c r="CI932" i="1" s="1"/>
  <c r="U932" i="1"/>
  <c r="CH931" i="1"/>
  <c r="BB931" i="1"/>
  <c r="CI931" i="1" s="1"/>
  <c r="U931" i="1"/>
  <c r="AN931" i="1" s="1"/>
  <c r="CH930" i="1"/>
  <c r="BA930" i="1"/>
  <c r="CI930" i="1" s="1"/>
  <c r="U930" i="1"/>
  <c r="AN930" i="1" s="1"/>
  <c r="CH929" i="1"/>
  <c r="BA929" i="1"/>
  <c r="CI929" i="1" s="1"/>
  <c r="U929" i="1"/>
  <c r="AN929" i="1" s="1"/>
  <c r="CH928" i="1"/>
  <c r="U928" i="1"/>
  <c r="AN928" i="1" s="1"/>
  <c r="BC928" i="1" s="1"/>
  <c r="CH927" i="1"/>
  <c r="U927" i="1"/>
  <c r="AN927" i="1" s="1"/>
  <c r="BC927" i="1" s="1"/>
  <c r="CH926" i="1"/>
  <c r="BA926" i="1"/>
  <c r="CI926" i="1" s="1"/>
  <c r="U926" i="1"/>
  <c r="CH925" i="1"/>
  <c r="BA925" i="1"/>
  <c r="CI925" i="1" s="1"/>
  <c r="U925" i="1"/>
  <c r="CH924" i="1"/>
  <c r="U924" i="1"/>
  <c r="AN924" i="1" s="1"/>
  <c r="BC924" i="1" s="1"/>
  <c r="CH923" i="1"/>
  <c r="BA923" i="1"/>
  <c r="CI923" i="1" s="1"/>
  <c r="U923" i="1"/>
  <c r="AN923" i="1" s="1"/>
  <c r="CH922" i="1"/>
  <c r="BA922" i="1"/>
  <c r="U922" i="1"/>
  <c r="CH921" i="1"/>
  <c r="BA921" i="1"/>
  <c r="CI921" i="1" s="1"/>
  <c r="U921" i="1"/>
  <c r="AN921" i="1" s="1"/>
  <c r="CH920" i="1"/>
  <c r="U920" i="1"/>
  <c r="AN920" i="1" s="1"/>
  <c r="BC920" i="1" s="1"/>
  <c r="CH919" i="1"/>
  <c r="BA919" i="1"/>
  <c r="CI919" i="1" s="1"/>
  <c r="U919" i="1"/>
  <c r="AN919" i="1" s="1"/>
  <c r="CH918" i="1"/>
  <c r="BA918" i="1"/>
  <c r="CI918" i="1" s="1"/>
  <c r="U918" i="1"/>
  <c r="CH917" i="1"/>
  <c r="U917" i="1"/>
  <c r="AN917" i="1" s="1"/>
  <c r="BC917" i="1" s="1"/>
  <c r="CH916" i="1"/>
  <c r="BA916" i="1"/>
  <c r="CI916" i="1" s="1"/>
  <c r="U916" i="1"/>
  <c r="AN916" i="1" s="1"/>
  <c r="CH915" i="1"/>
  <c r="BA915" i="1"/>
  <c r="CI915" i="1" s="1"/>
  <c r="U915" i="1"/>
  <c r="CH914" i="1"/>
  <c r="BA914" i="1"/>
  <c r="CI914" i="1" s="1"/>
  <c r="U914" i="1"/>
  <c r="AN914" i="1" s="1"/>
  <c r="CH913" i="1"/>
  <c r="BA913" i="1"/>
  <c r="CI913" i="1" s="1"/>
  <c r="U913" i="1"/>
  <c r="CH912" i="1"/>
  <c r="BA912" i="1"/>
  <c r="CI912" i="1" s="1"/>
  <c r="U912" i="1"/>
  <c r="CH911" i="1"/>
  <c r="BA911" i="1"/>
  <c r="CI911" i="1" s="1"/>
  <c r="U911" i="1"/>
  <c r="CH910" i="1"/>
  <c r="U910" i="1"/>
  <c r="AN910" i="1" s="1"/>
  <c r="BC910" i="1" s="1"/>
  <c r="CH909" i="1"/>
  <c r="U909" i="1"/>
  <c r="AN909" i="1" s="1"/>
  <c r="BC909" i="1" s="1"/>
  <c r="CH908" i="1"/>
  <c r="BA908" i="1"/>
  <c r="CI908" i="1" s="1"/>
  <c r="U908" i="1"/>
  <c r="CH907" i="1"/>
  <c r="BA907" i="1"/>
  <c r="CI907" i="1" s="1"/>
  <c r="U907" i="1"/>
  <c r="CH906" i="1"/>
  <c r="BB906" i="1"/>
  <c r="BA906" i="1"/>
  <c r="U906" i="1"/>
  <c r="AN906" i="1" s="1"/>
  <c r="CH905" i="1"/>
  <c r="BA905" i="1"/>
  <c r="CI905" i="1" s="1"/>
  <c r="U905" i="1"/>
  <c r="CH904" i="1"/>
  <c r="BA904" i="1"/>
  <c r="CI904" i="1" s="1"/>
  <c r="U904" i="1"/>
  <c r="AN904" i="1" s="1"/>
  <c r="CH903" i="1"/>
  <c r="BB903" i="1"/>
  <c r="BA903" i="1"/>
  <c r="U903" i="1"/>
  <c r="AN903" i="1" s="1"/>
  <c r="CH902" i="1"/>
  <c r="BA902" i="1"/>
  <c r="CI902" i="1" s="1"/>
  <c r="U902" i="1"/>
  <c r="AN902" i="1" s="1"/>
  <c r="BA901" i="1"/>
  <c r="U901" i="1"/>
  <c r="AN901" i="1" s="1"/>
  <c r="CH900" i="1"/>
  <c r="BA900" i="1"/>
  <c r="CI900" i="1" s="1"/>
  <c r="U900" i="1"/>
  <c r="CH899" i="1"/>
  <c r="BA899" i="1"/>
  <c r="CI899" i="1" s="1"/>
  <c r="U899" i="1"/>
  <c r="CH898" i="1"/>
  <c r="U898" i="1"/>
  <c r="AN898" i="1" s="1"/>
  <c r="BC898" i="1" s="1"/>
  <c r="CH897" i="1"/>
  <c r="U897" i="1"/>
  <c r="AN897" i="1" s="1"/>
  <c r="BC897" i="1" s="1"/>
  <c r="CH896" i="1"/>
  <c r="BA896" i="1"/>
  <c r="CI896" i="1" s="1"/>
  <c r="U896" i="1"/>
  <c r="CH895" i="1"/>
  <c r="BA895" i="1"/>
  <c r="CI895" i="1" s="1"/>
  <c r="U895" i="1"/>
  <c r="CH894" i="1"/>
  <c r="BA894" i="1"/>
  <c r="CI894" i="1" s="1"/>
  <c r="U894" i="1"/>
  <c r="CH893" i="1"/>
  <c r="BA893" i="1"/>
  <c r="CI893" i="1" s="1"/>
  <c r="U893" i="1"/>
  <c r="CH892" i="1"/>
  <c r="BA892" i="1"/>
  <c r="CI892" i="1" s="1"/>
  <c r="U892" i="1"/>
  <c r="CH891" i="1"/>
  <c r="BA891" i="1"/>
  <c r="CI891" i="1" s="1"/>
  <c r="U891" i="1"/>
  <c r="AN891" i="1" s="1"/>
  <c r="CH890" i="1"/>
  <c r="BA890" i="1"/>
  <c r="CI890" i="1" s="1"/>
  <c r="U890" i="1"/>
  <c r="CH889" i="1"/>
  <c r="BA889" i="1"/>
  <c r="CI889" i="1" s="1"/>
  <c r="U889" i="1"/>
  <c r="CH888" i="1"/>
  <c r="BA888" i="1"/>
  <c r="CI888" i="1" s="1"/>
  <c r="U888" i="1"/>
  <c r="CH887" i="1"/>
  <c r="BA887" i="1"/>
  <c r="CI887" i="1" s="1"/>
  <c r="U887" i="1"/>
  <c r="AN887" i="1" s="1"/>
  <c r="CH886" i="1"/>
  <c r="BA886" i="1"/>
  <c r="CI886" i="1" s="1"/>
  <c r="U886" i="1"/>
  <c r="AN886" i="1" s="1"/>
  <c r="CH885" i="1"/>
  <c r="BA885" i="1"/>
  <c r="CI885" i="1" s="1"/>
  <c r="U885" i="1"/>
  <c r="CH884" i="1"/>
  <c r="U884" i="1"/>
  <c r="AN884" i="1" s="1"/>
  <c r="BC884" i="1" s="1"/>
  <c r="CH883" i="1"/>
  <c r="BA883" i="1"/>
  <c r="CI883" i="1" s="1"/>
  <c r="U883" i="1"/>
  <c r="AN883" i="1" s="1"/>
  <c r="CH882" i="1"/>
  <c r="BA882" i="1"/>
  <c r="CI882" i="1" s="1"/>
  <c r="U882" i="1"/>
  <c r="AN882" i="1" s="1"/>
  <c r="CH881" i="1"/>
  <c r="BA881" i="1"/>
  <c r="CI881" i="1" s="1"/>
  <c r="U881" i="1"/>
  <c r="AN881" i="1" s="1"/>
  <c r="BA880" i="1"/>
  <c r="U880" i="1"/>
  <c r="AN880" i="1" s="1"/>
  <c r="CH879" i="1"/>
  <c r="U879" i="1"/>
  <c r="AN879" i="1" s="1"/>
  <c r="BC879" i="1" s="1"/>
  <c r="CH878" i="1"/>
  <c r="BA878" i="1"/>
  <c r="CI878" i="1" s="1"/>
  <c r="U878" i="1"/>
  <c r="CH877" i="1"/>
  <c r="BA877" i="1"/>
  <c r="CI877" i="1" s="1"/>
  <c r="U877" i="1"/>
  <c r="AN877" i="1" s="1"/>
  <c r="CH876" i="1"/>
  <c r="U876" i="1"/>
  <c r="AN876" i="1" s="1"/>
  <c r="BC876" i="1" s="1"/>
  <c r="BA875" i="1"/>
  <c r="CI875" i="1" s="1"/>
  <c r="U875" i="1"/>
  <c r="CH874" i="1"/>
  <c r="BA874" i="1"/>
  <c r="CI874" i="1" s="1"/>
  <c r="U874" i="1"/>
  <c r="AN874" i="1" s="1"/>
  <c r="CJ873" i="1"/>
  <c r="CK873" i="1" s="1"/>
  <c r="U873" i="1"/>
  <c r="AN873" i="1" s="1"/>
  <c r="BC873" i="1" s="1"/>
  <c r="CH872" i="1"/>
  <c r="U872" i="1"/>
  <c r="AN872" i="1" s="1"/>
  <c r="BC872" i="1" s="1"/>
  <c r="CH871" i="1"/>
  <c r="BA871" i="1"/>
  <c r="CI871" i="1" s="1"/>
  <c r="U871" i="1"/>
  <c r="AN871" i="1" s="1"/>
  <c r="CH870" i="1"/>
  <c r="U870" i="1"/>
  <c r="AN870" i="1" s="1"/>
  <c r="BC870" i="1" s="1"/>
  <c r="CH869" i="1"/>
  <c r="U869" i="1"/>
  <c r="AN869" i="1" s="1"/>
  <c r="BC869" i="1" s="1"/>
  <c r="CH868" i="1"/>
  <c r="U868" i="1"/>
  <c r="AN868" i="1" s="1"/>
  <c r="BC868" i="1" s="1"/>
  <c r="CH867" i="1"/>
  <c r="U867" i="1"/>
  <c r="AN867" i="1" s="1"/>
  <c r="BC867" i="1" s="1"/>
  <c r="CH866" i="1"/>
  <c r="U866" i="1"/>
  <c r="AN866" i="1" s="1"/>
  <c r="BC866" i="1" s="1"/>
  <c r="CH865" i="1"/>
  <c r="BA865" i="1"/>
  <c r="CI865" i="1" s="1"/>
  <c r="U865" i="1"/>
  <c r="AN865" i="1" s="1"/>
  <c r="CH864" i="1"/>
  <c r="U864" i="1"/>
  <c r="AN864" i="1" s="1"/>
  <c r="BC864" i="1" s="1"/>
  <c r="CH863" i="1"/>
  <c r="BA863" i="1"/>
  <c r="CI863" i="1" s="1"/>
  <c r="U863" i="1"/>
  <c r="CH862" i="1"/>
  <c r="BA862" i="1"/>
  <c r="CI862" i="1" s="1"/>
  <c r="U862" i="1"/>
  <c r="CJ861" i="1"/>
  <c r="CK861" i="1" s="1"/>
  <c r="BC861" i="1"/>
  <c r="U861" i="1"/>
  <c r="CH860" i="1"/>
  <c r="BA860" i="1"/>
  <c r="CI860" i="1" s="1"/>
  <c r="U860" i="1"/>
  <c r="CH859" i="1"/>
  <c r="U859" i="1"/>
  <c r="AN859" i="1" s="1"/>
  <c r="BC859" i="1" s="1"/>
  <c r="CH858" i="1"/>
  <c r="BA858" i="1"/>
  <c r="CI858" i="1" s="1"/>
  <c r="U858" i="1"/>
  <c r="AN858" i="1" s="1"/>
  <c r="CH857" i="1"/>
  <c r="U857" i="1"/>
  <c r="AN857" i="1" s="1"/>
  <c r="BC857" i="1" s="1"/>
  <c r="CH856" i="1"/>
  <c r="BA856" i="1"/>
  <c r="U856" i="1"/>
  <c r="CJ855" i="1"/>
  <c r="CK855" i="1" s="1"/>
  <c r="U855" i="1"/>
  <c r="AN855" i="1" s="1"/>
  <c r="BC855" i="1" s="1"/>
  <c r="CH854" i="1"/>
  <c r="BA854" i="1"/>
  <c r="CI854" i="1" s="1"/>
  <c r="U854" i="1"/>
  <c r="AN854" i="1" s="1"/>
  <c r="CH853" i="1"/>
  <c r="BA853" i="1"/>
  <c r="CI853" i="1" s="1"/>
  <c r="U853" i="1"/>
  <c r="CH852" i="1"/>
  <c r="BA852" i="1"/>
  <c r="CI852" i="1" s="1"/>
  <c r="U852" i="1"/>
  <c r="CH851" i="1"/>
  <c r="U851" i="1"/>
  <c r="AN851" i="1" s="1"/>
  <c r="BC851" i="1" s="1"/>
  <c r="CH850" i="1"/>
  <c r="U850" i="1"/>
  <c r="AN850" i="1" s="1"/>
  <c r="BC850" i="1" s="1"/>
  <c r="CH849" i="1"/>
  <c r="U849" i="1"/>
  <c r="AN849" i="1" s="1"/>
  <c r="BC849" i="1" s="1"/>
  <c r="CH848" i="1"/>
  <c r="BA848" i="1"/>
  <c r="CI848" i="1" s="1"/>
  <c r="U848" i="1"/>
  <c r="AN848" i="1" s="1"/>
  <c r="CH847" i="1"/>
  <c r="BA847" i="1"/>
  <c r="CI847" i="1" s="1"/>
  <c r="U847" i="1"/>
  <c r="CH846" i="1"/>
  <c r="BA846" i="1"/>
  <c r="CI846" i="1" s="1"/>
  <c r="U846" i="1"/>
  <c r="AN846" i="1" s="1"/>
  <c r="CH845" i="1"/>
  <c r="BA845" i="1"/>
  <c r="CI845" i="1" s="1"/>
  <c r="U845" i="1"/>
  <c r="AN845" i="1" s="1"/>
  <c r="CH844" i="1"/>
  <c r="U844" i="1"/>
  <c r="AN844" i="1" s="1"/>
  <c r="BC844" i="1" s="1"/>
  <c r="CH843" i="1"/>
  <c r="U843" i="1"/>
  <c r="AN843" i="1" s="1"/>
  <c r="BC843" i="1" s="1"/>
  <c r="CH842" i="1"/>
  <c r="BA842" i="1"/>
  <c r="CI842" i="1" s="1"/>
  <c r="U842" i="1"/>
  <c r="AN842" i="1" s="1"/>
  <c r="CH841" i="1"/>
  <c r="BA841" i="1"/>
  <c r="CI841" i="1" s="1"/>
  <c r="U841" i="1"/>
  <c r="AN841" i="1" s="1"/>
  <c r="BA840" i="1"/>
  <c r="CI840" i="1" s="1"/>
  <c r="U840" i="1"/>
  <c r="CH839" i="1"/>
  <c r="BA839" i="1"/>
  <c r="CI839" i="1" s="1"/>
  <c r="U839" i="1"/>
  <c r="AN839" i="1" s="1"/>
  <c r="BA838" i="1"/>
  <c r="U838" i="1"/>
  <c r="AN838" i="1" s="1"/>
  <c r="CH837" i="1"/>
  <c r="U837" i="1"/>
  <c r="AN837" i="1" s="1"/>
  <c r="BC837" i="1" s="1"/>
  <c r="CH836" i="1"/>
  <c r="BA836" i="1"/>
  <c r="CI836" i="1" s="1"/>
  <c r="U836" i="1"/>
  <c r="AN836" i="1" s="1"/>
  <c r="CH835" i="1"/>
  <c r="BA835" i="1"/>
  <c r="CI835" i="1" s="1"/>
  <c r="U835" i="1"/>
  <c r="CH834" i="1"/>
  <c r="U834" i="1"/>
  <c r="AN834" i="1" s="1"/>
  <c r="BC834" i="1" s="1"/>
  <c r="CH833" i="1"/>
  <c r="BA833" i="1"/>
  <c r="CI833" i="1" s="1"/>
  <c r="U833" i="1"/>
  <c r="CH832" i="1"/>
  <c r="BA832" i="1"/>
  <c r="CI832" i="1" s="1"/>
  <c r="U832" i="1"/>
  <c r="CH831" i="1"/>
  <c r="BA831" i="1"/>
  <c r="CI831" i="1" s="1"/>
  <c r="U831" i="1"/>
  <c r="AN831" i="1" s="1"/>
  <c r="CH830" i="1"/>
  <c r="BA830" i="1"/>
  <c r="CI830" i="1" s="1"/>
  <c r="U830" i="1"/>
  <c r="AN830" i="1" s="1"/>
  <c r="CH829" i="1"/>
  <c r="BB829" i="1"/>
  <c r="CI829" i="1" s="1"/>
  <c r="U829" i="1"/>
  <c r="AN829" i="1" s="1"/>
  <c r="BA828" i="1"/>
  <c r="U828" i="1"/>
  <c r="AN828" i="1" s="1"/>
  <c r="CH827" i="1"/>
  <c r="U827" i="1"/>
  <c r="AN827" i="1" s="1"/>
  <c r="BC827" i="1" s="1"/>
  <c r="CH826" i="1"/>
  <c r="BA826" i="1"/>
  <c r="CI826" i="1" s="1"/>
  <c r="U826" i="1"/>
  <c r="CH825" i="1"/>
  <c r="BA825" i="1"/>
  <c r="CI825" i="1" s="1"/>
  <c r="U825" i="1"/>
  <c r="AN825" i="1" s="1"/>
  <c r="CH824" i="1"/>
  <c r="BA824" i="1"/>
  <c r="CI824" i="1" s="1"/>
  <c r="U824" i="1"/>
  <c r="AN824" i="1" s="1"/>
  <c r="CH823" i="1"/>
  <c r="U823" i="1"/>
  <c r="AN823" i="1" s="1"/>
  <c r="BC823" i="1" s="1"/>
  <c r="CH822" i="1"/>
  <c r="BA822" i="1"/>
  <c r="CI822" i="1" s="1"/>
  <c r="U822" i="1"/>
  <c r="AN822" i="1" s="1"/>
  <c r="CH821" i="1"/>
  <c r="BA821" i="1"/>
  <c r="CI821" i="1" s="1"/>
  <c r="U821" i="1"/>
  <c r="CH820" i="1"/>
  <c r="BA820" i="1"/>
  <c r="CI820" i="1" s="1"/>
  <c r="S820" i="1"/>
  <c r="Q820" i="1"/>
  <c r="M820" i="1"/>
  <c r="U820" i="1" s="1"/>
  <c r="AC820" i="1" s="1"/>
  <c r="AN820" i="1" s="1"/>
  <c r="I820" i="1"/>
  <c r="CH819" i="1"/>
  <c r="BA819" i="1"/>
  <c r="CI819" i="1" s="1"/>
  <c r="U819" i="1"/>
  <c r="CH818" i="1"/>
  <c r="U818" i="1"/>
  <c r="AN818" i="1" s="1"/>
  <c r="BC818" i="1" s="1"/>
  <c r="CH817" i="1"/>
  <c r="BA817" i="1"/>
  <c r="CI817" i="1" s="1"/>
  <c r="U817" i="1"/>
  <c r="AN817" i="1" s="1"/>
  <c r="CH816" i="1"/>
  <c r="S816" i="1"/>
  <c r="Q816" i="1"/>
  <c r="M816" i="1"/>
  <c r="U816" i="1" s="1"/>
  <c r="AC816" i="1" s="1"/>
  <c r="AN816" i="1" s="1"/>
  <c r="BC816" i="1" s="1"/>
  <c r="I816" i="1"/>
  <c r="CH815" i="1"/>
  <c r="BA815" i="1"/>
  <c r="U815" i="1"/>
  <c r="CH814" i="1"/>
  <c r="U814" i="1"/>
  <c r="AN814" i="1" s="1"/>
  <c r="BC814" i="1" s="1"/>
  <c r="CH813" i="1"/>
  <c r="U813" i="1"/>
  <c r="AN813" i="1" s="1"/>
  <c r="BC813" i="1" s="1"/>
  <c r="CH812" i="1"/>
  <c r="BA812" i="1"/>
  <c r="CI812" i="1" s="1"/>
  <c r="U812" i="1"/>
  <c r="CH811" i="1"/>
  <c r="BA811" i="1"/>
  <c r="CI811" i="1" s="1"/>
  <c r="U811" i="1"/>
  <c r="AN811" i="1" s="1"/>
  <c r="CH810" i="1"/>
  <c r="BA810" i="1"/>
  <c r="CI810" i="1" s="1"/>
  <c r="U810" i="1"/>
  <c r="AN810" i="1" s="1"/>
  <c r="CH809" i="1"/>
  <c r="BA809" i="1"/>
  <c r="CI809" i="1" s="1"/>
  <c r="U809" i="1"/>
  <c r="AN809" i="1" s="1"/>
  <c r="CH808" i="1"/>
  <c r="BA808" i="1"/>
  <c r="CI808" i="1" s="1"/>
  <c r="U808" i="1"/>
  <c r="AN808" i="1" s="1"/>
  <c r="CH807" i="1"/>
  <c r="BA807" i="1"/>
  <c r="CI807" i="1" s="1"/>
  <c r="U807" i="1"/>
  <c r="AN807" i="1" s="1"/>
  <c r="CH806" i="1"/>
  <c r="BA806" i="1"/>
  <c r="CI806" i="1" s="1"/>
  <c r="U806" i="1"/>
  <c r="AN806" i="1" s="1"/>
  <c r="BA805" i="1"/>
  <c r="U805" i="1"/>
  <c r="AN805" i="1" s="1"/>
  <c r="CH804" i="1"/>
  <c r="BA804" i="1"/>
  <c r="CI804" i="1" s="1"/>
  <c r="U804" i="1"/>
  <c r="CH803" i="1"/>
  <c r="BA803" i="1"/>
  <c r="CI803" i="1" s="1"/>
  <c r="U803" i="1"/>
  <c r="AN803" i="1" s="1"/>
  <c r="CH802" i="1"/>
  <c r="BA802" i="1"/>
  <c r="CI802" i="1" s="1"/>
  <c r="U802" i="1"/>
  <c r="CH801" i="1"/>
  <c r="BA801" i="1"/>
  <c r="CI801" i="1" s="1"/>
  <c r="U801" i="1"/>
  <c r="AN801" i="1" s="1"/>
  <c r="CH800" i="1"/>
  <c r="U800" i="1"/>
  <c r="AN800" i="1" s="1"/>
  <c r="BC800" i="1" s="1"/>
  <c r="CH799" i="1"/>
  <c r="BB799" i="1"/>
  <c r="CI799" i="1" s="1"/>
  <c r="U799" i="1"/>
  <c r="AN799" i="1" s="1"/>
  <c r="CH798" i="1"/>
  <c r="U798" i="1"/>
  <c r="AN798" i="1" s="1"/>
  <c r="BC798" i="1" s="1"/>
  <c r="CH797" i="1"/>
  <c r="S797" i="1"/>
  <c r="Q797" i="1"/>
  <c r="M797" i="1"/>
  <c r="U797" i="1" s="1"/>
  <c r="AC797" i="1" s="1"/>
  <c r="AN797" i="1" s="1"/>
  <c r="BC797" i="1" s="1"/>
  <c r="I797" i="1"/>
  <c r="CH796" i="1"/>
  <c r="BB796" i="1"/>
  <c r="BA796" i="1"/>
  <c r="S796" i="1"/>
  <c r="Q796" i="1"/>
  <c r="M796" i="1"/>
  <c r="U796" i="1" s="1"/>
  <c r="AC796" i="1" s="1"/>
  <c r="AN796" i="1" s="1"/>
  <c r="I796" i="1"/>
  <c r="CH795" i="1"/>
  <c r="BA795" i="1"/>
  <c r="CI795" i="1" s="1"/>
  <c r="U795" i="1"/>
  <c r="AN795" i="1" s="1"/>
  <c r="CH794" i="1"/>
  <c r="BA794" i="1"/>
  <c r="CI794" i="1" s="1"/>
  <c r="U794" i="1"/>
  <c r="CH793" i="1"/>
  <c r="BA793" i="1"/>
  <c r="CI793" i="1" s="1"/>
  <c r="U793" i="1"/>
  <c r="AN793" i="1" s="1"/>
  <c r="CH792" i="1"/>
  <c r="U792" i="1"/>
  <c r="AN792" i="1" s="1"/>
  <c r="BC792" i="1" s="1"/>
  <c r="CH791" i="1"/>
  <c r="U791" i="1"/>
  <c r="AN791" i="1" s="1"/>
  <c r="BC791" i="1" s="1"/>
  <c r="CH790" i="1"/>
  <c r="U790" i="1"/>
  <c r="AN790" i="1" s="1"/>
  <c r="BC790" i="1" s="1"/>
  <c r="CH789" i="1"/>
  <c r="BA789" i="1"/>
  <c r="CI789" i="1" s="1"/>
  <c r="U789" i="1"/>
  <c r="CH788" i="1"/>
  <c r="BA788" i="1"/>
  <c r="CI788" i="1" s="1"/>
  <c r="U788" i="1"/>
  <c r="CH787" i="1"/>
  <c r="U787" i="1"/>
  <c r="AN787" i="1" s="1"/>
  <c r="BC787" i="1" s="1"/>
  <c r="CH786" i="1"/>
  <c r="U786" i="1"/>
  <c r="AN786" i="1" s="1"/>
  <c r="BC786" i="1" s="1"/>
  <c r="CJ785" i="1"/>
  <c r="CK785" i="1" s="1"/>
  <c r="U785" i="1"/>
  <c r="AN785" i="1" s="1"/>
  <c r="BC785" i="1" s="1"/>
  <c r="CH784" i="1"/>
  <c r="U784" i="1"/>
  <c r="AN784" i="1" s="1"/>
  <c r="BC784" i="1" s="1"/>
  <c r="CH783" i="1"/>
  <c r="BA783" i="1"/>
  <c r="CI783" i="1" s="1"/>
  <c r="U783" i="1"/>
  <c r="CH782" i="1"/>
  <c r="BA782" i="1"/>
  <c r="CI782" i="1" s="1"/>
  <c r="U782" i="1"/>
  <c r="AN782" i="1" s="1"/>
  <c r="CH781" i="1"/>
  <c r="BA781" i="1"/>
  <c r="U781" i="1"/>
  <c r="BA780" i="1"/>
  <c r="U780" i="1"/>
  <c r="AN780" i="1" s="1"/>
  <c r="CH779" i="1"/>
  <c r="U779" i="1"/>
  <c r="AN779" i="1" s="1"/>
  <c r="BC779" i="1" s="1"/>
  <c r="CH778" i="1"/>
  <c r="BA778" i="1"/>
  <c r="CI778" i="1" s="1"/>
  <c r="U778" i="1"/>
  <c r="CH777" i="1"/>
  <c r="BA777" i="1"/>
  <c r="CI777" i="1" s="1"/>
  <c r="U777" i="1"/>
  <c r="CH776" i="1"/>
  <c r="BA776" i="1"/>
  <c r="CI776" i="1" s="1"/>
  <c r="U776" i="1"/>
  <c r="CH775" i="1"/>
  <c r="U775" i="1"/>
  <c r="AN775" i="1" s="1"/>
  <c r="BC775" i="1" s="1"/>
  <c r="CH774" i="1"/>
  <c r="BA774" i="1"/>
  <c r="CI774" i="1" s="1"/>
  <c r="U774" i="1"/>
  <c r="AN774" i="1" s="1"/>
  <c r="CH773" i="1"/>
  <c r="U773" i="1"/>
  <c r="AN773" i="1" s="1"/>
  <c r="BC773" i="1" s="1"/>
  <c r="CH772" i="1"/>
  <c r="U772" i="1"/>
  <c r="AN772" i="1" s="1"/>
  <c r="BC772" i="1" s="1"/>
  <c r="CH771" i="1"/>
  <c r="BA771" i="1"/>
  <c r="CI771" i="1" s="1"/>
  <c r="S771" i="1"/>
  <c r="Q771" i="1"/>
  <c r="M771" i="1"/>
  <c r="U771" i="1" s="1"/>
  <c r="AC771" i="1" s="1"/>
  <c r="AN771" i="1" s="1"/>
  <c r="I771" i="1"/>
  <c r="CH770" i="1"/>
  <c r="U770" i="1"/>
  <c r="AN770" i="1" s="1"/>
  <c r="BC770" i="1" s="1"/>
  <c r="CH769" i="1"/>
  <c r="U769" i="1"/>
  <c r="AN769" i="1" s="1"/>
  <c r="BC769" i="1" s="1"/>
  <c r="CH768" i="1"/>
  <c r="U768" i="1"/>
  <c r="AN768" i="1" s="1"/>
  <c r="BC768" i="1" s="1"/>
  <c r="CH767" i="1"/>
  <c r="BA767" i="1"/>
  <c r="CI767" i="1" s="1"/>
  <c r="U767" i="1"/>
  <c r="AN767" i="1" s="1"/>
  <c r="CH766" i="1"/>
  <c r="U766" i="1"/>
  <c r="AN766" i="1" s="1"/>
  <c r="BC766" i="1" s="1"/>
  <c r="CH765" i="1"/>
  <c r="BA765" i="1"/>
  <c r="CI765" i="1" s="1"/>
  <c r="U765" i="1"/>
  <c r="AN765" i="1" s="1"/>
  <c r="CJ764" i="1"/>
  <c r="CK764" i="1" s="1"/>
  <c r="U764" i="1"/>
  <c r="AN764" i="1" s="1"/>
  <c r="BC764" i="1" s="1"/>
  <c r="CH763" i="1"/>
  <c r="BA763" i="1"/>
  <c r="CI763" i="1" s="1"/>
  <c r="U763" i="1"/>
  <c r="BA762" i="1"/>
  <c r="CI762" i="1" s="1"/>
  <c r="U762" i="1"/>
  <c r="CH761" i="1"/>
  <c r="BA761" i="1"/>
  <c r="CI761" i="1" s="1"/>
  <c r="U761" i="1"/>
  <c r="AN761" i="1" s="1"/>
  <c r="CH760" i="1"/>
  <c r="BA760" i="1"/>
  <c r="CI760" i="1" s="1"/>
  <c r="U760" i="1"/>
  <c r="CH759" i="1"/>
  <c r="U759" i="1"/>
  <c r="AN759" i="1" s="1"/>
  <c r="BC759" i="1" s="1"/>
  <c r="CH758" i="1"/>
  <c r="BA758" i="1"/>
  <c r="CI758" i="1" s="1"/>
  <c r="U758" i="1"/>
  <c r="BA757" i="1"/>
  <c r="U757" i="1"/>
  <c r="AN757" i="1" s="1"/>
  <c r="CH756" i="1"/>
  <c r="BA756" i="1"/>
  <c r="CI756" i="1" s="1"/>
  <c r="U756" i="1"/>
  <c r="AN756" i="1" s="1"/>
  <c r="CH755" i="1"/>
  <c r="U755" i="1"/>
  <c r="AN755" i="1" s="1"/>
  <c r="BC755" i="1" s="1"/>
  <c r="CH754" i="1"/>
  <c r="U754" i="1"/>
  <c r="AN754" i="1" s="1"/>
  <c r="BC754" i="1" s="1"/>
  <c r="CH753" i="1"/>
  <c r="BA753" i="1"/>
  <c r="U753" i="1"/>
  <c r="BA752" i="1"/>
  <c r="U752" i="1"/>
  <c r="AN752" i="1" s="1"/>
  <c r="CH751" i="1"/>
  <c r="U751" i="1"/>
  <c r="AN751" i="1" s="1"/>
  <c r="BC751" i="1" s="1"/>
  <c r="CH750" i="1"/>
  <c r="U750" i="1"/>
  <c r="AN750" i="1" s="1"/>
  <c r="BC750" i="1" s="1"/>
  <c r="CH749" i="1"/>
  <c r="BA749" i="1"/>
  <c r="CI749" i="1" s="1"/>
  <c r="U749" i="1"/>
  <c r="AN749" i="1" s="1"/>
  <c r="CH748" i="1"/>
  <c r="BA748" i="1"/>
  <c r="CI748" i="1" s="1"/>
  <c r="U748" i="1"/>
  <c r="AN748" i="1" s="1"/>
  <c r="BA747" i="1"/>
  <c r="U747" i="1"/>
  <c r="AN747" i="1" s="1"/>
  <c r="CH746" i="1"/>
  <c r="BA746" i="1"/>
  <c r="CI746" i="1" s="1"/>
  <c r="U746" i="1"/>
  <c r="AN746" i="1" s="1"/>
  <c r="CH745" i="1"/>
  <c r="U745" i="1"/>
  <c r="AN745" i="1" s="1"/>
  <c r="BC745" i="1" s="1"/>
  <c r="CH744" i="1"/>
  <c r="BA744" i="1"/>
  <c r="CI744" i="1" s="1"/>
  <c r="U744" i="1"/>
  <c r="AN744" i="1" s="1"/>
  <c r="CJ743" i="1"/>
  <c r="CK743" i="1" s="1"/>
  <c r="BC743" i="1"/>
  <c r="U743" i="1"/>
  <c r="CH742" i="1"/>
  <c r="BA742" i="1"/>
  <c r="CI742" i="1" s="1"/>
  <c r="U742" i="1"/>
  <c r="AN742" i="1" s="1"/>
  <c r="CH741" i="1"/>
  <c r="BA741" i="1"/>
  <c r="CI741" i="1" s="1"/>
  <c r="U741" i="1"/>
  <c r="AN741" i="1" s="1"/>
  <c r="CH740" i="1"/>
  <c r="U740" i="1"/>
  <c r="AN740" i="1" s="1"/>
  <c r="BC740" i="1" s="1"/>
  <c r="CH739" i="1"/>
  <c r="BA739" i="1"/>
  <c r="CI739" i="1" s="1"/>
  <c r="U739" i="1"/>
  <c r="AN739" i="1" s="1"/>
  <c r="CH738" i="1"/>
  <c r="BA738" i="1"/>
  <c r="CI738" i="1" s="1"/>
  <c r="U738" i="1"/>
  <c r="CH737" i="1"/>
  <c r="U737" i="1"/>
  <c r="AN737" i="1" s="1"/>
  <c r="BC737" i="1" s="1"/>
  <c r="CH736" i="1"/>
  <c r="BA736" i="1"/>
  <c r="CI736" i="1" s="1"/>
  <c r="U736" i="1"/>
  <c r="CH735" i="1"/>
  <c r="BA735" i="1"/>
  <c r="CI735" i="1" s="1"/>
  <c r="U735" i="1"/>
  <c r="CH734" i="1"/>
  <c r="BA734" i="1"/>
  <c r="U734" i="1"/>
  <c r="BA733" i="1"/>
  <c r="U733" i="1"/>
  <c r="AN733" i="1" s="1"/>
  <c r="CH732" i="1"/>
  <c r="BA732" i="1"/>
  <c r="CI732" i="1" s="1"/>
  <c r="U732" i="1"/>
  <c r="AN732" i="1" s="1"/>
  <c r="CH731" i="1"/>
  <c r="BA731" i="1"/>
  <c r="CI731" i="1" s="1"/>
  <c r="U731" i="1"/>
  <c r="CH730" i="1"/>
  <c r="BC730" i="1"/>
  <c r="U730" i="1"/>
  <c r="CH729" i="1"/>
  <c r="BA729" i="1"/>
  <c r="CI729" i="1" s="1"/>
  <c r="U729" i="1"/>
  <c r="CH728" i="1"/>
  <c r="BA728" i="1"/>
  <c r="CI728" i="1" s="1"/>
  <c r="U728" i="1"/>
  <c r="CH727" i="1"/>
  <c r="U727" i="1"/>
  <c r="AN727" i="1" s="1"/>
  <c r="BC727" i="1" s="1"/>
  <c r="CH726" i="1"/>
  <c r="U726" i="1"/>
  <c r="AN726" i="1" s="1"/>
  <c r="BC726" i="1" s="1"/>
  <c r="CH725" i="1"/>
  <c r="BA725" i="1"/>
  <c r="CI725" i="1" s="1"/>
  <c r="S725" i="1"/>
  <c r="Q725" i="1"/>
  <c r="M725" i="1"/>
  <c r="U725" i="1" s="1"/>
  <c r="AC725" i="1" s="1"/>
  <c r="AN725" i="1" s="1"/>
  <c r="I725" i="1"/>
  <c r="CH724" i="1"/>
  <c r="BA724" i="1"/>
  <c r="CI724" i="1" s="1"/>
  <c r="U724" i="1"/>
  <c r="AN724" i="1" s="1"/>
  <c r="CJ723" i="1"/>
  <c r="U723" i="1"/>
  <c r="AN723" i="1" s="1"/>
  <c r="BC723" i="1" s="1"/>
  <c r="BA722" i="1"/>
  <c r="CI722" i="1" s="1"/>
  <c r="U722" i="1"/>
  <c r="AN722" i="1" s="1"/>
  <c r="CH721" i="1"/>
  <c r="BB721" i="1"/>
  <c r="BA721" i="1"/>
  <c r="U721" i="1"/>
  <c r="AN721" i="1" s="1"/>
  <c r="CH720" i="1"/>
  <c r="U720" i="1"/>
  <c r="AN720" i="1" s="1"/>
  <c r="BC720" i="1" s="1"/>
  <c r="CH719" i="1"/>
  <c r="BA719" i="1"/>
  <c r="CI719" i="1" s="1"/>
  <c r="U719" i="1"/>
  <c r="CH718" i="1"/>
  <c r="BA718" i="1"/>
  <c r="CI718" i="1" s="1"/>
  <c r="U718" i="1"/>
  <c r="AN718" i="1" s="1"/>
  <c r="CH717" i="1"/>
  <c r="S717" i="1"/>
  <c r="Q717" i="1"/>
  <c r="M717" i="1"/>
  <c r="U717" i="1" s="1"/>
  <c r="AC717" i="1" s="1"/>
  <c r="AN717" i="1" s="1"/>
  <c r="BC717" i="1" s="1"/>
  <c r="I717" i="1"/>
  <c r="CH716" i="1"/>
  <c r="BA716" i="1"/>
  <c r="CI716" i="1" s="1"/>
  <c r="U716" i="1"/>
  <c r="CH715" i="1"/>
  <c r="BA715" i="1"/>
  <c r="CI715" i="1" s="1"/>
  <c r="U715" i="1"/>
  <c r="BA714" i="1"/>
  <c r="CI714" i="1" s="1"/>
  <c r="U714" i="1"/>
  <c r="CH713" i="1"/>
  <c r="BA713" i="1"/>
  <c r="CI713" i="1" s="1"/>
  <c r="U713" i="1"/>
  <c r="AN713" i="1" s="1"/>
  <c r="CH712" i="1"/>
  <c r="U712" i="1"/>
  <c r="AN712" i="1" s="1"/>
  <c r="BC712" i="1" s="1"/>
  <c r="CH711" i="1"/>
  <c r="BA711" i="1"/>
  <c r="CI711" i="1" s="1"/>
  <c r="U711" i="1"/>
  <c r="AN711" i="1" s="1"/>
  <c r="CH710" i="1"/>
  <c r="BA710" i="1"/>
  <c r="CI710" i="1" s="1"/>
  <c r="U710" i="1"/>
  <c r="CH709" i="1"/>
  <c r="BA709" i="1"/>
  <c r="CI709" i="1" s="1"/>
  <c r="U709" i="1"/>
  <c r="AN709" i="1" s="1"/>
  <c r="CH708" i="1"/>
  <c r="BA708" i="1"/>
  <c r="CI708" i="1" s="1"/>
  <c r="U708" i="1"/>
  <c r="CH707" i="1"/>
  <c r="S707" i="1"/>
  <c r="Q707" i="1"/>
  <c r="M707" i="1"/>
  <c r="U707" i="1" s="1"/>
  <c r="AC707" i="1" s="1"/>
  <c r="AN707" i="1" s="1"/>
  <c r="BC707" i="1" s="1"/>
  <c r="I707" i="1"/>
  <c r="CH706" i="1"/>
  <c r="BC706" i="1"/>
  <c r="U706" i="1"/>
  <c r="CH705" i="1"/>
  <c r="BA705" i="1"/>
  <c r="CI705" i="1" s="1"/>
  <c r="U705" i="1"/>
  <c r="AN705" i="1" s="1"/>
  <c r="CH704" i="1"/>
  <c r="BA704" i="1"/>
  <c r="CI704" i="1" s="1"/>
  <c r="S704" i="1"/>
  <c r="Q704" i="1"/>
  <c r="M704" i="1"/>
  <c r="U704" i="1" s="1"/>
  <c r="AC704" i="1" s="1"/>
  <c r="AN704" i="1" s="1"/>
  <c r="I704" i="1"/>
  <c r="CH703" i="1"/>
  <c r="BA703" i="1"/>
  <c r="U703" i="1"/>
  <c r="CH702" i="1"/>
  <c r="U702" i="1"/>
  <c r="AN702" i="1" s="1"/>
  <c r="BC702" i="1" s="1"/>
  <c r="CH701" i="1"/>
  <c r="BA701" i="1"/>
  <c r="CI701" i="1" s="1"/>
  <c r="U701" i="1"/>
  <c r="CH700" i="1"/>
  <c r="BA700" i="1"/>
  <c r="U700" i="1"/>
  <c r="CH699" i="1"/>
  <c r="BB699" i="1"/>
  <c r="BA699" i="1"/>
  <c r="U699" i="1"/>
  <c r="AN699" i="1" s="1"/>
  <c r="CH698" i="1"/>
  <c r="BA698" i="1"/>
  <c r="CI698" i="1" s="1"/>
  <c r="U698" i="1"/>
  <c r="CH697" i="1"/>
  <c r="U697" i="1"/>
  <c r="AN697" i="1" s="1"/>
  <c r="BC697" i="1" s="1"/>
  <c r="CH696" i="1"/>
  <c r="BA696" i="1"/>
  <c r="CI696" i="1" s="1"/>
  <c r="U696" i="1"/>
  <c r="AN696" i="1" s="1"/>
  <c r="CH695" i="1"/>
  <c r="BA695" i="1"/>
  <c r="CI695" i="1" s="1"/>
  <c r="U695" i="1"/>
  <c r="CH694" i="1"/>
  <c r="BA694" i="1"/>
  <c r="CI694" i="1" s="1"/>
  <c r="U694" i="1"/>
  <c r="AN694" i="1" s="1"/>
  <c r="CH693" i="1"/>
  <c r="BA693" i="1"/>
  <c r="CI693" i="1" s="1"/>
  <c r="S693" i="1"/>
  <c r="Q693" i="1"/>
  <c r="M693" i="1"/>
  <c r="U693" i="1" s="1"/>
  <c r="AC693" i="1" s="1"/>
  <c r="AN693" i="1" s="1"/>
  <c r="I693" i="1"/>
  <c r="CH692" i="1"/>
  <c r="U692" i="1"/>
  <c r="AN692" i="1" s="1"/>
  <c r="BC692" i="1" s="1"/>
  <c r="CH691" i="1"/>
  <c r="U691" i="1"/>
  <c r="AN691" i="1" s="1"/>
  <c r="BC691" i="1" s="1"/>
  <c r="CH690" i="1"/>
  <c r="U690" i="1"/>
  <c r="AN690" i="1" s="1"/>
  <c r="BC690" i="1" s="1"/>
  <c r="CH689" i="1"/>
  <c r="BA689" i="1"/>
  <c r="CI689" i="1" s="1"/>
  <c r="U689" i="1"/>
  <c r="CH688" i="1"/>
  <c r="U688" i="1"/>
  <c r="AN688" i="1" s="1"/>
  <c r="BC688" i="1" s="1"/>
  <c r="CH687" i="1"/>
  <c r="BA687" i="1"/>
  <c r="CI687" i="1" s="1"/>
  <c r="U687" i="1"/>
  <c r="AN687" i="1" s="1"/>
  <c r="CH686" i="1"/>
  <c r="BA686" i="1"/>
  <c r="CI686" i="1" s="1"/>
  <c r="U686" i="1"/>
  <c r="AN686" i="1" s="1"/>
  <c r="CH685" i="1"/>
  <c r="BA685" i="1"/>
  <c r="CI685" i="1" s="1"/>
  <c r="U685" i="1"/>
  <c r="CH684" i="1"/>
  <c r="U684" i="1"/>
  <c r="AN684" i="1" s="1"/>
  <c r="BC684" i="1" s="1"/>
  <c r="CH683" i="1"/>
  <c r="BB683" i="1"/>
  <c r="BA683" i="1"/>
  <c r="S683" i="1"/>
  <c r="Q683" i="1"/>
  <c r="M683" i="1"/>
  <c r="U683" i="1" s="1"/>
  <c r="AC683" i="1" s="1"/>
  <c r="AN683" i="1" s="1"/>
  <c r="I683" i="1"/>
  <c r="CH682" i="1"/>
  <c r="U682" i="1"/>
  <c r="AN682" i="1" s="1"/>
  <c r="BC682" i="1" s="1"/>
  <c r="CJ681" i="1"/>
  <c r="U681" i="1"/>
  <c r="AN681" i="1" s="1"/>
  <c r="BC681" i="1" s="1"/>
  <c r="CH680" i="1"/>
  <c r="BA680" i="1"/>
  <c r="CI680" i="1" s="1"/>
  <c r="U680" i="1"/>
  <c r="AN680" i="1" s="1"/>
  <c r="CH679" i="1"/>
  <c r="BA679" i="1"/>
  <c r="U679" i="1"/>
  <c r="CH678" i="1"/>
  <c r="U678" i="1"/>
  <c r="AN678" i="1" s="1"/>
  <c r="BC678" i="1" s="1"/>
  <c r="CH677" i="1"/>
  <c r="U677" i="1"/>
  <c r="AN677" i="1" s="1"/>
  <c r="BC677" i="1" s="1"/>
  <c r="CH676" i="1"/>
  <c r="U676" i="1"/>
  <c r="AN676" i="1" s="1"/>
  <c r="BC676" i="1" s="1"/>
  <c r="CH675" i="1"/>
  <c r="BA675" i="1"/>
  <c r="CI675" i="1" s="1"/>
  <c r="U675" i="1"/>
  <c r="AN675" i="1" s="1"/>
  <c r="CH674" i="1"/>
  <c r="U674" i="1"/>
  <c r="AN674" i="1" s="1"/>
  <c r="BC674" i="1" s="1"/>
  <c r="CH673" i="1"/>
  <c r="BA673" i="1"/>
  <c r="CI673" i="1" s="1"/>
  <c r="U673" i="1"/>
  <c r="AN673" i="1" s="1"/>
  <c r="CH672" i="1"/>
  <c r="BA672" i="1"/>
  <c r="CI672" i="1" s="1"/>
  <c r="U672" i="1"/>
  <c r="BA671" i="1"/>
  <c r="CI671" i="1" s="1"/>
  <c r="U671" i="1"/>
  <c r="CH670" i="1"/>
  <c r="BA670" i="1"/>
  <c r="CI670" i="1" s="1"/>
  <c r="U670" i="1"/>
  <c r="CH669" i="1"/>
  <c r="BA669" i="1"/>
  <c r="CI669" i="1" s="1"/>
  <c r="U669" i="1"/>
  <c r="CH668" i="1"/>
  <c r="U668" i="1"/>
  <c r="AN668" i="1" s="1"/>
  <c r="BC668" i="1" s="1"/>
  <c r="CH667" i="1"/>
  <c r="U667" i="1"/>
  <c r="AN667" i="1" s="1"/>
  <c r="BC667" i="1" s="1"/>
  <c r="CH666" i="1"/>
  <c r="BA666" i="1"/>
  <c r="CI666" i="1" s="1"/>
  <c r="U666" i="1"/>
  <c r="BA665" i="1"/>
  <c r="U665" i="1"/>
  <c r="CH664" i="1"/>
  <c r="BA664" i="1"/>
  <c r="CI664" i="1" s="1"/>
  <c r="U664" i="1"/>
  <c r="CH663" i="1"/>
  <c r="U663" i="1"/>
  <c r="AN663" i="1" s="1"/>
  <c r="BC663" i="1" s="1"/>
  <c r="CH662" i="1"/>
  <c r="U662" i="1"/>
  <c r="AN662" i="1" s="1"/>
  <c r="BC662" i="1" s="1"/>
  <c r="CH661" i="1"/>
  <c r="BA661" i="1"/>
  <c r="CI661" i="1" s="1"/>
  <c r="U661" i="1"/>
  <c r="AN661" i="1" s="1"/>
  <c r="CH660" i="1"/>
  <c r="U660" i="1"/>
  <c r="AN660" i="1" s="1"/>
  <c r="BC660" i="1" s="1"/>
  <c r="CH659" i="1"/>
  <c r="BA659" i="1"/>
  <c r="CI659" i="1" s="1"/>
  <c r="U659" i="1"/>
  <c r="AN659" i="1" s="1"/>
  <c r="BA658" i="1"/>
  <c r="U658" i="1"/>
  <c r="AN658" i="1" s="1"/>
  <c r="CH657" i="1"/>
  <c r="BA657" i="1"/>
  <c r="CI657" i="1" s="1"/>
  <c r="U657" i="1"/>
  <c r="CH656" i="1"/>
  <c r="BA656" i="1"/>
  <c r="CI656" i="1" s="1"/>
  <c r="U656" i="1"/>
  <c r="CH655" i="1"/>
  <c r="BA655" i="1"/>
  <c r="CI655" i="1" s="1"/>
  <c r="U655" i="1"/>
  <c r="CH654" i="1"/>
  <c r="U654" i="1"/>
  <c r="AN654" i="1" s="1"/>
  <c r="BC654" i="1" s="1"/>
  <c r="CH653" i="1"/>
  <c r="U653" i="1"/>
  <c r="AN653" i="1" s="1"/>
  <c r="BC653" i="1" s="1"/>
  <c r="CH652" i="1"/>
  <c r="BA652" i="1"/>
  <c r="CI652" i="1" s="1"/>
  <c r="U652" i="1"/>
  <c r="AN652" i="1" s="1"/>
  <c r="CH651" i="1"/>
  <c r="BA651" i="1"/>
  <c r="CI651" i="1" s="1"/>
  <c r="U651" i="1"/>
  <c r="AN651" i="1" s="1"/>
  <c r="CH650" i="1"/>
  <c r="U650" i="1"/>
  <c r="AN650" i="1" s="1"/>
  <c r="BC650" i="1" s="1"/>
  <c r="CH649" i="1"/>
  <c r="U649" i="1"/>
  <c r="AN649" i="1" s="1"/>
  <c r="BC649" i="1" s="1"/>
  <c r="CH648" i="1"/>
  <c r="BB648" i="1"/>
  <c r="CI648" i="1" s="1"/>
  <c r="U648" i="1"/>
  <c r="AN648" i="1" s="1"/>
  <c r="CH647" i="1"/>
  <c r="BA647" i="1"/>
  <c r="CI647" i="1" s="1"/>
  <c r="U647" i="1"/>
  <c r="CH646" i="1"/>
  <c r="U646" i="1"/>
  <c r="AN646" i="1" s="1"/>
  <c r="BC646" i="1" s="1"/>
  <c r="CH645" i="1"/>
  <c r="U645" i="1"/>
  <c r="AN645" i="1" s="1"/>
  <c r="BC645" i="1" s="1"/>
  <c r="CH644" i="1"/>
  <c r="BC644" i="1"/>
  <c r="U644" i="1"/>
  <c r="CH643" i="1"/>
  <c r="U643" i="1"/>
  <c r="AN643" i="1" s="1"/>
  <c r="BC643" i="1" s="1"/>
  <c r="CH642" i="1"/>
  <c r="U642" i="1"/>
  <c r="AN642" i="1" s="1"/>
  <c r="BC642" i="1" s="1"/>
  <c r="CH641" i="1"/>
  <c r="U641" i="1"/>
  <c r="AN641" i="1" s="1"/>
  <c r="BC641" i="1" s="1"/>
  <c r="CH640" i="1"/>
  <c r="U640" i="1"/>
  <c r="AN640" i="1" s="1"/>
  <c r="BC640" i="1" s="1"/>
  <c r="CH639" i="1"/>
  <c r="U639" i="1"/>
  <c r="AN639" i="1" s="1"/>
  <c r="BC639" i="1" s="1"/>
  <c r="CH638" i="1"/>
  <c r="U638" i="1"/>
  <c r="AN638" i="1" s="1"/>
  <c r="BC638" i="1" s="1"/>
  <c r="CH637" i="1"/>
  <c r="U637" i="1"/>
  <c r="AN637" i="1" s="1"/>
  <c r="BC637" i="1" s="1"/>
  <c r="CH636" i="1"/>
  <c r="BA636" i="1"/>
  <c r="CI636" i="1" s="1"/>
  <c r="U636" i="1"/>
  <c r="BA635" i="1"/>
  <c r="U635" i="1"/>
  <c r="AN635" i="1" s="1"/>
  <c r="CH634" i="1"/>
  <c r="BA634" i="1"/>
  <c r="CI634" i="1" s="1"/>
  <c r="U634" i="1"/>
  <c r="CH633" i="1"/>
  <c r="BA633" i="1"/>
  <c r="CI633" i="1" s="1"/>
  <c r="U633" i="1"/>
  <c r="CH632" i="1"/>
  <c r="BA632" i="1"/>
  <c r="U632" i="1"/>
  <c r="CH631" i="1"/>
  <c r="U631" i="1"/>
  <c r="AN631" i="1" s="1"/>
  <c r="BC631" i="1" s="1"/>
  <c r="CH630" i="1"/>
  <c r="U630" i="1"/>
  <c r="AN630" i="1" s="1"/>
  <c r="BC630" i="1" s="1"/>
  <c r="CH629" i="1"/>
  <c r="BA629" i="1"/>
  <c r="U629" i="1"/>
  <c r="CH628" i="1"/>
  <c r="BA628" i="1"/>
  <c r="CI628" i="1" s="1"/>
  <c r="U628" i="1"/>
  <c r="CH627" i="1"/>
  <c r="BA627" i="1"/>
  <c r="CI627" i="1" s="1"/>
  <c r="U627" i="1"/>
  <c r="CH626" i="1"/>
  <c r="BB626" i="1"/>
  <c r="CI626" i="1" s="1"/>
  <c r="U626" i="1"/>
  <c r="AN626" i="1" s="1"/>
  <c r="CH625" i="1"/>
  <c r="BA625" i="1"/>
  <c r="CI625" i="1" s="1"/>
  <c r="U625" i="1"/>
  <c r="CH624" i="1"/>
  <c r="BB624" i="1"/>
  <c r="BA624" i="1"/>
  <c r="S624" i="1"/>
  <c r="Q624" i="1"/>
  <c r="M624" i="1"/>
  <c r="U624" i="1" s="1"/>
  <c r="AC624" i="1" s="1"/>
  <c r="AN624" i="1" s="1"/>
  <c r="I624" i="1"/>
  <c r="CH623" i="1"/>
  <c r="BA623" i="1"/>
  <c r="CI623" i="1" s="1"/>
  <c r="S623" i="1"/>
  <c r="Q623" i="1"/>
  <c r="M623" i="1"/>
  <c r="U623" i="1" s="1"/>
  <c r="AC623" i="1" s="1"/>
  <c r="AN623" i="1" s="1"/>
  <c r="I623" i="1"/>
  <c r="CH622" i="1"/>
  <c r="U622" i="1"/>
  <c r="AN622" i="1" s="1"/>
  <c r="BC622" i="1" s="1"/>
  <c r="CH621" i="1"/>
  <c r="U621" i="1"/>
  <c r="AN621" i="1" s="1"/>
  <c r="BC621" i="1" s="1"/>
  <c r="CH620" i="1"/>
  <c r="BA620" i="1"/>
  <c r="CI620" i="1" s="1"/>
  <c r="S620" i="1"/>
  <c r="Q620" i="1"/>
  <c r="M620" i="1"/>
  <c r="U620" i="1" s="1"/>
  <c r="AC620" i="1" s="1"/>
  <c r="AN620" i="1" s="1"/>
  <c r="I620" i="1"/>
  <c r="CH619" i="1"/>
  <c r="BA619" i="1"/>
  <c r="CI619" i="1" s="1"/>
  <c r="U619" i="1"/>
  <c r="AN619" i="1" s="1"/>
  <c r="CH618" i="1"/>
  <c r="U618" i="1"/>
  <c r="AN618" i="1" s="1"/>
  <c r="BC618" i="1" s="1"/>
  <c r="CH617" i="1"/>
  <c r="BA617" i="1"/>
  <c r="CI617" i="1" s="1"/>
  <c r="U617" i="1"/>
  <c r="AN617" i="1" s="1"/>
  <c r="CH616" i="1"/>
  <c r="BA616" i="1"/>
  <c r="CI616" i="1" s="1"/>
  <c r="U616" i="1"/>
  <c r="AN616" i="1" s="1"/>
  <c r="CH615" i="1"/>
  <c r="U615" i="1"/>
  <c r="AN615" i="1" s="1"/>
  <c r="BC615" i="1" s="1"/>
  <c r="CH614" i="1"/>
  <c r="U614" i="1"/>
  <c r="AN614" i="1" s="1"/>
  <c r="BC614" i="1" s="1"/>
  <c r="CH613" i="1"/>
  <c r="BB613" i="1"/>
  <c r="CI613" i="1" s="1"/>
  <c r="S613" i="1"/>
  <c r="Q613" i="1"/>
  <c r="M613" i="1"/>
  <c r="U613" i="1" s="1"/>
  <c r="AC613" i="1" s="1"/>
  <c r="AN613" i="1" s="1"/>
  <c r="I613" i="1"/>
  <c r="CH612" i="1"/>
  <c r="BA612" i="1"/>
  <c r="CI612" i="1" s="1"/>
  <c r="U612" i="1"/>
  <c r="AN612" i="1" s="1"/>
  <c r="CH611" i="1"/>
  <c r="U611" i="1"/>
  <c r="AN611" i="1" s="1"/>
  <c r="BC611" i="1" s="1"/>
  <c r="CJ610" i="1"/>
  <c r="CK610" i="1" s="1"/>
  <c r="BC610" i="1"/>
  <c r="U610" i="1"/>
  <c r="CH609" i="1"/>
  <c r="BA609" i="1"/>
  <c r="CI609" i="1" s="1"/>
  <c r="U609" i="1"/>
  <c r="CH608" i="1"/>
  <c r="BA608" i="1"/>
  <c r="CI608" i="1" s="1"/>
  <c r="U608" i="1"/>
  <c r="AN608" i="1" s="1"/>
  <c r="CH607" i="1"/>
  <c r="BA607" i="1"/>
  <c r="CI607" i="1" s="1"/>
  <c r="U607" i="1"/>
  <c r="AN607" i="1" s="1"/>
  <c r="CH606" i="1"/>
  <c r="BA606" i="1"/>
  <c r="CI606" i="1" s="1"/>
  <c r="U606" i="1"/>
  <c r="CH605" i="1"/>
  <c r="BB605" i="1"/>
  <c r="BA605" i="1"/>
  <c r="U605" i="1"/>
  <c r="AN605" i="1" s="1"/>
  <c r="CH604" i="1"/>
  <c r="U604" i="1"/>
  <c r="AN604" i="1" s="1"/>
  <c r="BC604" i="1" s="1"/>
  <c r="CH603" i="1"/>
  <c r="BA603" i="1"/>
  <c r="CI603" i="1" s="1"/>
  <c r="U603" i="1"/>
  <c r="AN603" i="1" s="1"/>
  <c r="CH602" i="1"/>
  <c r="BA602" i="1"/>
  <c r="CI602" i="1" s="1"/>
  <c r="U602" i="1"/>
  <c r="CH601" i="1"/>
  <c r="BA601" i="1"/>
  <c r="CI601" i="1" s="1"/>
  <c r="U601" i="1"/>
  <c r="AN601" i="1" s="1"/>
  <c r="CH600" i="1"/>
  <c r="U600" i="1"/>
  <c r="AN600" i="1" s="1"/>
  <c r="BC600" i="1" s="1"/>
  <c r="CH599" i="1"/>
  <c r="BA599" i="1"/>
  <c r="CI599" i="1" s="1"/>
  <c r="U599" i="1"/>
  <c r="CH598" i="1"/>
  <c r="BA598" i="1"/>
  <c r="CI598" i="1" s="1"/>
  <c r="U598" i="1"/>
  <c r="AN598" i="1" s="1"/>
  <c r="CH597" i="1"/>
  <c r="U597" i="1"/>
  <c r="AN597" i="1" s="1"/>
  <c r="BC597" i="1" s="1"/>
  <c r="CH596" i="1"/>
  <c r="BA596" i="1"/>
  <c r="CI596" i="1" s="1"/>
  <c r="U596" i="1"/>
  <c r="CH595" i="1"/>
  <c r="U595" i="1"/>
  <c r="AN595" i="1" s="1"/>
  <c r="BC595" i="1" s="1"/>
  <c r="CH594" i="1"/>
  <c r="BA594" i="1"/>
  <c r="CI594" i="1" s="1"/>
  <c r="U594" i="1"/>
  <c r="AN594" i="1" s="1"/>
  <c r="CH593" i="1"/>
  <c r="BA593" i="1"/>
  <c r="CI593" i="1" s="1"/>
  <c r="U593" i="1"/>
  <c r="CH592" i="1"/>
  <c r="U592" i="1"/>
  <c r="AN592" i="1" s="1"/>
  <c r="BC592" i="1" s="1"/>
  <c r="CH591" i="1"/>
  <c r="U591" i="1"/>
  <c r="AN591" i="1" s="1"/>
  <c r="BC591" i="1" s="1"/>
  <c r="CH590" i="1"/>
  <c r="U590" i="1"/>
  <c r="AN590" i="1" s="1"/>
  <c r="BC590" i="1" s="1"/>
  <c r="CH589" i="1"/>
  <c r="U589" i="1"/>
  <c r="AN589" i="1" s="1"/>
  <c r="BC589" i="1" s="1"/>
  <c r="CH588" i="1"/>
  <c r="U588" i="1"/>
  <c r="AN588" i="1" s="1"/>
  <c r="BC588" i="1" s="1"/>
  <c r="CH587" i="1"/>
  <c r="BB587" i="1"/>
  <c r="BA587" i="1"/>
  <c r="S587" i="1"/>
  <c r="Q587" i="1"/>
  <c r="M587" i="1"/>
  <c r="U587" i="1" s="1"/>
  <c r="AC587" i="1" s="1"/>
  <c r="AN587" i="1" s="1"/>
  <c r="I587" i="1"/>
  <c r="CH586" i="1"/>
  <c r="U586" i="1"/>
  <c r="AN586" i="1" s="1"/>
  <c r="BC586" i="1" s="1"/>
  <c r="CH585" i="1"/>
  <c r="U585" i="1"/>
  <c r="AN585" i="1" s="1"/>
  <c r="BC585" i="1" s="1"/>
  <c r="CH584" i="1"/>
  <c r="U584" i="1"/>
  <c r="AN584" i="1" s="1"/>
  <c r="BC584" i="1" s="1"/>
  <c r="CH583" i="1"/>
  <c r="U583" i="1"/>
  <c r="AN583" i="1" s="1"/>
  <c r="BC583" i="1" s="1"/>
  <c r="CH582" i="1"/>
  <c r="U582" i="1"/>
  <c r="AN582" i="1" s="1"/>
  <c r="BC582" i="1" s="1"/>
  <c r="CH581" i="1"/>
  <c r="U581" i="1"/>
  <c r="AN581" i="1" s="1"/>
  <c r="BC581" i="1" s="1"/>
  <c r="CH580" i="1"/>
  <c r="BA580" i="1"/>
  <c r="CI580" i="1" s="1"/>
  <c r="U580" i="1"/>
  <c r="AN580" i="1" s="1"/>
  <c r="CH579" i="1"/>
  <c r="BA579" i="1"/>
  <c r="CI579" i="1" s="1"/>
  <c r="U579" i="1"/>
  <c r="AN579" i="1" s="1"/>
  <c r="CH578" i="1"/>
  <c r="BA578" i="1"/>
  <c r="CI578" i="1" s="1"/>
  <c r="U578" i="1"/>
  <c r="AN578" i="1" s="1"/>
  <c r="CH577" i="1"/>
  <c r="U577" i="1"/>
  <c r="AN577" i="1" s="1"/>
  <c r="BC577" i="1" s="1"/>
  <c r="CJ576" i="1"/>
  <c r="U576" i="1"/>
  <c r="AN576" i="1" s="1"/>
  <c r="BC576" i="1" s="1"/>
  <c r="CH575" i="1"/>
  <c r="U575" i="1"/>
  <c r="AN575" i="1" s="1"/>
  <c r="BC575" i="1" s="1"/>
  <c r="CH574" i="1"/>
  <c r="U574" i="1"/>
  <c r="AN574" i="1" s="1"/>
  <c r="BC574" i="1" s="1"/>
  <c r="CH573" i="1"/>
  <c r="S573" i="1"/>
  <c r="Q573" i="1"/>
  <c r="M573" i="1"/>
  <c r="U573" i="1" s="1"/>
  <c r="AC573" i="1" s="1"/>
  <c r="AN573" i="1" s="1"/>
  <c r="BC573" i="1" s="1"/>
  <c r="I573" i="1"/>
  <c r="CH572" i="1"/>
  <c r="BA572" i="1"/>
  <c r="CI572" i="1" s="1"/>
  <c r="U572" i="1"/>
  <c r="AN572" i="1" s="1"/>
  <c r="CH571" i="1"/>
  <c r="BA571" i="1"/>
  <c r="CI571" i="1" s="1"/>
  <c r="U571" i="1"/>
  <c r="CH570" i="1"/>
  <c r="BA570" i="1"/>
  <c r="CI570" i="1" s="1"/>
  <c r="U570" i="1"/>
  <c r="AN570" i="1" s="1"/>
  <c r="BA569" i="1"/>
  <c r="U569" i="1"/>
  <c r="AN569" i="1" s="1"/>
  <c r="CH568" i="1"/>
  <c r="BA568" i="1"/>
  <c r="U568" i="1"/>
  <c r="CH567" i="1"/>
  <c r="S567" i="1"/>
  <c r="Q567" i="1"/>
  <c r="M567" i="1"/>
  <c r="U567" i="1" s="1"/>
  <c r="AC567" i="1" s="1"/>
  <c r="AN567" i="1" s="1"/>
  <c r="BC567" i="1" s="1"/>
  <c r="CH566" i="1"/>
  <c r="U566" i="1"/>
  <c r="AN566" i="1" s="1"/>
  <c r="BC566" i="1" s="1"/>
  <c r="CH565" i="1"/>
  <c r="BA565" i="1"/>
  <c r="U565" i="1"/>
  <c r="CH564" i="1"/>
  <c r="BA564" i="1"/>
  <c r="CI564" i="1" s="1"/>
  <c r="S564" i="1"/>
  <c r="Q564" i="1"/>
  <c r="M564" i="1"/>
  <c r="U564" i="1" s="1"/>
  <c r="AC564" i="1" s="1"/>
  <c r="AN564" i="1" s="1"/>
  <c r="I564" i="1"/>
  <c r="CH563" i="1"/>
  <c r="BA563" i="1"/>
  <c r="CI563" i="1" s="1"/>
  <c r="U563" i="1"/>
  <c r="AN563" i="1" s="1"/>
  <c r="CH562" i="1"/>
  <c r="BA562" i="1"/>
  <c r="CI562" i="1" s="1"/>
  <c r="U562" i="1"/>
  <c r="CH561" i="1"/>
  <c r="BB561" i="1"/>
  <c r="BA561" i="1"/>
  <c r="S561" i="1"/>
  <c r="Q561" i="1"/>
  <c r="M561" i="1"/>
  <c r="U561" i="1" s="1"/>
  <c r="AC561" i="1" s="1"/>
  <c r="AN561" i="1" s="1"/>
  <c r="I561" i="1"/>
  <c r="CJ560" i="1"/>
  <c r="U560" i="1"/>
  <c r="AN560" i="1" s="1"/>
  <c r="BC560" i="1" s="1"/>
  <c r="CH559" i="1"/>
  <c r="U559" i="1"/>
  <c r="AN559" i="1" s="1"/>
  <c r="BC559" i="1" s="1"/>
  <c r="CH558" i="1"/>
  <c r="BA558" i="1"/>
  <c r="CI558" i="1" s="1"/>
  <c r="U558" i="1"/>
  <c r="CH557" i="1"/>
  <c r="BA557" i="1"/>
  <c r="CI557" i="1" s="1"/>
  <c r="U557" i="1"/>
  <c r="CH556" i="1"/>
  <c r="BA556" i="1"/>
  <c r="CI556" i="1" s="1"/>
  <c r="U556" i="1"/>
  <c r="CH555" i="1"/>
  <c r="BA555" i="1"/>
  <c r="CI555" i="1" s="1"/>
  <c r="U555" i="1"/>
  <c r="AN555" i="1" s="1"/>
  <c r="CH554" i="1"/>
  <c r="BA554" i="1"/>
  <c r="CI554" i="1" s="1"/>
  <c r="U554" i="1"/>
  <c r="CH553" i="1"/>
  <c r="BA553" i="1"/>
  <c r="CI553" i="1" s="1"/>
  <c r="U553" i="1"/>
  <c r="AN553" i="1" s="1"/>
  <c r="CH552" i="1"/>
  <c r="BA552" i="1"/>
  <c r="CI552" i="1" s="1"/>
  <c r="U552" i="1"/>
  <c r="AN552" i="1" s="1"/>
  <c r="CH551" i="1"/>
  <c r="BA551" i="1"/>
  <c r="CI551" i="1" s="1"/>
  <c r="U551" i="1"/>
  <c r="CH550" i="1"/>
  <c r="U550" i="1"/>
  <c r="AN550" i="1" s="1"/>
  <c r="BC550" i="1" s="1"/>
  <c r="CH549" i="1"/>
  <c r="BA549" i="1"/>
  <c r="CI549" i="1" s="1"/>
  <c r="U549" i="1"/>
  <c r="AN549" i="1" s="1"/>
  <c r="CH548" i="1"/>
  <c r="S548" i="1"/>
  <c r="Q548" i="1"/>
  <c r="M548" i="1"/>
  <c r="U548" i="1" s="1"/>
  <c r="AC548" i="1" s="1"/>
  <c r="AN548" i="1" s="1"/>
  <c r="BC548" i="1" s="1"/>
  <c r="I548" i="1"/>
  <c r="CH547" i="1"/>
  <c r="BA547" i="1"/>
  <c r="U547" i="1"/>
  <c r="CH546" i="1"/>
  <c r="U546" i="1"/>
  <c r="AN546" i="1" s="1"/>
  <c r="BC546" i="1" s="1"/>
  <c r="CH545" i="1"/>
  <c r="U545" i="1"/>
  <c r="AN545" i="1" s="1"/>
  <c r="BC545" i="1" s="1"/>
  <c r="CH544" i="1"/>
  <c r="BA544" i="1"/>
  <c r="U544" i="1"/>
  <c r="CH543" i="1"/>
  <c r="BA543" i="1"/>
  <c r="CI543" i="1" s="1"/>
  <c r="U543" i="1"/>
  <c r="CH542" i="1"/>
  <c r="U542" i="1"/>
  <c r="AN542" i="1" s="1"/>
  <c r="BC542" i="1" s="1"/>
  <c r="CH541" i="1"/>
  <c r="BB541" i="1"/>
  <c r="CI541" i="1" s="1"/>
  <c r="U541" i="1"/>
  <c r="AN541" i="1" s="1"/>
  <c r="CH540" i="1"/>
  <c r="U540" i="1"/>
  <c r="AN540" i="1" s="1"/>
  <c r="BC540" i="1" s="1"/>
  <c r="CJ539" i="1"/>
  <c r="CK539" i="1" s="1"/>
  <c r="U539" i="1"/>
  <c r="AN539" i="1" s="1"/>
  <c r="BC539" i="1" s="1"/>
  <c r="CH538" i="1"/>
  <c r="BA538" i="1"/>
  <c r="CI538" i="1" s="1"/>
  <c r="U538" i="1"/>
  <c r="AN538" i="1" s="1"/>
  <c r="CH537" i="1"/>
  <c r="BA537" i="1"/>
  <c r="CI537" i="1" s="1"/>
  <c r="U537" i="1"/>
  <c r="AN537" i="1" s="1"/>
  <c r="CH536" i="1"/>
  <c r="BA536" i="1"/>
  <c r="U536" i="1"/>
  <c r="CH535" i="1"/>
  <c r="BA535" i="1"/>
  <c r="U535" i="1"/>
  <c r="CH534" i="1"/>
  <c r="BA534" i="1"/>
  <c r="U534" i="1"/>
  <c r="CH533" i="1"/>
  <c r="BA533" i="1"/>
  <c r="CI533" i="1" s="1"/>
  <c r="U533" i="1"/>
  <c r="CH532" i="1"/>
  <c r="U532" i="1"/>
  <c r="AN532" i="1" s="1"/>
  <c r="BC532" i="1" s="1"/>
  <c r="CH531" i="1"/>
  <c r="U531" i="1"/>
  <c r="AN531" i="1" s="1"/>
  <c r="BC531" i="1" s="1"/>
  <c r="CH530" i="1"/>
  <c r="BA530" i="1"/>
  <c r="CI530" i="1" s="1"/>
  <c r="U530" i="1"/>
  <c r="CJ529" i="1"/>
  <c r="CK529" i="1" s="1"/>
  <c r="U529" i="1"/>
  <c r="AN529" i="1" s="1"/>
  <c r="BC529" i="1" s="1"/>
  <c r="BA528" i="1"/>
  <c r="U528" i="1"/>
  <c r="CH527" i="1"/>
  <c r="BA527" i="1"/>
  <c r="CI527" i="1" s="1"/>
  <c r="U527" i="1"/>
  <c r="CH526" i="1"/>
  <c r="U526" i="1"/>
  <c r="AN526" i="1" s="1"/>
  <c r="BC526" i="1" s="1"/>
  <c r="CH525" i="1"/>
  <c r="U525" i="1"/>
  <c r="AN525" i="1" s="1"/>
  <c r="BC525" i="1" s="1"/>
  <c r="BA524" i="1"/>
  <c r="CI524" i="1" s="1"/>
  <c r="U524" i="1"/>
  <c r="CH523" i="1"/>
  <c r="BA523" i="1"/>
  <c r="CI523" i="1" s="1"/>
  <c r="U523" i="1"/>
  <c r="AN523" i="1" s="1"/>
  <c r="CH522" i="1"/>
  <c r="U522" i="1"/>
  <c r="AN522" i="1" s="1"/>
  <c r="BC522" i="1" s="1"/>
  <c r="CH521" i="1"/>
  <c r="BA521" i="1"/>
  <c r="U521" i="1"/>
  <c r="CH520" i="1"/>
  <c r="BA520" i="1"/>
  <c r="CI520" i="1" s="1"/>
  <c r="U520" i="1"/>
  <c r="AN520" i="1" s="1"/>
  <c r="BA519" i="1"/>
  <c r="U519" i="1"/>
  <c r="AN519" i="1" s="1"/>
  <c r="CH518" i="1"/>
  <c r="U518" i="1"/>
  <c r="AN518" i="1" s="1"/>
  <c r="BC518" i="1" s="1"/>
  <c r="BA517" i="1"/>
  <c r="CI517" i="1" s="1"/>
  <c r="U517" i="1"/>
  <c r="BA516" i="1"/>
  <c r="U516" i="1"/>
  <c r="AN516" i="1" s="1"/>
  <c r="CH515" i="1"/>
  <c r="BA515" i="1"/>
  <c r="CI515" i="1" s="1"/>
  <c r="U515" i="1"/>
  <c r="AN515" i="1" s="1"/>
  <c r="CH514" i="1"/>
  <c r="BA514" i="1"/>
  <c r="CI514" i="1" s="1"/>
  <c r="U514" i="1"/>
  <c r="AN514" i="1" s="1"/>
  <c r="CH513" i="1"/>
  <c r="U513" i="1"/>
  <c r="AN513" i="1" s="1"/>
  <c r="BC513" i="1" s="1"/>
  <c r="CH512" i="1"/>
  <c r="BA512" i="1"/>
  <c r="CI512" i="1" s="1"/>
  <c r="U512" i="1"/>
  <c r="CH511" i="1"/>
  <c r="BA511" i="1"/>
  <c r="CI511" i="1" s="1"/>
  <c r="U511" i="1"/>
  <c r="AN511" i="1" s="1"/>
  <c r="CJ510" i="1"/>
  <c r="U510" i="1"/>
  <c r="AN510" i="1" s="1"/>
  <c r="BC510" i="1" s="1"/>
  <c r="CH509" i="1"/>
  <c r="BA509" i="1"/>
  <c r="CI509" i="1" s="1"/>
  <c r="U509" i="1"/>
  <c r="AN509" i="1" s="1"/>
  <c r="CH508" i="1"/>
  <c r="U508" i="1"/>
  <c r="AN508" i="1" s="1"/>
  <c r="BC508" i="1" s="1"/>
  <c r="CH507" i="1"/>
  <c r="BB507" i="1"/>
  <c r="CI507" i="1" s="1"/>
  <c r="U507" i="1"/>
  <c r="AN507" i="1" s="1"/>
  <c r="CH506" i="1"/>
  <c r="U506" i="1"/>
  <c r="AN506" i="1" s="1"/>
  <c r="BC506" i="1" s="1"/>
  <c r="CJ505" i="1"/>
  <c r="CK505" i="1" s="1"/>
  <c r="U505" i="1"/>
  <c r="AN505" i="1" s="1"/>
  <c r="BC505" i="1" s="1"/>
  <c r="BA504" i="1"/>
  <c r="CI504" i="1" s="1"/>
  <c r="U504" i="1"/>
  <c r="CH503" i="1"/>
  <c r="BA503" i="1"/>
  <c r="U503" i="1"/>
  <c r="CH502" i="1"/>
  <c r="BA502" i="1"/>
  <c r="CI502" i="1" s="1"/>
  <c r="U502" i="1"/>
  <c r="CH501" i="1"/>
  <c r="U501" i="1"/>
  <c r="AN501" i="1" s="1"/>
  <c r="BC501" i="1" s="1"/>
  <c r="CH500" i="1"/>
  <c r="U500" i="1"/>
  <c r="AN500" i="1" s="1"/>
  <c r="BC500" i="1" s="1"/>
  <c r="CH499" i="1"/>
  <c r="BA499" i="1"/>
  <c r="CI499" i="1" s="1"/>
  <c r="U499" i="1"/>
  <c r="CH498" i="1"/>
  <c r="BA498" i="1"/>
  <c r="CI498" i="1" s="1"/>
  <c r="U498" i="1"/>
  <c r="AN498" i="1" s="1"/>
  <c r="CH497" i="1"/>
  <c r="BA497" i="1"/>
  <c r="CI497" i="1" s="1"/>
  <c r="U497" i="1"/>
  <c r="AN497" i="1" s="1"/>
  <c r="CH496" i="1"/>
  <c r="BA496" i="1"/>
  <c r="CI496" i="1" s="1"/>
  <c r="U496" i="1"/>
  <c r="CH495" i="1"/>
  <c r="BA495" i="1"/>
  <c r="CI495" i="1" s="1"/>
  <c r="U495" i="1"/>
  <c r="CH494" i="1"/>
  <c r="BB494" i="1"/>
  <c r="BA494" i="1"/>
  <c r="U494" i="1"/>
  <c r="AN494" i="1" s="1"/>
  <c r="CH493" i="1"/>
  <c r="BA493" i="1"/>
  <c r="CI493" i="1" s="1"/>
  <c r="U493" i="1"/>
  <c r="CH492" i="1"/>
  <c r="U492" i="1"/>
  <c r="AN492" i="1" s="1"/>
  <c r="BC492" i="1" s="1"/>
  <c r="CH491" i="1"/>
  <c r="BA491" i="1"/>
  <c r="CI491" i="1" s="1"/>
  <c r="U491" i="1"/>
  <c r="CH490" i="1"/>
  <c r="BA490" i="1"/>
  <c r="CI490" i="1" s="1"/>
  <c r="U490" i="1"/>
  <c r="CH489" i="1"/>
  <c r="BB489" i="1"/>
  <c r="CI489" i="1" s="1"/>
  <c r="U489" i="1"/>
  <c r="AN489" i="1" s="1"/>
  <c r="CH488" i="1"/>
  <c r="U488" i="1"/>
  <c r="AN488" i="1" s="1"/>
  <c r="BC488" i="1" s="1"/>
  <c r="CJ487" i="1"/>
  <c r="U487" i="1"/>
  <c r="AN487" i="1" s="1"/>
  <c r="BC487" i="1" s="1"/>
  <c r="CH486" i="1"/>
  <c r="BA486" i="1"/>
  <c r="CI486" i="1" s="1"/>
  <c r="U486" i="1"/>
  <c r="AN486" i="1" s="1"/>
  <c r="BA485" i="1"/>
  <c r="CI485" i="1" s="1"/>
  <c r="U485" i="1"/>
  <c r="CH484" i="1"/>
  <c r="BA484" i="1"/>
  <c r="CI484" i="1" s="1"/>
  <c r="U484" i="1"/>
  <c r="CH483" i="1"/>
  <c r="U483" i="1"/>
  <c r="AN483" i="1" s="1"/>
  <c r="BC483" i="1" s="1"/>
  <c r="CH482" i="1"/>
  <c r="BA482" i="1"/>
  <c r="U482" i="1"/>
  <c r="CH481" i="1"/>
  <c r="BA481" i="1"/>
  <c r="CI481" i="1" s="1"/>
  <c r="U481" i="1"/>
  <c r="AN481" i="1" s="1"/>
  <c r="CH480" i="1"/>
  <c r="BA480" i="1"/>
  <c r="CI480" i="1" s="1"/>
  <c r="U480" i="1"/>
  <c r="CH479" i="1"/>
  <c r="U479" i="1"/>
  <c r="AN479" i="1" s="1"/>
  <c r="BC479" i="1" s="1"/>
  <c r="CH478" i="1"/>
  <c r="BA478" i="1"/>
  <c r="CI478" i="1" s="1"/>
  <c r="S478" i="1"/>
  <c r="Q478" i="1"/>
  <c r="M478" i="1"/>
  <c r="U478" i="1" s="1"/>
  <c r="AC478" i="1" s="1"/>
  <c r="AN478" i="1" s="1"/>
  <c r="I478" i="1"/>
  <c r="CH477" i="1"/>
  <c r="BC477" i="1"/>
  <c r="U477" i="1"/>
  <c r="CH476" i="1"/>
  <c r="BA476" i="1"/>
  <c r="CI476" i="1" s="1"/>
  <c r="U476" i="1"/>
  <c r="CH475" i="1"/>
  <c r="BA475" i="1"/>
  <c r="CI475" i="1" s="1"/>
  <c r="U475" i="1"/>
  <c r="CH474" i="1"/>
  <c r="U474" i="1"/>
  <c r="AN474" i="1" s="1"/>
  <c r="BC474" i="1" s="1"/>
  <c r="CH473" i="1"/>
  <c r="BB473" i="1"/>
  <c r="CI473" i="1" s="1"/>
  <c r="S473" i="1"/>
  <c r="Q473" i="1"/>
  <c r="M473" i="1"/>
  <c r="U473" i="1" s="1"/>
  <c r="AC473" i="1" s="1"/>
  <c r="AN473" i="1" s="1"/>
  <c r="I473" i="1"/>
  <c r="CH472" i="1"/>
  <c r="BA472" i="1"/>
  <c r="CI472" i="1" s="1"/>
  <c r="U472" i="1"/>
  <c r="AN472" i="1" s="1"/>
  <c r="CH471" i="1"/>
  <c r="BA471" i="1"/>
  <c r="CI471" i="1" s="1"/>
  <c r="U471" i="1"/>
  <c r="AN471" i="1" s="1"/>
  <c r="CH470" i="1"/>
  <c r="BA470" i="1"/>
  <c r="CI470" i="1" s="1"/>
  <c r="S470" i="1"/>
  <c r="Q470" i="1"/>
  <c r="M470" i="1"/>
  <c r="U470" i="1" s="1"/>
  <c r="AC470" i="1" s="1"/>
  <c r="AN470" i="1" s="1"/>
  <c r="I470" i="1"/>
  <c r="CH469" i="1"/>
  <c r="BA469" i="1"/>
  <c r="CI469" i="1" s="1"/>
  <c r="U469" i="1"/>
  <c r="CH468" i="1"/>
  <c r="BA468" i="1"/>
  <c r="CI468" i="1" s="1"/>
  <c r="U468" i="1"/>
  <c r="CJ467" i="1"/>
  <c r="U467" i="1"/>
  <c r="AN467" i="1" s="1"/>
  <c r="BC467" i="1" s="1"/>
  <c r="CH466" i="1"/>
  <c r="BA466" i="1"/>
  <c r="CI466" i="1" s="1"/>
  <c r="U466" i="1"/>
  <c r="AN466" i="1" s="1"/>
  <c r="CH465" i="1"/>
  <c r="BA465" i="1"/>
  <c r="CI465" i="1" s="1"/>
  <c r="U465" i="1"/>
  <c r="CH464" i="1"/>
  <c r="BB464" i="1"/>
  <c r="CI464" i="1" s="1"/>
  <c r="S464" i="1"/>
  <c r="Q464" i="1"/>
  <c r="M464" i="1"/>
  <c r="U464" i="1" s="1"/>
  <c r="AC464" i="1" s="1"/>
  <c r="AN464" i="1" s="1"/>
  <c r="I464" i="1"/>
  <c r="CH463" i="1"/>
  <c r="U463" i="1"/>
  <c r="AN463" i="1" s="1"/>
  <c r="BC463" i="1" s="1"/>
  <c r="CH462" i="1"/>
  <c r="BA462" i="1"/>
  <c r="CI462" i="1" s="1"/>
  <c r="U462" i="1"/>
  <c r="CH461" i="1"/>
  <c r="U461" i="1"/>
  <c r="AN461" i="1" s="1"/>
  <c r="BC461" i="1" s="1"/>
  <c r="CH460" i="1"/>
  <c r="BA460" i="1"/>
  <c r="CI460" i="1" s="1"/>
  <c r="U460" i="1"/>
  <c r="AN460" i="1" s="1"/>
  <c r="CH459" i="1"/>
  <c r="BA459" i="1"/>
  <c r="U459" i="1"/>
  <c r="CH458" i="1"/>
  <c r="BA458" i="1"/>
  <c r="U458" i="1"/>
  <c r="CH457" i="1"/>
  <c r="BA457" i="1"/>
  <c r="CI457" i="1" s="1"/>
  <c r="U457" i="1"/>
  <c r="CH456" i="1"/>
  <c r="U456" i="1"/>
  <c r="AN456" i="1" s="1"/>
  <c r="BC456" i="1" s="1"/>
  <c r="CH455" i="1"/>
  <c r="BA455" i="1"/>
  <c r="CI455" i="1" s="1"/>
  <c r="U455" i="1"/>
  <c r="AN455" i="1" s="1"/>
  <c r="CH454" i="1"/>
  <c r="BA454" i="1"/>
  <c r="CI454" i="1" s="1"/>
  <c r="U454" i="1"/>
  <c r="AN454" i="1" s="1"/>
  <c r="CH453" i="1"/>
  <c r="U453" i="1"/>
  <c r="AN453" i="1" s="1"/>
  <c r="BC453" i="1" s="1"/>
  <c r="CH452" i="1"/>
  <c r="U452" i="1"/>
  <c r="AN452" i="1" s="1"/>
  <c r="BC452" i="1" s="1"/>
  <c r="CH451" i="1"/>
  <c r="BA451" i="1"/>
  <c r="CI451" i="1" s="1"/>
  <c r="U451" i="1"/>
  <c r="CH450" i="1"/>
  <c r="BA450" i="1"/>
  <c r="CI450" i="1" s="1"/>
  <c r="U450" i="1"/>
  <c r="CH449" i="1"/>
  <c r="BA449" i="1"/>
  <c r="U449" i="1"/>
  <c r="CH448" i="1"/>
  <c r="U448" i="1"/>
  <c r="AN448" i="1" s="1"/>
  <c r="BC448" i="1" s="1"/>
  <c r="CH447" i="1"/>
  <c r="BA447" i="1"/>
  <c r="U447" i="1"/>
  <c r="CJ446" i="1"/>
  <c r="U446" i="1"/>
  <c r="AN446" i="1" s="1"/>
  <c r="BC446" i="1" s="1"/>
  <c r="CH445" i="1"/>
  <c r="BA445" i="1"/>
  <c r="U445" i="1"/>
  <c r="CH444" i="1"/>
  <c r="BA444" i="1"/>
  <c r="CI444" i="1" s="1"/>
  <c r="U444" i="1"/>
  <c r="AN444" i="1" s="1"/>
  <c r="CH443" i="1"/>
  <c r="BA443" i="1"/>
  <c r="CI443" i="1" s="1"/>
  <c r="U443" i="1"/>
  <c r="CJ442" i="1"/>
  <c r="CK442" i="1" s="1"/>
  <c r="U442" i="1"/>
  <c r="AN442" i="1" s="1"/>
  <c r="BC442" i="1" s="1"/>
  <c r="CH441" i="1"/>
  <c r="U441" i="1"/>
  <c r="AN441" i="1" s="1"/>
  <c r="BC441" i="1" s="1"/>
  <c r="CH440" i="1"/>
  <c r="BA440" i="1"/>
  <c r="CI440" i="1" s="1"/>
  <c r="U440" i="1"/>
  <c r="CJ439" i="1"/>
  <c r="U439" i="1"/>
  <c r="AN439" i="1" s="1"/>
  <c r="BC439" i="1" s="1"/>
  <c r="CH438" i="1"/>
  <c r="BA438" i="1"/>
  <c r="CI438" i="1" s="1"/>
  <c r="U438" i="1"/>
  <c r="AN438" i="1" s="1"/>
  <c r="BA437" i="1"/>
  <c r="CI437" i="1" s="1"/>
  <c r="U437" i="1"/>
  <c r="CH436" i="1"/>
  <c r="U436" i="1"/>
  <c r="AN436" i="1" s="1"/>
  <c r="BC436" i="1" s="1"/>
  <c r="CH435" i="1"/>
  <c r="BA435" i="1"/>
  <c r="CI435" i="1" s="1"/>
  <c r="U435" i="1"/>
  <c r="AN435" i="1" s="1"/>
  <c r="CH434" i="1"/>
  <c r="U434" i="1"/>
  <c r="AN434" i="1" s="1"/>
  <c r="BC434" i="1" s="1"/>
  <c r="CH433" i="1"/>
  <c r="U433" i="1"/>
  <c r="AN433" i="1" s="1"/>
  <c r="BC433" i="1" s="1"/>
  <c r="CH432" i="1"/>
  <c r="BA432" i="1"/>
  <c r="CI432" i="1" s="1"/>
  <c r="U432" i="1"/>
  <c r="AN432" i="1" s="1"/>
  <c r="CH431" i="1"/>
  <c r="U431" i="1"/>
  <c r="AN431" i="1" s="1"/>
  <c r="BC431" i="1" s="1"/>
  <c r="CH430" i="1"/>
  <c r="BA430" i="1"/>
  <c r="CI430" i="1" s="1"/>
  <c r="U430" i="1"/>
  <c r="AN430" i="1" s="1"/>
  <c r="CH429" i="1"/>
  <c r="U429" i="1"/>
  <c r="AN429" i="1" s="1"/>
  <c r="BC429" i="1" s="1"/>
  <c r="CH428" i="1"/>
  <c r="BA428" i="1"/>
  <c r="CI428" i="1" s="1"/>
  <c r="U428" i="1"/>
  <c r="CH427" i="1"/>
  <c r="BA427" i="1"/>
  <c r="CI427" i="1" s="1"/>
  <c r="U427" i="1"/>
  <c r="CH426" i="1"/>
  <c r="BA426" i="1"/>
  <c r="CI426" i="1" s="1"/>
  <c r="U426" i="1"/>
  <c r="CH425" i="1"/>
  <c r="BA425" i="1"/>
  <c r="CI425" i="1" s="1"/>
  <c r="U425" i="1"/>
  <c r="AN425" i="1" s="1"/>
  <c r="CH424" i="1"/>
  <c r="U424" i="1"/>
  <c r="AN424" i="1" s="1"/>
  <c r="BC424" i="1" s="1"/>
  <c r="CH423" i="1"/>
  <c r="BA423" i="1"/>
  <c r="CI423" i="1" s="1"/>
  <c r="U423" i="1"/>
  <c r="AN423" i="1" s="1"/>
  <c r="CH422" i="1"/>
  <c r="BA422" i="1"/>
  <c r="U422" i="1"/>
  <c r="CH421" i="1"/>
  <c r="BA421" i="1"/>
  <c r="CI421" i="1" s="1"/>
  <c r="U421" i="1"/>
  <c r="CH420" i="1"/>
  <c r="BA420" i="1"/>
  <c r="U420" i="1"/>
  <c r="CH419" i="1"/>
  <c r="BA419" i="1"/>
  <c r="U419" i="1"/>
  <c r="CH418" i="1"/>
  <c r="U418" i="1"/>
  <c r="AN418" i="1" s="1"/>
  <c r="BC418" i="1" s="1"/>
  <c r="CH417" i="1"/>
  <c r="U417" i="1"/>
  <c r="AN417" i="1" s="1"/>
  <c r="BC417" i="1" s="1"/>
  <c r="CH416" i="1"/>
  <c r="U416" i="1"/>
  <c r="AN416" i="1" s="1"/>
  <c r="BC416" i="1" s="1"/>
  <c r="CH415" i="1"/>
  <c r="BA415" i="1"/>
  <c r="CI415" i="1" s="1"/>
  <c r="U415" i="1"/>
  <c r="AN415" i="1" s="1"/>
  <c r="CH414" i="1"/>
  <c r="BA414" i="1"/>
  <c r="CI414" i="1" s="1"/>
  <c r="U414" i="1"/>
  <c r="CH413" i="1"/>
  <c r="BA413" i="1"/>
  <c r="CI413" i="1" s="1"/>
  <c r="U413" i="1"/>
  <c r="CH412" i="1"/>
  <c r="BA412" i="1"/>
  <c r="CI412" i="1" s="1"/>
  <c r="S412" i="1"/>
  <c r="Q412" i="1"/>
  <c r="M412" i="1"/>
  <c r="U412" i="1" s="1"/>
  <c r="AC412" i="1" s="1"/>
  <c r="AN412" i="1" s="1"/>
  <c r="I412" i="1"/>
  <c r="CH411" i="1"/>
  <c r="BA411" i="1"/>
  <c r="CI411" i="1" s="1"/>
  <c r="U411" i="1"/>
  <c r="AN411" i="1" s="1"/>
  <c r="CH410" i="1"/>
  <c r="S410" i="1"/>
  <c r="Q410" i="1"/>
  <c r="M410" i="1"/>
  <c r="U410" i="1" s="1"/>
  <c r="AC410" i="1" s="1"/>
  <c r="AN410" i="1" s="1"/>
  <c r="BC410" i="1" s="1"/>
  <c r="I410" i="1"/>
  <c r="CH409" i="1"/>
  <c r="BA409" i="1"/>
  <c r="CI409" i="1" s="1"/>
  <c r="U409" i="1"/>
  <c r="CH408" i="1"/>
  <c r="U408" i="1"/>
  <c r="AN408" i="1" s="1"/>
  <c r="BC408" i="1" s="1"/>
  <c r="CH407" i="1"/>
  <c r="BA407" i="1"/>
  <c r="CI407" i="1" s="1"/>
  <c r="U407" i="1"/>
  <c r="CH406" i="1"/>
  <c r="U406" i="1"/>
  <c r="AN406" i="1" s="1"/>
  <c r="BC406" i="1" s="1"/>
  <c r="CH405" i="1"/>
  <c r="U405" i="1"/>
  <c r="AN405" i="1" s="1"/>
  <c r="BC405" i="1" s="1"/>
  <c r="CH404" i="1"/>
  <c r="BA404" i="1"/>
  <c r="CI404" i="1" s="1"/>
  <c r="U404" i="1"/>
  <c r="CH403" i="1"/>
  <c r="BA403" i="1"/>
  <c r="CI403" i="1" s="1"/>
  <c r="U403" i="1"/>
  <c r="CH402" i="1"/>
  <c r="BA402" i="1"/>
  <c r="CI402" i="1" s="1"/>
  <c r="U402" i="1"/>
  <c r="CH401" i="1"/>
  <c r="BA401" i="1"/>
  <c r="CI401" i="1" s="1"/>
  <c r="U401" i="1"/>
  <c r="AN401" i="1" s="1"/>
  <c r="CJ400" i="1"/>
  <c r="U400" i="1"/>
  <c r="AN400" i="1" s="1"/>
  <c r="BC400" i="1" s="1"/>
  <c r="CH399" i="1"/>
  <c r="BA399" i="1"/>
  <c r="CI399" i="1" s="1"/>
  <c r="U399" i="1"/>
  <c r="AN399" i="1" s="1"/>
  <c r="CH398" i="1"/>
  <c r="U398" i="1"/>
  <c r="AN398" i="1" s="1"/>
  <c r="BC398" i="1" s="1"/>
  <c r="CH397" i="1"/>
  <c r="BA397" i="1"/>
  <c r="CI397" i="1" s="1"/>
  <c r="U397" i="1"/>
  <c r="AN397" i="1" s="1"/>
  <c r="CH396" i="1"/>
  <c r="U396" i="1"/>
  <c r="AN396" i="1" s="1"/>
  <c r="BC396" i="1" s="1"/>
  <c r="CH395" i="1"/>
  <c r="BA395" i="1"/>
  <c r="U395" i="1"/>
  <c r="CH394" i="1"/>
  <c r="U394" i="1"/>
  <c r="AN394" i="1" s="1"/>
  <c r="BC394" i="1" s="1"/>
  <c r="CJ393" i="1"/>
  <c r="U393" i="1"/>
  <c r="AN393" i="1" s="1"/>
  <c r="BC393" i="1" s="1"/>
  <c r="BA392" i="1"/>
  <c r="U392" i="1"/>
  <c r="AN392" i="1" s="1"/>
  <c r="CH391" i="1"/>
  <c r="U391" i="1"/>
  <c r="AN391" i="1" s="1"/>
  <c r="BC391" i="1" s="1"/>
  <c r="BA390" i="1"/>
  <c r="U390" i="1"/>
  <c r="AN390" i="1" s="1"/>
  <c r="CH389" i="1"/>
  <c r="BB389" i="1"/>
  <c r="BA389" i="1"/>
  <c r="U389" i="1"/>
  <c r="AN389" i="1" s="1"/>
  <c r="CH388" i="1"/>
  <c r="BA388" i="1"/>
  <c r="CI388" i="1" s="1"/>
  <c r="U388" i="1"/>
  <c r="CH387" i="1"/>
  <c r="BB387" i="1"/>
  <c r="BA387" i="1"/>
  <c r="U387" i="1"/>
  <c r="AN387" i="1" s="1"/>
  <c r="CJ386" i="1"/>
  <c r="U386" i="1"/>
  <c r="AN386" i="1" s="1"/>
  <c r="BC386" i="1" s="1"/>
  <c r="CJ385" i="1"/>
  <c r="U385" i="1"/>
  <c r="AN385" i="1" s="1"/>
  <c r="BC385" i="1" s="1"/>
  <c r="CH384" i="1"/>
  <c r="BA384" i="1"/>
  <c r="CI384" i="1" s="1"/>
  <c r="U384" i="1"/>
  <c r="CH383" i="1"/>
  <c r="U383" i="1"/>
  <c r="AN383" i="1" s="1"/>
  <c r="BC383" i="1" s="1"/>
  <c r="CH382" i="1"/>
  <c r="BA382" i="1"/>
  <c r="CI382" i="1" s="1"/>
  <c r="U382" i="1"/>
  <c r="CJ381" i="1"/>
  <c r="CK381" i="1" s="1"/>
  <c r="U381" i="1"/>
  <c r="AN381" i="1" s="1"/>
  <c r="BC381" i="1" s="1"/>
  <c r="CH380" i="1"/>
  <c r="U380" i="1"/>
  <c r="AN380" i="1" s="1"/>
  <c r="BC380" i="1" s="1"/>
  <c r="CH379" i="1"/>
  <c r="BA379" i="1"/>
  <c r="CI379" i="1" s="1"/>
  <c r="U379" i="1"/>
  <c r="AN379" i="1" s="1"/>
  <c r="CH378" i="1"/>
  <c r="BA378" i="1"/>
  <c r="CI378" i="1" s="1"/>
  <c r="S378" i="1"/>
  <c r="Q378" i="1"/>
  <c r="M378" i="1"/>
  <c r="U378" i="1" s="1"/>
  <c r="AC378" i="1" s="1"/>
  <c r="AN378" i="1" s="1"/>
  <c r="I378" i="1"/>
  <c r="CH377" i="1"/>
  <c r="BA377" i="1"/>
  <c r="CI377" i="1" s="1"/>
  <c r="U377" i="1"/>
  <c r="CH376" i="1"/>
  <c r="BA376" i="1"/>
  <c r="CI376" i="1" s="1"/>
  <c r="U376" i="1"/>
  <c r="CH375" i="1"/>
  <c r="BA375" i="1"/>
  <c r="CI375" i="1" s="1"/>
  <c r="U375" i="1"/>
  <c r="AN375" i="1" s="1"/>
  <c r="CH374" i="1"/>
  <c r="BB374" i="1"/>
  <c r="BA374" i="1"/>
  <c r="S374" i="1"/>
  <c r="Q374" i="1"/>
  <c r="M374" i="1"/>
  <c r="U374" i="1" s="1"/>
  <c r="AC374" i="1" s="1"/>
  <c r="AN374" i="1" s="1"/>
  <c r="I374" i="1"/>
  <c r="CH373" i="1"/>
  <c r="U373" i="1"/>
  <c r="AN373" i="1" s="1"/>
  <c r="BC373" i="1" s="1"/>
  <c r="CH372" i="1"/>
  <c r="BA372" i="1"/>
  <c r="CI372" i="1" s="1"/>
  <c r="U372" i="1"/>
  <c r="AN372" i="1" s="1"/>
  <c r="CH371" i="1"/>
  <c r="BA371" i="1"/>
  <c r="CI371" i="1" s="1"/>
  <c r="U371" i="1"/>
  <c r="CH370" i="1"/>
  <c r="U370" i="1"/>
  <c r="AN370" i="1" s="1"/>
  <c r="BC370" i="1" s="1"/>
  <c r="CH369" i="1"/>
  <c r="BA369" i="1"/>
  <c r="CI369" i="1" s="1"/>
  <c r="U369" i="1"/>
  <c r="CH368" i="1"/>
  <c r="S368" i="1"/>
  <c r="Q368" i="1"/>
  <c r="M368" i="1"/>
  <c r="U368" i="1" s="1"/>
  <c r="AC368" i="1" s="1"/>
  <c r="AN368" i="1" s="1"/>
  <c r="BC368" i="1" s="1"/>
  <c r="I368" i="1"/>
  <c r="CH367" i="1"/>
  <c r="BA367" i="1"/>
  <c r="CI367" i="1" s="1"/>
  <c r="U367" i="1"/>
  <c r="AN367" i="1" s="1"/>
  <c r="CH366" i="1"/>
  <c r="BB366" i="1"/>
  <c r="CI366" i="1" s="1"/>
  <c r="S366" i="1"/>
  <c r="Q366" i="1"/>
  <c r="M366" i="1"/>
  <c r="U366" i="1" s="1"/>
  <c r="AC366" i="1" s="1"/>
  <c r="AN366" i="1" s="1"/>
  <c r="I366" i="1"/>
  <c r="CH365" i="1"/>
  <c r="U365" i="1"/>
  <c r="AN365" i="1" s="1"/>
  <c r="BC365" i="1" s="1"/>
  <c r="CH364" i="1"/>
  <c r="U364" i="1"/>
  <c r="AN364" i="1" s="1"/>
  <c r="BC364" i="1" s="1"/>
  <c r="CH363" i="1"/>
  <c r="U363" i="1"/>
  <c r="AN363" i="1" s="1"/>
  <c r="BC363" i="1" s="1"/>
  <c r="CH362" i="1"/>
  <c r="BA362" i="1"/>
  <c r="CI362" i="1" s="1"/>
  <c r="U362" i="1"/>
  <c r="CH361" i="1"/>
  <c r="BA361" i="1"/>
  <c r="CI361" i="1" s="1"/>
  <c r="U361" i="1"/>
  <c r="AN361" i="1" s="1"/>
  <c r="CH360" i="1"/>
  <c r="BA360" i="1"/>
  <c r="CI360" i="1" s="1"/>
  <c r="U360" i="1"/>
  <c r="CH359" i="1"/>
  <c r="BA359" i="1"/>
  <c r="CI359" i="1" s="1"/>
  <c r="U359" i="1"/>
  <c r="BA358" i="1"/>
  <c r="U358" i="1"/>
  <c r="AN358" i="1" s="1"/>
  <c r="CH357" i="1"/>
  <c r="U357" i="1"/>
  <c r="AN357" i="1" s="1"/>
  <c r="BC357" i="1" s="1"/>
  <c r="CH356" i="1"/>
  <c r="BA356" i="1"/>
  <c r="CI356" i="1" s="1"/>
  <c r="U356" i="1"/>
  <c r="AN356" i="1" s="1"/>
  <c r="CH355" i="1"/>
  <c r="BA355" i="1"/>
  <c r="CI355" i="1" s="1"/>
  <c r="U355" i="1"/>
  <c r="AN355" i="1" s="1"/>
  <c r="CH354" i="1"/>
  <c r="U354" i="1"/>
  <c r="AN354" i="1" s="1"/>
  <c r="BC354" i="1" s="1"/>
  <c r="CH353" i="1"/>
  <c r="BA353" i="1"/>
  <c r="CI353" i="1" s="1"/>
  <c r="U353" i="1"/>
  <c r="AN353" i="1" s="1"/>
  <c r="CH352" i="1"/>
  <c r="U352" i="1"/>
  <c r="AN352" i="1" s="1"/>
  <c r="BC352" i="1" s="1"/>
  <c r="CH351" i="1"/>
  <c r="BB351" i="1"/>
  <c r="CI351" i="1" s="1"/>
  <c r="U351" i="1"/>
  <c r="AN351" i="1" s="1"/>
  <c r="CH350" i="1"/>
  <c r="U350" i="1"/>
  <c r="AN350" i="1" s="1"/>
  <c r="BC350" i="1" s="1"/>
  <c r="CH349" i="1"/>
  <c r="BA349" i="1"/>
  <c r="CI349" i="1" s="1"/>
  <c r="U349" i="1"/>
  <c r="AN349" i="1" s="1"/>
  <c r="CH348" i="1"/>
  <c r="BA348" i="1"/>
  <c r="U348" i="1"/>
  <c r="CH347" i="1"/>
  <c r="U347" i="1"/>
  <c r="AN347" i="1" s="1"/>
  <c r="BC347" i="1" s="1"/>
  <c r="CH346" i="1"/>
  <c r="BA346" i="1"/>
  <c r="CI346" i="1" s="1"/>
  <c r="U346" i="1"/>
  <c r="AN346" i="1" s="1"/>
  <c r="CH345" i="1"/>
  <c r="U345" i="1"/>
  <c r="AN345" i="1" s="1"/>
  <c r="BC345" i="1" s="1"/>
  <c r="CH344" i="1"/>
  <c r="BA344" i="1"/>
  <c r="CI344" i="1" s="1"/>
  <c r="U344" i="1"/>
  <c r="AN344" i="1" s="1"/>
  <c r="CH343" i="1"/>
  <c r="BA343" i="1"/>
  <c r="CI343" i="1" s="1"/>
  <c r="U343" i="1"/>
  <c r="AN343" i="1" s="1"/>
  <c r="CH342" i="1"/>
  <c r="BA342" i="1"/>
  <c r="CI342" i="1" s="1"/>
  <c r="U342" i="1"/>
  <c r="CH341" i="1"/>
  <c r="BA341" i="1"/>
  <c r="CI341" i="1" s="1"/>
  <c r="U341" i="1"/>
  <c r="CH340" i="1"/>
  <c r="BA340" i="1"/>
  <c r="U340" i="1"/>
  <c r="CH339" i="1"/>
  <c r="U339" i="1"/>
  <c r="AN339" i="1" s="1"/>
  <c r="BC339" i="1" s="1"/>
  <c r="CH338" i="1"/>
  <c r="U338" i="1"/>
  <c r="AN338" i="1" s="1"/>
  <c r="BC338" i="1" s="1"/>
  <c r="CH337" i="1"/>
  <c r="BB337" i="1"/>
  <c r="BA337" i="1"/>
  <c r="U337" i="1"/>
  <c r="AN337" i="1" s="1"/>
  <c r="CH336" i="1"/>
  <c r="BA336" i="1"/>
  <c r="CI336" i="1" s="1"/>
  <c r="U336" i="1"/>
  <c r="CH335" i="1"/>
  <c r="BA335" i="1"/>
  <c r="U335" i="1"/>
  <c r="CH334" i="1"/>
  <c r="BA334" i="1"/>
  <c r="CI334" i="1" s="1"/>
  <c r="U334" i="1"/>
  <c r="CH333" i="1"/>
  <c r="BA333" i="1"/>
  <c r="CI333" i="1" s="1"/>
  <c r="U333" i="1"/>
  <c r="CH332" i="1"/>
  <c r="BA332" i="1"/>
  <c r="CI332" i="1" s="1"/>
  <c r="U332" i="1"/>
  <c r="AN332" i="1" s="1"/>
  <c r="CH331" i="1"/>
  <c r="BA331" i="1"/>
  <c r="CI331" i="1" s="1"/>
  <c r="U331" i="1"/>
  <c r="AN331" i="1" s="1"/>
  <c r="CH330" i="1"/>
  <c r="BA330" i="1"/>
  <c r="U330" i="1"/>
  <c r="CH329" i="1"/>
  <c r="BA329" i="1"/>
  <c r="CI329" i="1" s="1"/>
  <c r="U329" i="1"/>
  <c r="AN329" i="1" s="1"/>
  <c r="CH328" i="1"/>
  <c r="BC328" i="1"/>
  <c r="U328" i="1"/>
  <c r="CH327" i="1"/>
  <c r="U327" i="1"/>
  <c r="AN327" i="1" s="1"/>
  <c r="BC327" i="1" s="1"/>
  <c r="CJ326" i="1"/>
  <c r="CK326" i="1" s="1"/>
  <c r="U326" i="1"/>
  <c r="AN326" i="1" s="1"/>
  <c r="BC326" i="1" s="1"/>
  <c r="CH325" i="1"/>
  <c r="U325" i="1"/>
  <c r="AN325" i="1" s="1"/>
  <c r="BC325" i="1" s="1"/>
  <c r="CH324" i="1"/>
  <c r="BB324" i="1"/>
  <c r="BA324" i="1"/>
  <c r="U324" i="1"/>
  <c r="AN324" i="1" s="1"/>
  <c r="CH323" i="1"/>
  <c r="BA323" i="1"/>
  <c r="CI323" i="1" s="1"/>
  <c r="U323" i="1"/>
  <c r="AN323" i="1" s="1"/>
  <c r="CH322" i="1"/>
  <c r="BA322" i="1"/>
  <c r="CI322" i="1" s="1"/>
  <c r="U322" i="1"/>
  <c r="AN322" i="1" s="1"/>
  <c r="CH321" i="1"/>
  <c r="BA321" i="1"/>
  <c r="CI321" i="1" s="1"/>
  <c r="U321" i="1"/>
  <c r="CH320" i="1"/>
  <c r="BA320" i="1"/>
  <c r="CI320" i="1" s="1"/>
  <c r="U320" i="1"/>
  <c r="CH319" i="1"/>
  <c r="BB319" i="1"/>
  <c r="BA319" i="1"/>
  <c r="S319" i="1"/>
  <c r="Q319" i="1"/>
  <c r="M319" i="1"/>
  <c r="U319" i="1" s="1"/>
  <c r="AC319" i="1" s="1"/>
  <c r="AN319" i="1" s="1"/>
  <c r="I319" i="1"/>
  <c r="CH318" i="1"/>
  <c r="BA318" i="1"/>
  <c r="CI318" i="1" s="1"/>
  <c r="S318" i="1"/>
  <c r="Q318" i="1"/>
  <c r="M318" i="1"/>
  <c r="U318" i="1" s="1"/>
  <c r="AC318" i="1" s="1"/>
  <c r="AN318" i="1" s="1"/>
  <c r="I318" i="1"/>
  <c r="CH317" i="1"/>
  <c r="BA317" i="1"/>
  <c r="CI317" i="1" s="1"/>
  <c r="U317" i="1"/>
  <c r="AN317" i="1" s="1"/>
  <c r="CH316" i="1"/>
  <c r="BA316" i="1"/>
  <c r="U316" i="1"/>
  <c r="CH315" i="1"/>
  <c r="BB315" i="1"/>
  <c r="BA315" i="1"/>
  <c r="S315" i="1"/>
  <c r="Q315" i="1"/>
  <c r="P315" i="1"/>
  <c r="M315" i="1"/>
  <c r="I315" i="1"/>
  <c r="CH314" i="1"/>
  <c r="BA314" i="1"/>
  <c r="CI314" i="1" s="1"/>
  <c r="S314" i="1"/>
  <c r="Q314" i="1"/>
  <c r="P314" i="1"/>
  <c r="M314" i="1"/>
  <c r="I314" i="1"/>
  <c r="CH313" i="1"/>
  <c r="BB313" i="1"/>
  <c r="CI313" i="1" s="1"/>
  <c r="S313" i="1"/>
  <c r="Q313" i="1"/>
  <c r="P313" i="1"/>
  <c r="M313" i="1"/>
  <c r="I313" i="1"/>
  <c r="BA312" i="1"/>
  <c r="U312" i="1"/>
  <c r="AN312" i="1" s="1"/>
  <c r="CH311" i="1"/>
  <c r="U311" i="1"/>
  <c r="AN311" i="1" s="1"/>
  <c r="BC311" i="1" s="1"/>
  <c r="CH310" i="1"/>
  <c r="S310" i="1"/>
  <c r="P310" i="1"/>
  <c r="N310" i="1"/>
  <c r="M310" i="1"/>
  <c r="F310" i="1"/>
  <c r="CH309" i="1"/>
  <c r="S309" i="1"/>
  <c r="P309" i="1"/>
  <c r="N309" i="1"/>
  <c r="M309" i="1"/>
  <c r="CH308" i="1"/>
  <c r="S308" i="1"/>
  <c r="P308" i="1"/>
  <c r="N308" i="1"/>
  <c r="M308" i="1"/>
  <c r="F308" i="1"/>
  <c r="CH307" i="1"/>
  <c r="S307" i="1"/>
  <c r="P307" i="1"/>
  <c r="N307" i="1"/>
  <c r="M307" i="1"/>
  <c r="CH306" i="1"/>
  <c r="S306" i="1"/>
  <c r="P306" i="1"/>
  <c r="N306" i="1"/>
  <c r="M306" i="1"/>
  <c r="CH305" i="1"/>
  <c r="S305" i="1"/>
  <c r="P305" i="1"/>
  <c r="N305" i="1"/>
  <c r="M305" i="1"/>
  <c r="CH304" i="1"/>
  <c r="S304" i="1"/>
  <c r="P304" i="1"/>
  <c r="N304" i="1"/>
  <c r="M304" i="1"/>
  <c r="CH303" i="1"/>
  <c r="AP303" i="1"/>
  <c r="AO303" i="1"/>
  <c r="V303" i="1"/>
  <c r="S303" i="1"/>
  <c r="P303" i="1"/>
  <c r="N303" i="1"/>
  <c r="M303" i="1"/>
  <c r="F303" i="1"/>
  <c r="CH302" i="1"/>
  <c r="S302" i="1"/>
  <c r="P302" i="1"/>
  <c r="N302" i="1"/>
  <c r="M302" i="1"/>
  <c r="CH301" i="1"/>
  <c r="S301" i="1"/>
  <c r="P301" i="1"/>
  <c r="N301" i="1"/>
  <c r="M301" i="1"/>
  <c r="CH300" i="1"/>
  <c r="S300" i="1"/>
  <c r="P300" i="1"/>
  <c r="N300" i="1"/>
  <c r="M300" i="1"/>
  <c r="CH299" i="1"/>
  <c r="S299" i="1"/>
  <c r="P299" i="1"/>
  <c r="N299" i="1"/>
  <c r="M299" i="1"/>
  <c r="CH298" i="1"/>
  <c r="S298" i="1"/>
  <c r="P298" i="1"/>
  <c r="N298" i="1"/>
  <c r="M298" i="1"/>
  <c r="CH297" i="1"/>
  <c r="S297" i="1"/>
  <c r="P297" i="1"/>
  <c r="N297" i="1"/>
  <c r="M297" i="1"/>
  <c r="CH296" i="1"/>
  <c r="S296" i="1"/>
  <c r="P296" i="1"/>
  <c r="N296" i="1"/>
  <c r="M296" i="1"/>
  <c r="CH295" i="1"/>
  <c r="S295" i="1"/>
  <c r="P295" i="1"/>
  <c r="N295" i="1"/>
  <c r="M295" i="1"/>
  <c r="CH294" i="1"/>
  <c r="S294" i="1"/>
  <c r="P294" i="1"/>
  <c r="N294" i="1"/>
  <c r="M294" i="1"/>
  <c r="CH293" i="1"/>
  <c r="BA293" i="1"/>
  <c r="CI293" i="1" s="1"/>
  <c r="S293" i="1"/>
  <c r="P293" i="1"/>
  <c r="N293" i="1"/>
  <c r="M293" i="1"/>
  <c r="CH292" i="1"/>
  <c r="S292" i="1"/>
  <c r="P292" i="1"/>
  <c r="N292" i="1"/>
  <c r="M292" i="1"/>
  <c r="F292" i="1"/>
  <c r="CH291" i="1"/>
  <c r="AO291" i="1"/>
  <c r="S291" i="1"/>
  <c r="P291" i="1"/>
  <c r="N291" i="1"/>
  <c r="M291" i="1"/>
  <c r="F291" i="1"/>
  <c r="CH290" i="1"/>
  <c r="S290" i="1"/>
  <c r="P290" i="1"/>
  <c r="N290" i="1"/>
  <c r="M290" i="1"/>
  <c r="F290" i="1"/>
  <c r="CH289" i="1"/>
  <c r="AO289" i="1"/>
  <c r="S289" i="1"/>
  <c r="P289" i="1"/>
  <c r="N289" i="1"/>
  <c r="M289" i="1"/>
  <c r="F289" i="1"/>
  <c r="CH288" i="1"/>
  <c r="S288" i="1"/>
  <c r="P288" i="1"/>
  <c r="N288" i="1"/>
  <c r="M288" i="1"/>
  <c r="F288" i="1"/>
  <c r="CH287" i="1"/>
  <c r="S287" i="1"/>
  <c r="P287" i="1"/>
  <c r="N287" i="1"/>
  <c r="M287" i="1"/>
  <c r="F287" i="1"/>
  <c r="CH286" i="1"/>
  <c r="S286" i="1"/>
  <c r="P286" i="1"/>
  <c r="N286" i="1"/>
  <c r="M286" i="1"/>
  <c r="F286" i="1"/>
  <c r="CH285" i="1"/>
  <c r="S285" i="1"/>
  <c r="P285" i="1"/>
  <c r="N285" i="1"/>
  <c r="M285" i="1"/>
  <c r="F285" i="1"/>
  <c r="CH284" i="1"/>
  <c r="S284" i="1"/>
  <c r="P284" i="1"/>
  <c r="N284" i="1"/>
  <c r="M284" i="1"/>
  <c r="F284" i="1"/>
  <c r="CH283" i="1"/>
  <c r="S283" i="1"/>
  <c r="P283" i="1"/>
  <c r="N283" i="1"/>
  <c r="M283" i="1"/>
  <c r="F283" i="1"/>
  <c r="CH282" i="1"/>
  <c r="S282" i="1"/>
  <c r="P282" i="1"/>
  <c r="N282" i="1"/>
  <c r="M282" i="1"/>
  <c r="F282" i="1"/>
  <c r="CH281" i="1"/>
  <c r="S281" i="1"/>
  <c r="P281" i="1"/>
  <c r="N281" i="1"/>
  <c r="M281" i="1"/>
  <c r="F281" i="1"/>
  <c r="CH280" i="1"/>
  <c r="S280" i="1"/>
  <c r="P280" i="1"/>
  <c r="N280" i="1"/>
  <c r="M280" i="1"/>
  <c r="F280" i="1"/>
  <c r="CH279" i="1"/>
  <c r="S279" i="1"/>
  <c r="P279" i="1"/>
  <c r="N279" i="1"/>
  <c r="M279" i="1"/>
  <c r="F279" i="1"/>
  <c r="BA278" i="1"/>
  <c r="U278" i="1"/>
  <c r="AN278" i="1" s="1"/>
  <c r="CH277" i="1"/>
  <c r="BA277" i="1"/>
  <c r="U277" i="1"/>
  <c r="CH276" i="1"/>
  <c r="U276" i="1"/>
  <c r="AN276" i="1" s="1"/>
  <c r="BC276" i="1" s="1"/>
  <c r="CH275" i="1"/>
  <c r="BA275" i="1"/>
  <c r="CI275" i="1" s="1"/>
  <c r="U275" i="1"/>
  <c r="CH274" i="1"/>
  <c r="BA274" i="1"/>
  <c r="CI274" i="1" s="1"/>
  <c r="U274" i="1"/>
  <c r="AN274" i="1" s="1"/>
  <c r="CH273" i="1"/>
  <c r="BA273" i="1"/>
  <c r="CI273" i="1" s="1"/>
  <c r="U273" i="1"/>
  <c r="AN273" i="1" s="1"/>
  <c r="BA272" i="1"/>
  <c r="U272" i="1"/>
  <c r="AN272" i="1" s="1"/>
  <c r="CH271" i="1"/>
  <c r="BA271" i="1"/>
  <c r="CI271" i="1" s="1"/>
  <c r="U271" i="1"/>
  <c r="AN271" i="1" s="1"/>
  <c r="CH270" i="1"/>
  <c r="BA270" i="1"/>
  <c r="CI270" i="1" s="1"/>
  <c r="U270" i="1"/>
  <c r="AN270" i="1" s="1"/>
  <c r="CH269" i="1"/>
  <c r="U269" i="1"/>
  <c r="AN269" i="1" s="1"/>
  <c r="BC269" i="1" s="1"/>
  <c r="CH268" i="1"/>
  <c r="BA268" i="1"/>
  <c r="CI268" i="1" s="1"/>
  <c r="U268" i="1"/>
  <c r="CH267" i="1"/>
  <c r="BA267" i="1"/>
  <c r="CI267" i="1" s="1"/>
  <c r="U267" i="1"/>
  <c r="CJ266" i="1"/>
  <c r="U266" i="1"/>
  <c r="AN266" i="1" s="1"/>
  <c r="BC266" i="1" s="1"/>
  <c r="CH265" i="1"/>
  <c r="U265" i="1"/>
  <c r="AN265" i="1" s="1"/>
  <c r="BC265" i="1" s="1"/>
  <c r="CH264" i="1"/>
  <c r="U264" i="1"/>
  <c r="AN264" i="1" s="1"/>
  <c r="BC264" i="1" s="1"/>
  <c r="CH263" i="1"/>
  <c r="BA263" i="1"/>
  <c r="CI263" i="1" s="1"/>
  <c r="U263" i="1"/>
  <c r="CH262" i="1"/>
  <c r="U262" i="1"/>
  <c r="AN262" i="1" s="1"/>
  <c r="BC262" i="1" s="1"/>
  <c r="CH261" i="1"/>
  <c r="U261" i="1"/>
  <c r="AN261" i="1" s="1"/>
  <c r="BC261" i="1" s="1"/>
  <c r="CH260" i="1"/>
  <c r="BA260" i="1"/>
  <c r="CI260" i="1" s="1"/>
  <c r="U260" i="1"/>
  <c r="CH259" i="1"/>
  <c r="BB259" i="1"/>
  <c r="BA259" i="1"/>
  <c r="U259" i="1"/>
  <c r="AN259" i="1" s="1"/>
  <c r="BA258" i="1"/>
  <c r="U258" i="1"/>
  <c r="CH257" i="1"/>
  <c r="BA257" i="1"/>
  <c r="CI257" i="1" s="1"/>
  <c r="U257" i="1"/>
  <c r="AN257" i="1" s="1"/>
  <c r="CJ256" i="1"/>
  <c r="U256" i="1"/>
  <c r="AN256" i="1" s="1"/>
  <c r="BC256" i="1" s="1"/>
  <c r="CH255" i="1"/>
  <c r="U255" i="1"/>
  <c r="AN255" i="1" s="1"/>
  <c r="BC255" i="1" s="1"/>
  <c r="CH254" i="1"/>
  <c r="BA254" i="1"/>
  <c r="CI254" i="1" s="1"/>
  <c r="U254" i="1"/>
  <c r="AN254" i="1" s="1"/>
  <c r="CH253" i="1"/>
  <c r="BA253" i="1"/>
  <c r="CI253" i="1" s="1"/>
  <c r="U253" i="1"/>
  <c r="AN253" i="1" s="1"/>
  <c r="CH252" i="1"/>
  <c r="BA252" i="1"/>
  <c r="CI252" i="1" s="1"/>
  <c r="U252" i="1"/>
  <c r="CH251" i="1"/>
  <c r="BA251" i="1"/>
  <c r="CI251" i="1" s="1"/>
  <c r="U251" i="1"/>
  <c r="CH250" i="1"/>
  <c r="U250" i="1"/>
  <c r="AN250" i="1" s="1"/>
  <c r="BC250" i="1" s="1"/>
  <c r="CJ249" i="1"/>
  <c r="CK249" i="1" s="1"/>
  <c r="U249" i="1"/>
  <c r="AN249" i="1" s="1"/>
  <c r="BC249" i="1" s="1"/>
  <c r="CH248" i="1"/>
  <c r="U248" i="1"/>
  <c r="AN248" i="1" s="1"/>
  <c r="BC248" i="1" s="1"/>
  <c r="CH247" i="1"/>
  <c r="BA247" i="1"/>
  <c r="CI247" i="1" s="1"/>
  <c r="U247" i="1"/>
  <c r="AN247" i="1" s="1"/>
  <c r="CH246" i="1"/>
  <c r="BA246" i="1"/>
  <c r="U246" i="1"/>
  <c r="CH245" i="1"/>
  <c r="BC245" i="1"/>
  <c r="U245" i="1"/>
  <c r="CH244" i="1"/>
  <c r="U244" i="1"/>
  <c r="AN244" i="1" s="1"/>
  <c r="BC244" i="1" s="1"/>
  <c r="BA243" i="1"/>
  <c r="U243" i="1"/>
  <c r="AN243" i="1" s="1"/>
  <c r="CH242" i="1"/>
  <c r="BA242" i="1"/>
  <c r="CI242" i="1" s="1"/>
  <c r="U242" i="1"/>
  <c r="CH241" i="1"/>
  <c r="U241" i="1"/>
  <c r="AN241" i="1" s="1"/>
  <c r="BC241" i="1" s="1"/>
  <c r="CH240" i="1"/>
  <c r="BA240" i="1"/>
  <c r="CI240" i="1" s="1"/>
  <c r="U240" i="1"/>
  <c r="AN240" i="1" s="1"/>
  <c r="CH239" i="1"/>
  <c r="U239" i="1"/>
  <c r="AN239" i="1" s="1"/>
  <c r="BC239" i="1" s="1"/>
  <c r="CH238" i="1"/>
  <c r="BA238" i="1"/>
  <c r="U238" i="1"/>
  <c r="CH237" i="1"/>
  <c r="BA237" i="1"/>
  <c r="U237" i="1"/>
  <c r="CH236" i="1"/>
  <c r="BA236" i="1"/>
  <c r="CI236" i="1" s="1"/>
  <c r="U236" i="1"/>
  <c r="AN236" i="1" s="1"/>
  <c r="CH235" i="1"/>
  <c r="BA235" i="1"/>
  <c r="CI235" i="1" s="1"/>
  <c r="U235" i="1"/>
  <c r="AN235" i="1" s="1"/>
  <c r="CH234" i="1"/>
  <c r="BA234" i="1"/>
  <c r="CI234" i="1" s="1"/>
  <c r="U234" i="1"/>
  <c r="AN234" i="1" s="1"/>
  <c r="CH233" i="1"/>
  <c r="BA233" i="1"/>
  <c r="CI233" i="1" s="1"/>
  <c r="U233" i="1"/>
  <c r="AN233" i="1" s="1"/>
  <c r="CH232" i="1"/>
  <c r="BA232" i="1"/>
  <c r="CI232" i="1" s="1"/>
  <c r="U232" i="1"/>
  <c r="CH231" i="1"/>
  <c r="U231" i="1"/>
  <c r="AN231" i="1" s="1"/>
  <c r="BC231" i="1" s="1"/>
  <c r="CH230" i="1"/>
  <c r="BA230" i="1"/>
  <c r="U230" i="1"/>
  <c r="CH229" i="1"/>
  <c r="BA229" i="1"/>
  <c r="U229" i="1"/>
  <c r="CH228" i="1"/>
  <c r="U228" i="1"/>
  <c r="AN228" i="1" s="1"/>
  <c r="BC228" i="1" s="1"/>
  <c r="CH227" i="1"/>
  <c r="BA227" i="1"/>
  <c r="U227" i="1"/>
  <c r="CH226" i="1"/>
  <c r="BA226" i="1"/>
  <c r="U226" i="1"/>
  <c r="CH225" i="1"/>
  <c r="BA225" i="1"/>
  <c r="CI225" i="1" s="1"/>
  <c r="U225" i="1"/>
  <c r="AN225" i="1" s="1"/>
  <c r="CH224" i="1"/>
  <c r="BA224" i="1"/>
  <c r="CI224" i="1" s="1"/>
  <c r="U224" i="1"/>
  <c r="AN224" i="1" s="1"/>
  <c r="CH223" i="1"/>
  <c r="U223" i="1"/>
  <c r="AN223" i="1" s="1"/>
  <c r="BC223" i="1" s="1"/>
  <c r="CH222" i="1"/>
  <c r="BA222" i="1"/>
  <c r="CI222" i="1" s="1"/>
  <c r="S222" i="1"/>
  <c r="Q222" i="1"/>
  <c r="M222" i="1"/>
  <c r="U222" i="1" s="1"/>
  <c r="AC222" i="1" s="1"/>
  <c r="AN222" i="1" s="1"/>
  <c r="I222" i="1"/>
  <c r="CH221" i="1"/>
  <c r="BA221" i="1"/>
  <c r="CI221" i="1" s="1"/>
  <c r="U221" i="1"/>
  <c r="AN221" i="1" s="1"/>
  <c r="CH220" i="1"/>
  <c r="U220" i="1"/>
  <c r="AN220" i="1" s="1"/>
  <c r="BC220" i="1" s="1"/>
  <c r="CJ219" i="1"/>
  <c r="U219" i="1"/>
  <c r="AN219" i="1" s="1"/>
  <c r="BC219" i="1" s="1"/>
  <c r="CH218" i="1"/>
  <c r="BA218" i="1"/>
  <c r="U218" i="1"/>
  <c r="CH217" i="1"/>
  <c r="U217" i="1"/>
  <c r="AN217" i="1" s="1"/>
  <c r="BC217" i="1" s="1"/>
  <c r="CH216" i="1"/>
  <c r="BA216" i="1"/>
  <c r="U216" i="1"/>
  <c r="CH215" i="1"/>
  <c r="BA215" i="1"/>
  <c r="CI215" i="1" s="1"/>
  <c r="U215" i="1"/>
  <c r="CH214" i="1"/>
  <c r="BA214" i="1"/>
  <c r="CI214" i="1" s="1"/>
  <c r="U214" i="1"/>
  <c r="CH213" i="1"/>
  <c r="BA213" i="1"/>
  <c r="CI213" i="1" s="1"/>
  <c r="U213" i="1"/>
  <c r="CH212" i="1"/>
  <c r="BA212" i="1"/>
  <c r="U212" i="1"/>
  <c r="CH211" i="1"/>
  <c r="U211" i="1"/>
  <c r="AN211" i="1" s="1"/>
  <c r="BC211" i="1" s="1"/>
  <c r="CH210" i="1"/>
  <c r="U210" i="1"/>
  <c r="AN210" i="1" s="1"/>
  <c r="BC210" i="1" s="1"/>
  <c r="CH209" i="1"/>
  <c r="BA209" i="1"/>
  <c r="U209" i="1"/>
  <c r="CH208" i="1"/>
  <c r="CJ208" i="1" s="1"/>
  <c r="U208" i="1"/>
  <c r="AN208" i="1" s="1"/>
  <c r="BC208" i="1" s="1"/>
  <c r="CH207" i="1"/>
  <c r="BA207" i="1"/>
  <c r="CI207" i="1" s="1"/>
  <c r="U207" i="1"/>
  <c r="AN207" i="1" s="1"/>
  <c r="CH206" i="1"/>
  <c r="U206" i="1"/>
  <c r="AN206" i="1" s="1"/>
  <c r="BC206" i="1" s="1"/>
  <c r="CH205" i="1"/>
  <c r="BA205" i="1"/>
  <c r="CI205" i="1" s="1"/>
  <c r="U205" i="1"/>
  <c r="CH204" i="1"/>
  <c r="BA204" i="1"/>
  <c r="U204" i="1"/>
  <c r="CH203" i="1"/>
  <c r="BA203" i="1"/>
  <c r="U203" i="1"/>
  <c r="CH202" i="1"/>
  <c r="BA202" i="1"/>
  <c r="CI202" i="1" s="1"/>
  <c r="U202" i="1"/>
  <c r="CH201" i="1"/>
  <c r="U201" i="1"/>
  <c r="AN201" i="1" s="1"/>
  <c r="BC201" i="1" s="1"/>
  <c r="CH200" i="1"/>
  <c r="BA200" i="1"/>
  <c r="CI200" i="1" s="1"/>
  <c r="U200" i="1"/>
  <c r="AN200" i="1" s="1"/>
  <c r="CH199" i="1"/>
  <c r="BA199" i="1"/>
  <c r="CI199" i="1" s="1"/>
  <c r="U199" i="1"/>
  <c r="AN199" i="1" s="1"/>
  <c r="CH198" i="1"/>
  <c r="S198" i="1"/>
  <c r="Q198" i="1"/>
  <c r="M198" i="1"/>
  <c r="U198" i="1" s="1"/>
  <c r="AC198" i="1" s="1"/>
  <c r="AN198" i="1" s="1"/>
  <c r="BC198" i="1" s="1"/>
  <c r="I198" i="1"/>
  <c r="CH197" i="1"/>
  <c r="U197" i="1"/>
  <c r="AN197" i="1" s="1"/>
  <c r="BC197" i="1" s="1"/>
  <c r="CH196" i="1"/>
  <c r="U196" i="1"/>
  <c r="AN196" i="1" s="1"/>
  <c r="BC196" i="1" s="1"/>
  <c r="CH195" i="1"/>
  <c r="U195" i="1"/>
  <c r="AN195" i="1" s="1"/>
  <c r="BC195" i="1" s="1"/>
  <c r="CH194" i="1"/>
  <c r="U194" i="1"/>
  <c r="AN194" i="1" s="1"/>
  <c r="BC194" i="1" s="1"/>
  <c r="CH193" i="1"/>
  <c r="U193" i="1"/>
  <c r="AN193" i="1" s="1"/>
  <c r="BC193" i="1" s="1"/>
  <c r="CH192" i="1"/>
  <c r="U192" i="1"/>
  <c r="AN192" i="1" s="1"/>
  <c r="BC192" i="1" s="1"/>
  <c r="CH191" i="1"/>
  <c r="U191" i="1"/>
  <c r="AN191" i="1" s="1"/>
  <c r="BC191" i="1" s="1"/>
  <c r="CH190" i="1"/>
  <c r="U190" i="1"/>
  <c r="AN190" i="1" s="1"/>
  <c r="BC190" i="1" s="1"/>
  <c r="CH189" i="1"/>
  <c r="BA189" i="1"/>
  <c r="CI189" i="1" s="1"/>
  <c r="U189" i="1"/>
  <c r="CH188" i="1"/>
  <c r="BA188" i="1"/>
  <c r="U188" i="1"/>
  <c r="CH187" i="1"/>
  <c r="BA187" i="1"/>
  <c r="CI187" i="1" s="1"/>
  <c r="U187" i="1"/>
  <c r="CH186" i="1"/>
  <c r="BA186" i="1"/>
  <c r="CI186" i="1" s="1"/>
  <c r="U186" i="1"/>
  <c r="AN186" i="1" s="1"/>
  <c r="CH185" i="1"/>
  <c r="BA185" i="1"/>
  <c r="CI185" i="1" s="1"/>
  <c r="U185" i="1"/>
  <c r="CH184" i="1"/>
  <c r="BB184" i="1"/>
  <c r="CI184" i="1" s="1"/>
  <c r="U184" i="1"/>
  <c r="AN184" i="1" s="1"/>
  <c r="CH183" i="1"/>
  <c r="U183" i="1"/>
  <c r="AN183" i="1" s="1"/>
  <c r="BC183" i="1" s="1"/>
  <c r="CH182" i="1"/>
  <c r="BA182" i="1"/>
  <c r="CI182" i="1" s="1"/>
  <c r="U182" i="1"/>
  <c r="CJ181" i="1"/>
  <c r="CK181" i="1" s="1"/>
  <c r="BC181" i="1"/>
  <c r="U181" i="1"/>
  <c r="CH180" i="1"/>
  <c r="S180" i="1"/>
  <c r="Q180" i="1"/>
  <c r="M180" i="1"/>
  <c r="U180" i="1" s="1"/>
  <c r="AC180" i="1" s="1"/>
  <c r="AN180" i="1" s="1"/>
  <c r="BC180" i="1" s="1"/>
  <c r="I180" i="1"/>
  <c r="CH179" i="1"/>
  <c r="BA179" i="1"/>
  <c r="CI179" i="1" s="1"/>
  <c r="U179" i="1"/>
  <c r="AN179" i="1" s="1"/>
  <c r="CH178" i="1"/>
  <c r="BA178" i="1"/>
  <c r="CI178" i="1" s="1"/>
  <c r="U178" i="1"/>
  <c r="CH177" i="1"/>
  <c r="U177" i="1"/>
  <c r="AN177" i="1" s="1"/>
  <c r="BC177" i="1" s="1"/>
  <c r="CH176" i="1"/>
  <c r="BA176" i="1"/>
  <c r="CI176" i="1" s="1"/>
  <c r="U176" i="1"/>
  <c r="AN176" i="1" s="1"/>
  <c r="CJ175" i="1"/>
  <c r="U175" i="1"/>
  <c r="AN175" i="1" s="1"/>
  <c r="BC175" i="1" s="1"/>
  <c r="CH174" i="1"/>
  <c r="U174" i="1"/>
  <c r="AN174" i="1" s="1"/>
  <c r="BC174" i="1" s="1"/>
  <c r="CH173" i="1"/>
  <c r="U173" i="1"/>
  <c r="AN173" i="1" s="1"/>
  <c r="BC173" i="1" s="1"/>
  <c r="CH172" i="1"/>
  <c r="U172" i="1"/>
  <c r="AN172" i="1" s="1"/>
  <c r="BC172" i="1" s="1"/>
  <c r="CH171" i="1"/>
  <c r="BA171" i="1"/>
  <c r="U171" i="1"/>
  <c r="CH170" i="1"/>
  <c r="BA170" i="1"/>
  <c r="CI170" i="1" s="1"/>
  <c r="U170" i="1"/>
  <c r="CH169" i="1"/>
  <c r="BA169" i="1"/>
  <c r="CI169" i="1" s="1"/>
  <c r="U169" i="1"/>
  <c r="AN169" i="1" s="1"/>
  <c r="CH168" i="1"/>
  <c r="BA168" i="1"/>
  <c r="U168" i="1"/>
  <c r="CJ167" i="1"/>
  <c r="CK167" i="1" s="1"/>
  <c r="U167" i="1"/>
  <c r="AN167" i="1" s="1"/>
  <c r="BC167" i="1" s="1"/>
  <c r="CH166" i="1"/>
  <c r="U166" i="1"/>
  <c r="AN166" i="1" s="1"/>
  <c r="BC166" i="1" s="1"/>
  <c r="CH165" i="1"/>
  <c r="BA165" i="1"/>
  <c r="CI165" i="1" s="1"/>
  <c r="U165" i="1"/>
  <c r="CH164" i="1"/>
  <c r="BA164" i="1"/>
  <c r="CI164" i="1" s="1"/>
  <c r="U164" i="1"/>
  <c r="AN164" i="1" s="1"/>
  <c r="CH163" i="1"/>
  <c r="BA163" i="1"/>
  <c r="CI163" i="1" s="1"/>
  <c r="U163" i="1"/>
  <c r="AN163" i="1" s="1"/>
  <c r="CH162" i="1"/>
  <c r="BA162" i="1"/>
  <c r="CI162" i="1" s="1"/>
  <c r="U162" i="1"/>
  <c r="AN162" i="1" s="1"/>
  <c r="CH161" i="1"/>
  <c r="BB161" i="1"/>
  <c r="CI161" i="1" s="1"/>
  <c r="U161" i="1"/>
  <c r="AN161" i="1" s="1"/>
  <c r="CH160" i="1"/>
  <c r="BA160" i="1"/>
  <c r="CI160" i="1" s="1"/>
  <c r="U160" i="1"/>
  <c r="CH159" i="1"/>
  <c r="U159" i="1"/>
  <c r="AN159" i="1" s="1"/>
  <c r="BC159" i="1" s="1"/>
  <c r="CH158" i="1"/>
  <c r="BA158" i="1"/>
  <c r="U158" i="1"/>
  <c r="CH157" i="1"/>
  <c r="BA157" i="1"/>
  <c r="U157" i="1"/>
  <c r="BA156" i="1"/>
  <c r="U156" i="1"/>
  <c r="BA155" i="1"/>
  <c r="U155" i="1"/>
  <c r="CJ154" i="1"/>
  <c r="U154" i="1"/>
  <c r="AN154" i="1" s="1"/>
  <c r="BC154" i="1" s="1"/>
  <c r="CH153" i="1"/>
  <c r="BB153" i="1"/>
  <c r="CI153" i="1" s="1"/>
  <c r="S153" i="1"/>
  <c r="Q153" i="1"/>
  <c r="M153" i="1"/>
  <c r="U153" i="1" s="1"/>
  <c r="AC153" i="1" s="1"/>
  <c r="AN153" i="1" s="1"/>
  <c r="I153" i="1"/>
  <c r="BA152" i="1"/>
  <c r="U152" i="1"/>
  <c r="AN152" i="1" s="1"/>
  <c r="CH151" i="1"/>
  <c r="BA151" i="1"/>
  <c r="CI151" i="1" s="1"/>
  <c r="U151" i="1"/>
  <c r="AN151" i="1" s="1"/>
  <c r="BA150" i="1"/>
  <c r="U150" i="1"/>
  <c r="AN150" i="1" s="1"/>
  <c r="CH149" i="1"/>
  <c r="BA149" i="1"/>
  <c r="CI149" i="1" s="1"/>
  <c r="U149" i="1"/>
  <c r="AN149" i="1" s="1"/>
  <c r="CJ148" i="1"/>
  <c r="U148" i="1"/>
  <c r="AN148" i="1" s="1"/>
  <c r="BC148" i="1" s="1"/>
  <c r="CH147" i="1"/>
  <c r="BA147" i="1"/>
  <c r="CI147" i="1" s="1"/>
  <c r="U147" i="1"/>
  <c r="CH146" i="1"/>
  <c r="U146" i="1"/>
  <c r="AN146" i="1" s="1"/>
  <c r="BC146" i="1" s="1"/>
  <c r="CH145" i="1"/>
  <c r="BA145" i="1"/>
  <c r="CI145" i="1" s="1"/>
  <c r="U145" i="1"/>
  <c r="AN145" i="1" s="1"/>
  <c r="CH144" i="1"/>
  <c r="BA144" i="1"/>
  <c r="U144" i="1"/>
  <c r="CH143" i="1"/>
  <c r="BA143" i="1"/>
  <c r="U143" i="1"/>
  <c r="CH142" i="1"/>
  <c r="U142" i="1"/>
  <c r="AN142" i="1" s="1"/>
  <c r="BC142" i="1" s="1"/>
  <c r="CH141" i="1"/>
  <c r="BA141" i="1"/>
  <c r="CI141" i="1" s="1"/>
  <c r="U141" i="1"/>
  <c r="CH140" i="1"/>
  <c r="BA140" i="1"/>
  <c r="CI140" i="1" s="1"/>
  <c r="U140" i="1"/>
  <c r="AN140" i="1" s="1"/>
  <c r="CH139" i="1"/>
  <c r="BA139" i="1"/>
  <c r="CI139" i="1" s="1"/>
  <c r="U139" i="1"/>
  <c r="AN139" i="1" s="1"/>
  <c r="CJ138" i="1"/>
  <c r="U138" i="1"/>
  <c r="AN138" i="1" s="1"/>
  <c r="BC138" i="1" s="1"/>
  <c r="CH137" i="1"/>
  <c r="BB137" i="1"/>
  <c r="CI137" i="1" s="1"/>
  <c r="U137" i="1"/>
  <c r="AN137" i="1" s="1"/>
  <c r="CH136" i="1"/>
  <c r="U136" i="1"/>
  <c r="AN136" i="1" s="1"/>
  <c r="BC136" i="1" s="1"/>
  <c r="CH135" i="1"/>
  <c r="U135" i="1"/>
  <c r="AN135" i="1" s="1"/>
  <c r="BC135" i="1" s="1"/>
  <c r="CH134" i="1"/>
  <c r="U134" i="1"/>
  <c r="AN134" i="1" s="1"/>
  <c r="BC134" i="1" s="1"/>
  <c r="CH133" i="1"/>
  <c r="BA133" i="1"/>
  <c r="CI133" i="1" s="1"/>
  <c r="U133" i="1"/>
  <c r="CH132" i="1"/>
  <c r="BA132" i="1"/>
  <c r="CI132" i="1" s="1"/>
  <c r="U132" i="1"/>
  <c r="CH131" i="1"/>
  <c r="U131" i="1"/>
  <c r="AN131" i="1" s="1"/>
  <c r="BC131" i="1" s="1"/>
  <c r="CH130" i="1"/>
  <c r="S130" i="1"/>
  <c r="Q130" i="1"/>
  <c r="M130" i="1"/>
  <c r="U130" i="1" s="1"/>
  <c r="AC130" i="1" s="1"/>
  <c r="AN130" i="1" s="1"/>
  <c r="BC130" i="1" s="1"/>
  <c r="I130" i="1"/>
  <c r="CH129" i="1"/>
  <c r="BA129" i="1"/>
  <c r="CI129" i="1" s="1"/>
  <c r="U129" i="1"/>
  <c r="AN129" i="1" s="1"/>
  <c r="BA128" i="1"/>
  <c r="U128" i="1"/>
  <c r="AN128" i="1" s="1"/>
  <c r="CH127" i="1"/>
  <c r="BA127" i="1"/>
  <c r="CI127" i="1" s="1"/>
  <c r="U127" i="1"/>
  <c r="CH126" i="1"/>
  <c r="BA126" i="1"/>
  <c r="CI126" i="1" s="1"/>
  <c r="U126" i="1"/>
  <c r="CH125" i="1"/>
  <c r="U125" i="1"/>
  <c r="AN125" i="1" s="1"/>
  <c r="BC125" i="1" s="1"/>
  <c r="CH124" i="1"/>
  <c r="U124" i="1"/>
  <c r="AN124" i="1" s="1"/>
  <c r="BC124" i="1" s="1"/>
  <c r="CH123" i="1"/>
  <c r="BA123" i="1"/>
  <c r="CI123" i="1" s="1"/>
  <c r="S123" i="1"/>
  <c r="Q123" i="1"/>
  <c r="M123" i="1"/>
  <c r="U123" i="1" s="1"/>
  <c r="AC123" i="1" s="1"/>
  <c r="AN123" i="1" s="1"/>
  <c r="I123" i="1"/>
  <c r="CH122" i="1"/>
  <c r="BA122" i="1"/>
  <c r="CI122" i="1" s="1"/>
  <c r="U122" i="1"/>
  <c r="AN122" i="1" s="1"/>
  <c r="CH121" i="1"/>
  <c r="BB121" i="1"/>
  <c r="CI121" i="1" s="1"/>
  <c r="S121" i="1"/>
  <c r="Q121" i="1"/>
  <c r="M121" i="1"/>
  <c r="U121" i="1" s="1"/>
  <c r="AC121" i="1" s="1"/>
  <c r="AN121" i="1" s="1"/>
  <c r="I121" i="1"/>
  <c r="CJ120" i="1"/>
  <c r="U120" i="1"/>
  <c r="AN120" i="1" s="1"/>
  <c r="BC120" i="1" s="1"/>
  <c r="CH119" i="1"/>
  <c r="U119" i="1"/>
  <c r="AN119" i="1" s="1"/>
  <c r="BC119" i="1" s="1"/>
  <c r="CH118" i="1"/>
  <c r="U118" i="1"/>
  <c r="AN118" i="1" s="1"/>
  <c r="BC118" i="1" s="1"/>
  <c r="CH117" i="1"/>
  <c r="BA117" i="1"/>
  <c r="CI117" i="1" s="1"/>
  <c r="U117" i="1"/>
  <c r="CH116" i="1"/>
  <c r="BA116" i="1"/>
  <c r="CI116" i="1" s="1"/>
  <c r="U116" i="1"/>
  <c r="AN116" i="1" s="1"/>
  <c r="CH115" i="1"/>
  <c r="BA115" i="1"/>
  <c r="CI115" i="1" s="1"/>
  <c r="U115" i="1"/>
  <c r="AN115" i="1" s="1"/>
  <c r="CH114" i="1"/>
  <c r="BA114" i="1"/>
  <c r="CI114" i="1" s="1"/>
  <c r="U114" i="1"/>
  <c r="AN114" i="1" s="1"/>
  <c r="CH113" i="1"/>
  <c r="BA113" i="1"/>
  <c r="CI113" i="1" s="1"/>
  <c r="U113" i="1"/>
  <c r="AN113" i="1" s="1"/>
  <c r="CH112" i="1"/>
  <c r="U112" i="1"/>
  <c r="AN112" i="1" s="1"/>
  <c r="BC112" i="1" s="1"/>
  <c r="CH111" i="1"/>
  <c r="U111" i="1"/>
  <c r="AN111" i="1" s="1"/>
  <c r="BC111" i="1" s="1"/>
  <c r="CH110" i="1"/>
  <c r="BB110" i="1"/>
  <c r="BA110" i="1"/>
  <c r="Y110" i="1"/>
  <c r="S110" i="1"/>
  <c r="Q110" i="1"/>
  <c r="P110" i="1"/>
  <c r="M110" i="1"/>
  <c r="I110" i="1"/>
  <c r="CH109" i="1"/>
  <c r="BA109" i="1"/>
  <c r="CI109" i="1" s="1"/>
  <c r="U109" i="1"/>
  <c r="CH108" i="1"/>
  <c r="BA108" i="1"/>
  <c r="CI108" i="1" s="1"/>
  <c r="U108" i="1"/>
  <c r="CH107" i="1"/>
  <c r="U107" i="1"/>
  <c r="AN107" i="1" s="1"/>
  <c r="BC107" i="1" s="1"/>
  <c r="CH106" i="1"/>
  <c r="BA106" i="1"/>
  <c r="CI106" i="1" s="1"/>
  <c r="U106" i="1"/>
  <c r="AN106" i="1" s="1"/>
  <c r="CH105" i="1"/>
  <c r="BA105" i="1"/>
  <c r="CI105" i="1" s="1"/>
  <c r="U105" i="1"/>
  <c r="AN105" i="1" s="1"/>
  <c r="CH104" i="1"/>
  <c r="BA104" i="1"/>
  <c r="CI104" i="1" s="1"/>
  <c r="U104" i="1"/>
  <c r="CH103" i="1"/>
  <c r="BA103" i="1"/>
  <c r="CI103" i="1" s="1"/>
  <c r="U103" i="1"/>
  <c r="CH102" i="1"/>
  <c r="U102" i="1"/>
  <c r="AN102" i="1" s="1"/>
  <c r="BC102" i="1" s="1"/>
  <c r="CJ101" i="1"/>
  <c r="U101" i="1"/>
  <c r="AN101" i="1" s="1"/>
  <c r="BC101" i="1" s="1"/>
  <c r="CH100" i="1"/>
  <c r="BA100" i="1"/>
  <c r="CI100" i="1" s="1"/>
  <c r="U100" i="1"/>
  <c r="AN100" i="1" s="1"/>
  <c r="CH99" i="1"/>
  <c r="BB99" i="1"/>
  <c r="BA99" i="1"/>
  <c r="S99" i="1"/>
  <c r="Q99" i="1"/>
  <c r="M99" i="1"/>
  <c r="U99" i="1" s="1"/>
  <c r="AC99" i="1" s="1"/>
  <c r="AN99" i="1" s="1"/>
  <c r="I99" i="1"/>
  <c r="CH98" i="1"/>
  <c r="BA98" i="1"/>
  <c r="U98" i="1"/>
  <c r="CH97" i="1"/>
  <c r="BA97" i="1"/>
  <c r="CI97" i="1" s="1"/>
  <c r="U97" i="1"/>
  <c r="CH96" i="1"/>
  <c r="BA96" i="1"/>
  <c r="CI96" i="1" s="1"/>
  <c r="U96" i="1"/>
  <c r="AN96" i="1" s="1"/>
  <c r="CH95" i="1"/>
  <c r="BA95" i="1"/>
  <c r="U95" i="1"/>
  <c r="CH94" i="1"/>
  <c r="BB94" i="1"/>
  <c r="CI94" i="1" s="1"/>
  <c r="U94" i="1"/>
  <c r="AN94" i="1" s="1"/>
  <c r="CH93" i="1"/>
  <c r="BA93" i="1"/>
  <c r="CI93" i="1" s="1"/>
  <c r="U93" i="1"/>
  <c r="BA92" i="1"/>
  <c r="U92" i="1"/>
  <c r="AN92" i="1" s="1"/>
  <c r="CH91" i="1"/>
  <c r="BB91" i="1"/>
  <c r="CI91" i="1" s="1"/>
  <c r="U91" i="1"/>
  <c r="AN91" i="1" s="1"/>
  <c r="CH90" i="1"/>
  <c r="S90" i="1"/>
  <c r="Q90" i="1"/>
  <c r="M90" i="1"/>
  <c r="U90" i="1" s="1"/>
  <c r="AC90" i="1" s="1"/>
  <c r="AN90" i="1" s="1"/>
  <c r="BC90" i="1" s="1"/>
  <c r="I90" i="1"/>
  <c r="CH89" i="1"/>
  <c r="U89" i="1"/>
  <c r="AN89" i="1" s="1"/>
  <c r="BC89" i="1" s="1"/>
  <c r="CH88" i="1"/>
  <c r="BA88" i="1"/>
  <c r="CI88" i="1" s="1"/>
  <c r="U88" i="1"/>
  <c r="CH87" i="1"/>
  <c r="U87" i="1"/>
  <c r="AN87" i="1" s="1"/>
  <c r="BC87" i="1" s="1"/>
  <c r="CH86" i="1"/>
  <c r="U86" i="1"/>
  <c r="AN86" i="1" s="1"/>
  <c r="BC86" i="1" s="1"/>
  <c r="CH85" i="1"/>
  <c r="BA85" i="1"/>
  <c r="CI85" i="1" s="1"/>
  <c r="U85" i="1"/>
  <c r="AN85" i="1" s="1"/>
  <c r="BA84" i="1"/>
  <c r="U84" i="1"/>
  <c r="AN84" i="1" s="1"/>
  <c r="CH83" i="1"/>
  <c r="BA83" i="1"/>
  <c r="CI83" i="1" s="1"/>
  <c r="U83" i="1"/>
  <c r="BA82" i="1"/>
  <c r="U82" i="1"/>
  <c r="CH81" i="1"/>
  <c r="BA81" i="1"/>
  <c r="U81" i="1"/>
  <c r="CH80" i="1"/>
  <c r="U80" i="1"/>
  <c r="AN80" i="1" s="1"/>
  <c r="BC80" i="1" s="1"/>
  <c r="CH79" i="1"/>
  <c r="U79" i="1"/>
  <c r="AN79" i="1" s="1"/>
  <c r="BC79" i="1" s="1"/>
  <c r="CH78" i="1"/>
  <c r="U78" i="1"/>
  <c r="AN78" i="1" s="1"/>
  <c r="BC78" i="1" s="1"/>
  <c r="CH77" i="1"/>
  <c r="U77" i="1"/>
  <c r="AN77" i="1" s="1"/>
  <c r="BC77" i="1" s="1"/>
  <c r="CH76" i="1"/>
  <c r="U76" i="1"/>
  <c r="AN76" i="1" s="1"/>
  <c r="BC76" i="1" s="1"/>
  <c r="CH75" i="1"/>
  <c r="BA75" i="1"/>
  <c r="U75" i="1"/>
  <c r="CH74" i="1"/>
  <c r="BA74" i="1"/>
  <c r="CI74" i="1" s="1"/>
  <c r="U74" i="1"/>
  <c r="CH73" i="1"/>
  <c r="BA73" i="1"/>
  <c r="U73" i="1"/>
  <c r="CH72" i="1"/>
  <c r="BA72" i="1"/>
  <c r="CI72" i="1" s="1"/>
  <c r="U72" i="1"/>
  <c r="CH71" i="1"/>
  <c r="BB71" i="1"/>
  <c r="BA71" i="1"/>
  <c r="S71" i="1"/>
  <c r="Q71" i="1"/>
  <c r="M71" i="1"/>
  <c r="U71" i="1" s="1"/>
  <c r="AC71" i="1" s="1"/>
  <c r="AN71" i="1" s="1"/>
  <c r="I71" i="1"/>
  <c r="CH70" i="1"/>
  <c r="BA70" i="1"/>
  <c r="CI70" i="1" s="1"/>
  <c r="U70" i="1"/>
  <c r="AN70" i="1" s="1"/>
  <c r="CH69" i="1"/>
  <c r="BA69" i="1"/>
  <c r="CI69" i="1" s="1"/>
  <c r="U69" i="1"/>
  <c r="AN69" i="1" s="1"/>
  <c r="CH68" i="1"/>
  <c r="U68" i="1"/>
  <c r="AN68" i="1" s="1"/>
  <c r="BC68" i="1" s="1"/>
  <c r="BA67" i="1"/>
  <c r="CI67" i="1" s="1"/>
  <c r="U67" i="1"/>
  <c r="CH66" i="1"/>
  <c r="BA66" i="1"/>
  <c r="CI66" i="1" s="1"/>
  <c r="U66" i="1"/>
  <c r="CH65" i="1"/>
  <c r="BB65" i="1"/>
  <c r="BA65" i="1"/>
  <c r="U65" i="1"/>
  <c r="AN65" i="1" s="1"/>
  <c r="CH64" i="1"/>
  <c r="BA64" i="1"/>
  <c r="CI64" i="1" s="1"/>
  <c r="U64" i="1"/>
  <c r="CH63" i="1"/>
  <c r="BA63" i="1"/>
  <c r="CI63" i="1" s="1"/>
  <c r="U63" i="1"/>
  <c r="CH62" i="1"/>
  <c r="BA62" i="1"/>
  <c r="CI62" i="1" s="1"/>
  <c r="U62" i="1"/>
  <c r="CH61" i="1"/>
  <c r="BA61" i="1"/>
  <c r="CI61" i="1" s="1"/>
  <c r="U61" i="1"/>
  <c r="AN61" i="1" s="1"/>
  <c r="CH60" i="1"/>
  <c r="U60" i="1"/>
  <c r="AN60" i="1" s="1"/>
  <c r="BC60" i="1" s="1"/>
  <c r="CH59" i="1"/>
  <c r="BA59" i="1"/>
  <c r="CI59" i="1" s="1"/>
  <c r="U59" i="1"/>
  <c r="AN59" i="1" s="1"/>
  <c r="CH58" i="1"/>
  <c r="BB58" i="1"/>
  <c r="CI58" i="1" s="1"/>
  <c r="U58" i="1"/>
  <c r="AN58" i="1" s="1"/>
  <c r="CH57" i="1"/>
  <c r="BA57" i="1"/>
  <c r="U57" i="1"/>
  <c r="CH56" i="1"/>
  <c r="U56" i="1"/>
  <c r="AN56" i="1" s="1"/>
  <c r="BC56" i="1" s="1"/>
  <c r="CH55" i="1"/>
  <c r="BA55" i="1"/>
  <c r="CI55" i="1" s="1"/>
  <c r="U55" i="1"/>
  <c r="AN55" i="1" s="1"/>
  <c r="CH54" i="1"/>
  <c r="BA54" i="1"/>
  <c r="CI54" i="1" s="1"/>
  <c r="U54" i="1"/>
  <c r="AN54" i="1" s="1"/>
  <c r="CH53" i="1"/>
  <c r="BB53" i="1"/>
  <c r="CI53" i="1" s="1"/>
  <c r="U53" i="1"/>
  <c r="AN53" i="1" s="1"/>
  <c r="CH52" i="1"/>
  <c r="BA52" i="1"/>
  <c r="CI52" i="1" s="1"/>
  <c r="U52" i="1"/>
  <c r="AN52" i="1" s="1"/>
  <c r="CH51" i="1"/>
  <c r="S51" i="1"/>
  <c r="Q51" i="1"/>
  <c r="M51" i="1"/>
  <c r="U51" i="1" s="1"/>
  <c r="AC51" i="1" s="1"/>
  <c r="AN51" i="1" s="1"/>
  <c r="BC51" i="1" s="1"/>
  <c r="CH50" i="1"/>
  <c r="BA50" i="1"/>
  <c r="CI50" i="1" s="1"/>
  <c r="U50" i="1"/>
  <c r="AN50" i="1" s="1"/>
  <c r="CH49" i="1"/>
  <c r="BA49" i="1"/>
  <c r="CI49" i="1" s="1"/>
  <c r="U49" i="1"/>
  <c r="AN49" i="1" s="1"/>
  <c r="CH48" i="1"/>
  <c r="BA48" i="1"/>
  <c r="CI48" i="1" s="1"/>
  <c r="U48" i="1"/>
  <c r="AN48" i="1" s="1"/>
  <c r="CH47" i="1"/>
  <c r="BA47" i="1"/>
  <c r="CI47" i="1" s="1"/>
  <c r="U47" i="1"/>
  <c r="AN47" i="1" s="1"/>
  <c r="CH46" i="1"/>
  <c r="U46" i="1"/>
  <c r="AN46" i="1" s="1"/>
  <c r="BC46" i="1" s="1"/>
  <c r="CH45" i="1"/>
  <c r="BA45" i="1"/>
  <c r="CI45" i="1" s="1"/>
  <c r="U45" i="1"/>
  <c r="AN45" i="1" s="1"/>
  <c r="CH44" i="1"/>
  <c r="U44" i="1"/>
  <c r="AN44" i="1" s="1"/>
  <c r="BC44" i="1" s="1"/>
  <c r="CH43" i="1"/>
  <c r="BA43" i="1"/>
  <c r="CI43" i="1" s="1"/>
  <c r="U43" i="1"/>
  <c r="AN43" i="1" s="1"/>
  <c r="CH42" i="1"/>
  <c r="BA42" i="1"/>
  <c r="CI42" i="1" s="1"/>
  <c r="U42" i="1"/>
  <c r="AN42" i="1" s="1"/>
  <c r="CH41" i="1"/>
  <c r="U41" i="1"/>
  <c r="AN41" i="1" s="1"/>
  <c r="BC41" i="1" s="1"/>
  <c r="CH40" i="1"/>
  <c r="U40" i="1"/>
  <c r="AN40" i="1" s="1"/>
  <c r="BC40" i="1" s="1"/>
  <c r="CJ39" i="1"/>
  <c r="U39" i="1"/>
  <c r="AN39" i="1" s="1"/>
  <c r="BC39" i="1" s="1"/>
  <c r="CH38" i="1"/>
  <c r="U38" i="1"/>
  <c r="AN38" i="1" s="1"/>
  <c r="BC38" i="1" s="1"/>
  <c r="CH37" i="1"/>
  <c r="U37" i="1"/>
  <c r="AN37" i="1" s="1"/>
  <c r="BC37" i="1" s="1"/>
  <c r="CH36" i="1"/>
  <c r="U36" i="1"/>
  <c r="AN36" i="1" s="1"/>
  <c r="BC36" i="1" s="1"/>
  <c r="CH35" i="1"/>
  <c r="BA35" i="1"/>
  <c r="CI35" i="1" s="1"/>
  <c r="U35" i="1"/>
  <c r="AN35" i="1" s="1"/>
  <c r="CH34" i="1"/>
  <c r="BA34" i="1"/>
  <c r="CI34" i="1" s="1"/>
  <c r="U34" i="1"/>
  <c r="AN34" i="1" s="1"/>
  <c r="CH33" i="1"/>
  <c r="U33" i="1"/>
  <c r="AN33" i="1" s="1"/>
  <c r="BC33" i="1" s="1"/>
  <c r="CH32" i="1"/>
  <c r="U32" i="1"/>
  <c r="AN32" i="1" s="1"/>
  <c r="BC32" i="1" s="1"/>
  <c r="CH31" i="1"/>
  <c r="BA31" i="1"/>
  <c r="CI31" i="1" s="1"/>
  <c r="U31" i="1"/>
  <c r="AN31" i="1" s="1"/>
  <c r="CH30" i="1"/>
  <c r="BA30" i="1"/>
  <c r="CI30" i="1" s="1"/>
  <c r="U30" i="1"/>
  <c r="AN30" i="1" s="1"/>
  <c r="CH29" i="1"/>
  <c r="U29" i="1"/>
  <c r="AN29" i="1" s="1"/>
  <c r="BC29" i="1" s="1"/>
  <c r="CH28" i="1"/>
  <c r="BA28" i="1"/>
  <c r="CI28" i="1" s="1"/>
  <c r="U28" i="1"/>
  <c r="AN28" i="1" s="1"/>
  <c r="CH27" i="1"/>
  <c r="BA27" i="1"/>
  <c r="CI27" i="1" s="1"/>
  <c r="U27" i="1"/>
  <c r="AN27" i="1" s="1"/>
  <c r="CH26" i="1"/>
  <c r="BB26" i="1"/>
  <c r="CI26" i="1" s="1"/>
  <c r="U26" i="1"/>
  <c r="AN26" i="1" s="1"/>
  <c r="CH25" i="1"/>
  <c r="BA25" i="1"/>
  <c r="CI25" i="1" s="1"/>
  <c r="U25" i="1"/>
  <c r="AN25" i="1" s="1"/>
  <c r="CH24" i="1"/>
  <c r="U24" i="1"/>
  <c r="AN24" i="1" s="1"/>
  <c r="BC24" i="1" s="1"/>
  <c r="CH23" i="1"/>
  <c r="BA23" i="1"/>
  <c r="CI23" i="1" s="1"/>
  <c r="U23" i="1"/>
  <c r="AN23" i="1" s="1"/>
  <c r="BA22" i="1"/>
  <c r="U22" i="1"/>
  <c r="AN22" i="1" s="1"/>
  <c r="CH21" i="1"/>
  <c r="BA21" i="1"/>
  <c r="CI21" i="1" s="1"/>
  <c r="U21" i="1"/>
  <c r="AN21" i="1" s="1"/>
  <c r="CH20" i="1"/>
  <c r="U20" i="1"/>
  <c r="AN20" i="1" s="1"/>
  <c r="BC20" i="1" s="1"/>
  <c r="CH19" i="1"/>
  <c r="BA19" i="1"/>
  <c r="CI19" i="1" s="1"/>
  <c r="U19" i="1"/>
  <c r="AN19" i="1" s="1"/>
  <c r="CH18" i="1"/>
  <c r="U18" i="1"/>
  <c r="AN18" i="1" s="1"/>
  <c r="BC18" i="1" s="1"/>
  <c r="CH17" i="1"/>
  <c r="BA17" i="1"/>
  <c r="CI17" i="1" s="1"/>
  <c r="U17" i="1"/>
  <c r="AN17" i="1" s="1"/>
  <c r="CH16" i="1"/>
  <c r="BA16" i="1"/>
  <c r="CI16" i="1" s="1"/>
  <c r="U16" i="1"/>
  <c r="AN16" i="1" s="1"/>
  <c r="CH15" i="1"/>
  <c r="U15" i="1"/>
  <c r="AN15" i="1" s="1"/>
  <c r="BC15" i="1" s="1"/>
  <c r="CH14" i="1"/>
  <c r="U14" i="1"/>
  <c r="AN14" i="1" s="1"/>
  <c r="BC14" i="1" s="1"/>
  <c r="CJ13" i="1"/>
  <c r="U13" i="1"/>
  <c r="AN13" i="1" s="1"/>
  <c r="BC13" i="1" s="1"/>
  <c r="CH12" i="1"/>
  <c r="BA12" i="1"/>
  <c r="CI12" i="1" s="1"/>
  <c r="U12" i="1"/>
  <c r="AN12" i="1" s="1"/>
  <c r="CH11" i="1"/>
  <c r="U11" i="1"/>
  <c r="AN11" i="1" s="1"/>
  <c r="BC11" i="1" s="1"/>
  <c r="BA10" i="1"/>
  <c r="U10" i="1"/>
  <c r="AN10" i="1" s="1"/>
  <c r="CH9" i="1"/>
  <c r="BA9" i="1"/>
  <c r="CI9" i="1" s="1"/>
  <c r="U9" i="1"/>
  <c r="AN9" i="1" s="1"/>
  <c r="CH8" i="1"/>
  <c r="BA8" i="1"/>
  <c r="CI8" i="1" s="1"/>
  <c r="U8" i="1"/>
  <c r="AN8" i="1" s="1"/>
  <c r="CH7" i="1"/>
  <c r="U7" i="1"/>
  <c r="AN7" i="1" s="1"/>
  <c r="BC7" i="1" s="1"/>
  <c r="CH6" i="1"/>
  <c r="U6" i="1"/>
  <c r="AN6" i="1" s="1"/>
  <c r="BC6" i="1" s="1"/>
  <c r="CH5" i="1"/>
  <c r="U5" i="1"/>
  <c r="AN5" i="1" s="1"/>
  <c r="BC5" i="1" s="1"/>
  <c r="CH4" i="1"/>
  <c r="BA4" i="1"/>
  <c r="CI4" i="1" s="1"/>
  <c r="U4" i="1"/>
  <c r="AN4" i="1" s="1"/>
  <c r="CH3" i="1"/>
  <c r="U3" i="1"/>
  <c r="CI587" i="1" l="1"/>
  <c r="CI71" i="1"/>
  <c r="CJ71" i="1" s="1"/>
  <c r="CK71" i="1" s="1"/>
  <c r="CI699" i="1"/>
  <c r="CJ699" i="1" s="1"/>
  <c r="CK699" i="1" s="1"/>
  <c r="CI561" i="1"/>
  <c r="CJ561" i="1" s="1"/>
  <c r="CK561" i="1" s="1"/>
  <c r="CI903" i="1"/>
  <c r="CJ903" i="1" s="1"/>
  <c r="CK903" i="1" s="1"/>
  <c r="CI1121" i="1"/>
  <c r="CJ1121" i="1" s="1"/>
  <c r="CK1121" i="1" s="1"/>
  <c r="CI683" i="1"/>
  <c r="CJ683" i="1" s="1"/>
  <c r="CK683" i="1" s="1"/>
  <c r="CI796" i="1"/>
  <c r="CJ796" i="1" s="1"/>
  <c r="CK796" i="1" s="1"/>
  <c r="CI99" i="1"/>
  <c r="CJ99" i="1" s="1"/>
  <c r="CK99" i="1" s="1"/>
  <c r="CI337" i="1"/>
  <c r="CI389" i="1"/>
  <c r="CJ389" i="1" s="1"/>
  <c r="CK389" i="1" s="1"/>
  <c r="CI324" i="1"/>
  <c r="CJ324" i="1" s="1"/>
  <c r="CK324" i="1" s="1"/>
  <c r="CI605" i="1"/>
  <c r="CJ605" i="1" s="1"/>
  <c r="CK605" i="1" s="1"/>
  <c r="CK39" i="1"/>
  <c r="CK101" i="1"/>
  <c r="CK148" i="1"/>
  <c r="CK154" i="1"/>
  <c r="CK256" i="1"/>
  <c r="CI374" i="1"/>
  <c r="CJ374" i="1" s="1"/>
  <c r="CK374" i="1" s="1"/>
  <c r="CK386" i="1"/>
  <c r="CK576" i="1"/>
  <c r="CK1011" i="1"/>
  <c r="CK1094" i="1"/>
  <c r="CK120" i="1"/>
  <c r="CK138" i="1"/>
  <c r="CK175" i="1"/>
  <c r="CK266" i="1"/>
  <c r="CI315" i="1"/>
  <c r="CJ315" i="1" s="1"/>
  <c r="CK315" i="1" s="1"/>
  <c r="CI387" i="1"/>
  <c r="CJ387" i="1" s="1"/>
  <c r="CK387" i="1" s="1"/>
  <c r="CI494" i="1"/>
  <c r="CJ494" i="1" s="1"/>
  <c r="CK494" i="1" s="1"/>
  <c r="CK560" i="1"/>
  <c r="CI110" i="1"/>
  <c r="CJ110" i="1" s="1"/>
  <c r="CK110" i="1" s="1"/>
  <c r="CK208" i="1"/>
  <c r="CK219" i="1"/>
  <c r="CK446" i="1"/>
  <c r="CK467" i="1"/>
  <c r="CI150" i="1"/>
  <c r="CJ150" i="1" s="1"/>
  <c r="CK150" i="1" s="1"/>
  <c r="CI258" i="1"/>
  <c r="CJ258" i="1" s="1"/>
  <c r="CK258" i="1" s="1"/>
  <c r="BC547" i="1"/>
  <c r="CI547" i="1"/>
  <c r="CJ547" i="1" s="1"/>
  <c r="CK547" i="1" s="1"/>
  <c r="CI128" i="1"/>
  <c r="CJ128" i="1" s="1"/>
  <c r="CK128" i="1" s="1"/>
  <c r="BC156" i="1"/>
  <c r="CI156" i="1"/>
  <c r="CJ156" i="1" s="1"/>
  <c r="CK156" i="1" s="1"/>
  <c r="BC188" i="1"/>
  <c r="CI188" i="1"/>
  <c r="CJ188" i="1" s="1"/>
  <c r="CK188" i="1" s="1"/>
  <c r="BC227" i="1"/>
  <c r="CI227" i="1"/>
  <c r="CJ227" i="1" s="1"/>
  <c r="CK227" i="1" s="1"/>
  <c r="CI358" i="1"/>
  <c r="CJ358" i="1" s="1"/>
  <c r="CK358" i="1" s="1"/>
  <c r="BC204" i="1"/>
  <c r="CI204" i="1"/>
  <c r="CI278" i="1"/>
  <c r="CJ278" i="1" s="1"/>
  <c r="CK278" i="1" s="1"/>
  <c r="CI392" i="1"/>
  <c r="CJ392" i="1" s="1"/>
  <c r="CK392" i="1" s="1"/>
  <c r="CI152" i="1"/>
  <c r="CJ152" i="1" s="1"/>
  <c r="CK152" i="1" s="1"/>
  <c r="BC171" i="1"/>
  <c r="CI171" i="1"/>
  <c r="CJ171" i="1" s="1"/>
  <c r="CK171" i="1" s="1"/>
  <c r="CI780" i="1"/>
  <c r="CJ780" i="1" s="1"/>
  <c r="CK780" i="1" s="1"/>
  <c r="BC81" i="1"/>
  <c r="CI81" i="1"/>
  <c r="CJ81" i="1" s="1"/>
  <c r="CK81" i="1" s="1"/>
  <c r="BC316" i="1"/>
  <c r="CI316" i="1"/>
  <c r="CJ316" i="1" s="1"/>
  <c r="CK316" i="1" s="1"/>
  <c r="BC422" i="1"/>
  <c r="CI422" i="1"/>
  <c r="CJ422" i="1" s="1"/>
  <c r="CK422" i="1" s="1"/>
  <c r="BC482" i="1"/>
  <c r="CI482" i="1"/>
  <c r="CJ482" i="1" s="1"/>
  <c r="CK482" i="1" s="1"/>
  <c r="BC1073" i="1"/>
  <c r="CI1073" i="1"/>
  <c r="CJ1073" i="1" s="1"/>
  <c r="CK1073" i="1" s="1"/>
  <c r="CI92" i="1"/>
  <c r="CJ92" i="1" s="1"/>
  <c r="CK92" i="1" s="1"/>
  <c r="BC335" i="1"/>
  <c r="CI335" i="1"/>
  <c r="CJ335" i="1" s="1"/>
  <c r="CK335" i="1" s="1"/>
  <c r="BC458" i="1"/>
  <c r="CI458" i="1"/>
  <c r="CJ458" i="1" s="1"/>
  <c r="CK458" i="1" s="1"/>
  <c r="BC568" i="1"/>
  <c r="CI568" i="1"/>
  <c r="CJ568" i="1" s="1"/>
  <c r="CK568" i="1" s="1"/>
  <c r="BC632" i="1"/>
  <c r="CI632" i="1"/>
  <c r="CJ632" i="1" s="1"/>
  <c r="CK632" i="1" s="1"/>
  <c r="BC734" i="1"/>
  <c r="CI734" i="1"/>
  <c r="CJ734" i="1" s="1"/>
  <c r="CK734" i="1" s="1"/>
  <c r="CI962" i="1"/>
  <c r="CJ962" i="1" s="1"/>
  <c r="CK962" i="1" s="1"/>
  <c r="BC1014" i="1"/>
  <c r="CI1014" i="1"/>
  <c r="CJ1014" i="1" s="1"/>
  <c r="CK1014" i="1" s="1"/>
  <c r="BC629" i="1"/>
  <c r="CI629" i="1"/>
  <c r="CJ629" i="1" s="1"/>
  <c r="CK629" i="1" s="1"/>
  <c r="BC700" i="1"/>
  <c r="CI700" i="1"/>
  <c r="CJ700" i="1" s="1"/>
  <c r="CK700" i="1" s="1"/>
  <c r="CI805" i="1"/>
  <c r="CJ805" i="1" s="1"/>
  <c r="CK805" i="1" s="1"/>
  <c r="CI838" i="1"/>
  <c r="CJ838" i="1" s="1"/>
  <c r="CK838" i="1" s="1"/>
  <c r="BC856" i="1"/>
  <c r="CI856" i="1"/>
  <c r="CJ856" i="1" s="1"/>
  <c r="CK856" i="1" s="1"/>
  <c r="CI978" i="1"/>
  <c r="CJ978" i="1" s="1"/>
  <c r="CK978" i="1" s="1"/>
  <c r="BC98" i="1"/>
  <c r="CI98" i="1"/>
  <c r="CJ98" i="1" s="1"/>
  <c r="CK98" i="1" s="1"/>
  <c r="BC238" i="1"/>
  <c r="CI238" i="1"/>
  <c r="CJ238" i="1" s="1"/>
  <c r="CK238" i="1" s="1"/>
  <c r="BC395" i="1"/>
  <c r="CI395" i="1"/>
  <c r="CJ395" i="1" s="1"/>
  <c r="CK395" i="1" s="1"/>
  <c r="BC420" i="1"/>
  <c r="CI420" i="1"/>
  <c r="CJ420" i="1" s="1"/>
  <c r="CK420" i="1" s="1"/>
  <c r="BC449" i="1"/>
  <c r="CI449" i="1"/>
  <c r="CJ449" i="1" s="1"/>
  <c r="CK449" i="1" s="1"/>
  <c r="BC534" i="1"/>
  <c r="CI534" i="1"/>
  <c r="CJ534" i="1" s="1"/>
  <c r="CK534" i="1" s="1"/>
  <c r="BC536" i="1"/>
  <c r="CI536" i="1"/>
  <c r="CJ536" i="1" s="1"/>
  <c r="CK536" i="1" s="1"/>
  <c r="CI956" i="1"/>
  <c r="CJ956" i="1" s="1"/>
  <c r="CK956" i="1" s="1"/>
  <c r="BC974" i="1"/>
  <c r="CI974" i="1"/>
  <c r="CJ974" i="1" s="1"/>
  <c r="CK974" i="1" s="1"/>
  <c r="BC1034" i="1"/>
  <c r="CI1034" i="1"/>
  <c r="CJ1034" i="1" s="1"/>
  <c r="CK1034" i="1" s="1"/>
  <c r="BC1036" i="1"/>
  <c r="CI1036" i="1"/>
  <c r="CJ1036" i="1" s="1"/>
  <c r="CK1036" i="1" s="1"/>
  <c r="CI1060" i="1"/>
  <c r="CJ1060" i="1" s="1"/>
  <c r="CK1060" i="1" s="1"/>
  <c r="BC144" i="1"/>
  <c r="CI144" i="1"/>
  <c r="CJ144" i="1" s="1"/>
  <c r="CK144" i="1" s="1"/>
  <c r="BC157" i="1"/>
  <c r="CI157" i="1"/>
  <c r="CJ157" i="1" s="1"/>
  <c r="CK157" i="1" s="1"/>
  <c r="BC209" i="1"/>
  <c r="CI209" i="1"/>
  <c r="CJ209" i="1" s="1"/>
  <c r="CK209" i="1" s="1"/>
  <c r="BC230" i="1"/>
  <c r="CI230" i="1"/>
  <c r="CJ230" i="1" s="1"/>
  <c r="CK230" i="1" s="1"/>
  <c r="CI272" i="1"/>
  <c r="CJ272" i="1" s="1"/>
  <c r="CK272" i="1" s="1"/>
  <c r="CI390" i="1"/>
  <c r="CJ390" i="1" s="1"/>
  <c r="CK390" i="1" s="1"/>
  <c r="BC447" i="1"/>
  <c r="CI447" i="1"/>
  <c r="CJ447" i="1" s="1"/>
  <c r="CK447" i="1" s="1"/>
  <c r="CI10" i="1"/>
  <c r="CJ10" i="1" s="1"/>
  <c r="CK10" i="1" s="1"/>
  <c r="BC57" i="1"/>
  <c r="CI57" i="1"/>
  <c r="CJ57" i="1" s="1"/>
  <c r="CK57" i="1" s="1"/>
  <c r="CI84" i="1"/>
  <c r="CJ84" i="1" s="1"/>
  <c r="CK84" i="1" s="1"/>
  <c r="BC155" i="1"/>
  <c r="CI155" i="1"/>
  <c r="CJ155" i="1" s="1"/>
  <c r="CK155" i="1" s="1"/>
  <c r="BC203" i="1"/>
  <c r="CI203" i="1"/>
  <c r="CJ203" i="1" s="1"/>
  <c r="CK203" i="1" s="1"/>
  <c r="BC212" i="1"/>
  <c r="CI212" i="1"/>
  <c r="CJ212" i="1" s="1"/>
  <c r="CK212" i="1" s="1"/>
  <c r="BC216" i="1"/>
  <c r="CI216" i="1"/>
  <c r="CJ216" i="1" s="1"/>
  <c r="CK216" i="1" s="1"/>
  <c r="BC277" i="1"/>
  <c r="CI277" i="1"/>
  <c r="CJ277" i="1" s="1"/>
  <c r="CK277" i="1" s="1"/>
  <c r="CI22" i="1"/>
  <c r="CJ22" i="1" s="1"/>
  <c r="CK22" i="1" s="1"/>
  <c r="CI82" i="1"/>
  <c r="CJ82" i="1" s="1"/>
  <c r="CK82" i="1" s="1"/>
  <c r="BC95" i="1"/>
  <c r="CI95" i="1"/>
  <c r="CJ95" i="1" s="1"/>
  <c r="CK95" i="1" s="1"/>
  <c r="BC237" i="1"/>
  <c r="CI237" i="1"/>
  <c r="CJ237" i="1" s="1"/>
  <c r="CK237" i="1" s="1"/>
  <c r="BC246" i="1"/>
  <c r="CI246" i="1"/>
  <c r="CJ246" i="1" s="1"/>
  <c r="CK246" i="1" s="1"/>
  <c r="CI312" i="1"/>
  <c r="CJ312" i="1" s="1"/>
  <c r="CK312" i="1" s="1"/>
  <c r="BC340" i="1"/>
  <c r="CI340" i="1"/>
  <c r="CJ340" i="1" s="1"/>
  <c r="CK340" i="1" s="1"/>
  <c r="BC419" i="1"/>
  <c r="CI419" i="1"/>
  <c r="CJ419" i="1" s="1"/>
  <c r="CK419" i="1" s="1"/>
  <c r="CI516" i="1"/>
  <c r="CJ516" i="1" s="1"/>
  <c r="CK516" i="1" s="1"/>
  <c r="BC521" i="1"/>
  <c r="CI521" i="1"/>
  <c r="CI528" i="1"/>
  <c r="CJ528" i="1" s="1"/>
  <c r="CK528" i="1" s="1"/>
  <c r="BC535" i="1"/>
  <c r="CI535" i="1"/>
  <c r="CJ535" i="1" s="1"/>
  <c r="CK535" i="1" s="1"/>
  <c r="CI65" i="1"/>
  <c r="CJ65" i="1" s="1"/>
  <c r="CK65" i="1" s="1"/>
  <c r="BC168" i="1"/>
  <c r="CI168" i="1"/>
  <c r="CJ168" i="1" s="1"/>
  <c r="CK168" i="1" s="1"/>
  <c r="BC218" i="1"/>
  <c r="CI218" i="1"/>
  <c r="CJ218" i="1" s="1"/>
  <c r="CK218" i="1" s="1"/>
  <c r="BC226" i="1"/>
  <c r="CI226" i="1"/>
  <c r="CJ226" i="1" s="1"/>
  <c r="CK226" i="1" s="1"/>
  <c r="CI243" i="1"/>
  <c r="CJ243" i="1" s="1"/>
  <c r="CI259" i="1"/>
  <c r="CJ259" i="1" s="1"/>
  <c r="CK259" i="1" s="1"/>
  <c r="CI319" i="1"/>
  <c r="CJ319" i="1" s="1"/>
  <c r="CK319" i="1" s="1"/>
  <c r="BC348" i="1"/>
  <c r="CI348" i="1"/>
  <c r="CJ348" i="1" s="1"/>
  <c r="CK348" i="1" s="1"/>
  <c r="CK393" i="1"/>
  <c r="CK400" i="1"/>
  <c r="CI757" i="1"/>
  <c r="CJ757" i="1" s="1"/>
  <c r="CK757" i="1" s="1"/>
  <c r="BC815" i="1"/>
  <c r="CI815" i="1"/>
  <c r="CJ815" i="1" s="1"/>
  <c r="CK815" i="1" s="1"/>
  <c r="BC933" i="1"/>
  <c r="CI933" i="1"/>
  <c r="CJ933" i="1" s="1"/>
  <c r="CK933" i="1" s="1"/>
  <c r="CI949" i="1"/>
  <c r="CJ949" i="1" s="1"/>
  <c r="CK949" i="1" s="1"/>
  <c r="CK13" i="1"/>
  <c r="BC73" i="1"/>
  <c r="CI73" i="1"/>
  <c r="CJ73" i="1" s="1"/>
  <c r="CK73" i="1" s="1"/>
  <c r="BC75" i="1"/>
  <c r="CI75" i="1"/>
  <c r="CJ75" i="1" s="1"/>
  <c r="CK75" i="1" s="1"/>
  <c r="BC143" i="1"/>
  <c r="CI143" i="1"/>
  <c r="CJ143" i="1" s="1"/>
  <c r="CK143" i="1" s="1"/>
  <c r="BC158" i="1"/>
  <c r="CI158" i="1"/>
  <c r="CJ158" i="1" s="1"/>
  <c r="CK158" i="1" s="1"/>
  <c r="BC229" i="1"/>
  <c r="CI229" i="1"/>
  <c r="CJ229" i="1" s="1"/>
  <c r="CK229" i="1" s="1"/>
  <c r="BC330" i="1"/>
  <c r="CI330" i="1"/>
  <c r="CJ330" i="1" s="1"/>
  <c r="CK330" i="1" s="1"/>
  <c r="CK385" i="1"/>
  <c r="CK439" i="1"/>
  <c r="BC459" i="1"/>
  <c r="CI459" i="1"/>
  <c r="CJ459" i="1" s="1"/>
  <c r="CK459" i="1" s="1"/>
  <c r="CI519" i="1"/>
  <c r="CJ519" i="1" s="1"/>
  <c r="CK519" i="1" s="1"/>
  <c r="BC544" i="1"/>
  <c r="CI544" i="1"/>
  <c r="CJ544" i="1" s="1"/>
  <c r="CK544" i="1" s="1"/>
  <c r="BC565" i="1"/>
  <c r="CI565" i="1"/>
  <c r="CJ565" i="1" s="1"/>
  <c r="CK565" i="1" s="1"/>
  <c r="CI569" i="1"/>
  <c r="CJ569" i="1" s="1"/>
  <c r="CK569" i="1" s="1"/>
  <c r="CI635" i="1"/>
  <c r="CJ635" i="1" s="1"/>
  <c r="CK635" i="1" s="1"/>
  <c r="BC445" i="1"/>
  <c r="CI445" i="1"/>
  <c r="CJ445" i="1" s="1"/>
  <c r="CK445" i="1" s="1"/>
  <c r="CK487" i="1"/>
  <c r="CI624" i="1"/>
  <c r="CJ624" i="1" s="1"/>
  <c r="CK624" i="1" s="1"/>
  <c r="BC703" i="1"/>
  <c r="CI703" i="1"/>
  <c r="CJ703" i="1" s="1"/>
  <c r="CK703" i="1" s="1"/>
  <c r="CI747" i="1"/>
  <c r="CJ747" i="1" s="1"/>
  <c r="CK747" i="1" s="1"/>
  <c r="BC781" i="1"/>
  <c r="CI781" i="1"/>
  <c r="CJ781" i="1" s="1"/>
  <c r="CK781" i="1" s="1"/>
  <c r="CI828" i="1"/>
  <c r="CJ828" i="1" s="1"/>
  <c r="CK828" i="1" s="1"/>
  <c r="CI880" i="1"/>
  <c r="CJ880" i="1" s="1"/>
  <c r="CK880" i="1" s="1"/>
  <c r="CI901" i="1"/>
  <c r="CJ901" i="1" s="1"/>
  <c r="CK901" i="1" s="1"/>
  <c r="BC1108" i="1"/>
  <c r="CI1108" i="1"/>
  <c r="CJ1108" i="1" s="1"/>
  <c r="CK1108" i="1" s="1"/>
  <c r="CI658" i="1"/>
  <c r="CJ658" i="1" s="1"/>
  <c r="CK658" i="1" s="1"/>
  <c r="CI665" i="1"/>
  <c r="CJ665" i="1" s="1"/>
  <c r="CK665" i="1" s="1"/>
  <c r="BC679" i="1"/>
  <c r="CI679" i="1"/>
  <c r="CJ679" i="1" s="1"/>
  <c r="CK679" i="1" s="1"/>
  <c r="CK681" i="1"/>
  <c r="CI752" i="1"/>
  <c r="CJ752" i="1" s="1"/>
  <c r="CK752" i="1" s="1"/>
  <c r="BC922" i="1"/>
  <c r="CI922" i="1"/>
  <c r="CJ922" i="1" s="1"/>
  <c r="CK922" i="1" s="1"/>
  <c r="BC977" i="1"/>
  <c r="CI977" i="1"/>
  <c r="CJ977" i="1" s="1"/>
  <c r="CK977" i="1" s="1"/>
  <c r="CI1012" i="1"/>
  <c r="CJ1012" i="1" s="1"/>
  <c r="CK1012" i="1" s="1"/>
  <c r="CI1057" i="1"/>
  <c r="CJ1057" i="1" s="1"/>
  <c r="CK1057" i="1" s="1"/>
  <c r="CK1061" i="1"/>
  <c r="CK1090" i="1"/>
  <c r="CK982" i="1"/>
  <c r="CI1026" i="1"/>
  <c r="CJ1026" i="1" s="1"/>
  <c r="CK1026" i="1" s="1"/>
  <c r="CK1056" i="1"/>
  <c r="BC503" i="1"/>
  <c r="CI503" i="1"/>
  <c r="CJ503" i="1" s="1"/>
  <c r="CK503" i="1" s="1"/>
  <c r="CK510" i="1"/>
  <c r="CI721" i="1"/>
  <c r="CJ721" i="1" s="1"/>
  <c r="CK721" i="1" s="1"/>
  <c r="CK723" i="1"/>
  <c r="CI733" i="1"/>
  <c r="CJ733" i="1" s="1"/>
  <c r="CK733" i="1" s="1"/>
  <c r="BC753" i="1"/>
  <c r="CI753" i="1"/>
  <c r="CJ753" i="1" s="1"/>
  <c r="CK753" i="1" s="1"/>
  <c r="CI906" i="1"/>
  <c r="CJ906" i="1" s="1"/>
  <c r="CK906" i="1" s="1"/>
  <c r="BC952" i="1"/>
  <c r="CI952" i="1"/>
  <c r="CJ952" i="1" s="1"/>
  <c r="CK952" i="1" s="1"/>
  <c r="BC980" i="1"/>
  <c r="CI980" i="1"/>
  <c r="CJ980" i="1" s="1"/>
  <c r="CK980" i="1" s="1"/>
  <c r="BC1082" i="1"/>
  <c r="CI1082" i="1"/>
  <c r="CJ1082" i="1" s="1"/>
  <c r="CK1082" i="1" s="1"/>
  <c r="BC1091" i="1"/>
  <c r="CI1091" i="1"/>
  <c r="CJ1091" i="1" s="1"/>
  <c r="CK1091" i="1" s="1"/>
  <c r="CK1120" i="1"/>
  <c r="BC235" i="1"/>
  <c r="BC748" i="1"/>
  <c r="BC169" i="1"/>
  <c r="CJ180" i="1"/>
  <c r="CK180" i="1" s="1"/>
  <c r="CJ196" i="1"/>
  <c r="CK196" i="1" s="1"/>
  <c r="BC746" i="1"/>
  <c r="CJ770" i="1"/>
  <c r="CK770" i="1" s="1"/>
  <c r="BC804" i="1"/>
  <c r="CJ1092" i="1"/>
  <c r="CK1092" i="1" s="1"/>
  <c r="BC1118" i="1"/>
  <c r="BC919" i="1"/>
  <c r="CJ983" i="1"/>
  <c r="CK983" i="1" s="1"/>
  <c r="CJ1133" i="1"/>
  <c r="CK1133" i="1" s="1"/>
  <c r="BC392" i="1"/>
  <c r="CJ223" i="1"/>
  <c r="CK223" i="1" s="1"/>
  <c r="CJ929" i="1"/>
  <c r="CK929" i="1" s="1"/>
  <c r="CJ769" i="1"/>
  <c r="CK769" i="1" s="1"/>
  <c r="CJ176" i="1"/>
  <c r="CK176" i="1" s="1"/>
  <c r="BC572" i="1"/>
  <c r="CJ146" i="1"/>
  <c r="CK146" i="1" s="1"/>
  <c r="BC514" i="1"/>
  <c r="BC312" i="1"/>
  <c r="BC317" i="1"/>
  <c r="BC331" i="1"/>
  <c r="BC390" i="1"/>
  <c r="CJ417" i="1"/>
  <c r="CK417" i="1" s="1"/>
  <c r="BC694" i="1"/>
  <c r="BC944" i="1"/>
  <c r="CJ612" i="1"/>
  <c r="CK612" i="1" s="1"/>
  <c r="CJ373" i="1"/>
  <c r="CK373" i="1" s="1"/>
  <c r="CJ6" i="1"/>
  <c r="CK6" i="1" s="1"/>
  <c r="BC19" i="1"/>
  <c r="BC21" i="1"/>
  <c r="BC732" i="1"/>
  <c r="BC805" i="1"/>
  <c r="CJ253" i="1"/>
  <c r="CK253" i="1" s="1"/>
  <c r="BC50" i="1"/>
  <c r="CJ76" i="1"/>
  <c r="CK76" i="1" s="1"/>
  <c r="BC114" i="1"/>
  <c r="CJ255" i="1"/>
  <c r="CK255" i="1" s="1"/>
  <c r="CJ306" i="1"/>
  <c r="CK306" i="1" s="1"/>
  <c r="BC999" i="1"/>
  <c r="CJ44" i="1"/>
  <c r="CK44" i="1" s="1"/>
  <c r="BC578" i="1"/>
  <c r="BC680" i="1"/>
  <c r="CJ1009" i="1"/>
  <c r="CK1009" i="1" s="1"/>
  <c r="BC1022" i="1"/>
  <c r="CJ388" i="1"/>
  <c r="CK388" i="1" s="1"/>
  <c r="CJ623" i="1"/>
  <c r="CK623" i="1" s="1"/>
  <c r="BC12" i="1"/>
  <c r="CJ32" i="1"/>
  <c r="CK32" i="1" s="1"/>
  <c r="CJ36" i="1"/>
  <c r="CK36" i="1" s="1"/>
  <c r="BC54" i="1"/>
  <c r="CJ368" i="1"/>
  <c r="CK368" i="1" s="1"/>
  <c r="CJ370" i="1"/>
  <c r="CK370" i="1" s="1"/>
  <c r="CJ732" i="1"/>
  <c r="CK732" i="1" s="1"/>
  <c r="BC757" i="1"/>
  <c r="BC817" i="1"/>
  <c r="BC1046" i="1"/>
  <c r="BC1083" i="1"/>
  <c r="CJ685" i="1"/>
  <c r="CK685" i="1" s="1"/>
  <c r="CJ687" i="1"/>
  <c r="CK687" i="1" s="1"/>
  <c r="CJ689" i="1"/>
  <c r="CK689" i="1" s="1"/>
  <c r="BC115" i="1"/>
  <c r="CJ364" i="1"/>
  <c r="CK364" i="1" s="1"/>
  <c r="BC486" i="1"/>
  <c r="BC523" i="1"/>
  <c r="CJ672" i="1"/>
  <c r="CK672" i="1" s="1"/>
  <c r="BC839" i="1"/>
  <c r="CJ859" i="1"/>
  <c r="CK859" i="1" s="1"/>
  <c r="CJ869" i="1"/>
  <c r="CK869" i="1" s="1"/>
  <c r="BC983" i="1"/>
  <c r="BC1050" i="1"/>
  <c r="CJ930" i="1"/>
  <c r="CK930" i="1" s="1"/>
  <c r="CJ936" i="1"/>
  <c r="CK936" i="1" s="1"/>
  <c r="BC105" i="1"/>
  <c r="CJ111" i="1"/>
  <c r="CK111" i="1" s="1"/>
  <c r="CJ182" i="1"/>
  <c r="CK182" i="1" s="1"/>
  <c r="CJ184" i="1"/>
  <c r="CK184" i="1" s="1"/>
  <c r="CJ248" i="1"/>
  <c r="CK248" i="1" s="1"/>
  <c r="U292" i="1"/>
  <c r="AC292" i="1" s="1"/>
  <c r="AN292" i="1" s="1"/>
  <c r="BC292" i="1" s="1"/>
  <c r="BC780" i="1"/>
  <c r="CJ786" i="1"/>
  <c r="CK786" i="1" s="1"/>
  <c r="CJ876" i="1"/>
  <c r="CK876" i="1" s="1"/>
  <c r="BC569" i="1"/>
  <c r="BC635" i="1"/>
  <c r="BC901" i="1"/>
  <c r="CJ946" i="1"/>
  <c r="CK946" i="1" s="1"/>
  <c r="CJ948" i="1"/>
  <c r="CK948" i="1" s="1"/>
  <c r="BC998" i="1"/>
  <c r="BC1135" i="1"/>
  <c r="CJ749" i="1"/>
  <c r="CK749" i="1" s="1"/>
  <c r="U283" i="1"/>
  <c r="AC283" i="1" s="1"/>
  <c r="AN283" i="1" s="1"/>
  <c r="BC283" i="1" s="1"/>
  <c r="CJ115" i="1"/>
  <c r="CK115" i="1" s="1"/>
  <c r="CJ131" i="1"/>
  <c r="CK131" i="1" s="1"/>
  <c r="CJ164" i="1"/>
  <c r="CK164" i="1" s="1"/>
  <c r="BC234" i="1"/>
  <c r="BC236" i="1"/>
  <c r="CJ241" i="1"/>
  <c r="CK241" i="1" s="1"/>
  <c r="BC278" i="1"/>
  <c r="CJ351" i="1"/>
  <c r="CK351" i="1" s="1"/>
  <c r="CJ353" i="1"/>
  <c r="CK353" i="1" s="1"/>
  <c r="BC372" i="1"/>
  <c r="BC375" i="1"/>
  <c r="BC931" i="1"/>
  <c r="BC949" i="1"/>
  <c r="BC984" i="1"/>
  <c r="CJ988" i="1"/>
  <c r="CK988" i="1" s="1"/>
  <c r="CJ990" i="1"/>
  <c r="CK990" i="1" s="1"/>
  <c r="BC412" i="1"/>
  <c r="CJ287" i="1"/>
  <c r="CK287" i="1" s="1"/>
  <c r="BC651" i="1"/>
  <c r="CJ20" i="1"/>
  <c r="CK20" i="1" s="1"/>
  <c r="BC43" i="1"/>
  <c r="BC45" i="1"/>
  <c r="BC47" i="1"/>
  <c r="BC49" i="1"/>
  <c r="BC163" i="1"/>
  <c r="CJ300" i="1"/>
  <c r="CK300" i="1" s="1"/>
  <c r="CJ304" i="1"/>
  <c r="CK304" i="1" s="1"/>
  <c r="BC765" i="1"/>
  <c r="BC767" i="1"/>
  <c r="BC1097" i="1"/>
  <c r="BC1084" i="1"/>
  <c r="CJ1085" i="1"/>
  <c r="CK1085" i="1" s="1"/>
  <c r="CJ11" i="1"/>
  <c r="CK11" i="1" s="1"/>
  <c r="BC34" i="1"/>
  <c r="BC69" i="1"/>
  <c r="CJ91" i="1"/>
  <c r="CK91" i="1" s="1"/>
  <c r="BC139" i="1"/>
  <c r="CJ163" i="1"/>
  <c r="CK163" i="1" s="1"/>
  <c r="BC225" i="1"/>
  <c r="CJ317" i="1"/>
  <c r="CK317" i="1" s="1"/>
  <c r="BC355" i="1"/>
  <c r="CJ506" i="1"/>
  <c r="CK506" i="1" s="1"/>
  <c r="BC519" i="1"/>
  <c r="CJ573" i="1"/>
  <c r="CK573" i="1" s="1"/>
  <c r="CJ615" i="1"/>
  <c r="CK615" i="1" s="1"/>
  <c r="BC658" i="1"/>
  <c r="BC670" i="1"/>
  <c r="BC795" i="1"/>
  <c r="CJ801" i="1"/>
  <c r="CK801" i="1" s="1"/>
  <c r="CJ837" i="1"/>
  <c r="CK837" i="1" s="1"/>
  <c r="BC882" i="1"/>
  <c r="CJ923" i="1"/>
  <c r="CK923" i="1" s="1"/>
  <c r="BC988" i="1"/>
  <c r="CJ1018" i="1"/>
  <c r="CK1018" i="1" s="1"/>
  <c r="BC1024" i="1"/>
  <c r="BC1086" i="1"/>
  <c r="BC1088" i="1"/>
  <c r="BC1098" i="1"/>
  <c r="BC1130" i="1"/>
  <c r="U298" i="1"/>
  <c r="AC298" i="1" s="1"/>
  <c r="AN298" i="1" s="1"/>
  <c r="BC298" i="1" s="1"/>
  <c r="CJ475" i="1"/>
  <c r="CK475" i="1" s="1"/>
  <c r="BC450" i="1"/>
  <c r="BC609" i="1"/>
  <c r="BC1064" i="1"/>
  <c r="U110" i="1"/>
  <c r="AC110" i="1" s="1"/>
  <c r="AN110" i="1" s="1"/>
  <c r="BC110" i="1" s="1"/>
  <c r="BC470" i="1"/>
  <c r="BC561" i="1"/>
  <c r="BC564" i="1"/>
  <c r="CJ795" i="1"/>
  <c r="CK795" i="1" s="1"/>
  <c r="CJ882" i="1"/>
  <c r="CK882" i="1" s="1"/>
  <c r="CJ663" i="1"/>
  <c r="CK663" i="1" s="1"/>
  <c r="CJ34" i="1"/>
  <c r="CK34" i="1" s="1"/>
  <c r="CJ52" i="1"/>
  <c r="CK52" i="1" s="1"/>
  <c r="U294" i="1"/>
  <c r="AC294" i="1" s="1"/>
  <c r="AN294" i="1" s="1"/>
  <c r="BC294" i="1" s="1"/>
  <c r="U307" i="1"/>
  <c r="AC307" i="1" s="1"/>
  <c r="AN307" i="1" s="1"/>
  <c r="BC307" i="1" s="1"/>
  <c r="BC388" i="1"/>
  <c r="BC25" i="1"/>
  <c r="BC123" i="1"/>
  <c r="CJ172" i="1"/>
  <c r="CK172" i="1" s="1"/>
  <c r="BC224" i="1"/>
  <c r="CJ336" i="1"/>
  <c r="CK336" i="1" s="1"/>
  <c r="BC346" i="1"/>
  <c r="CJ380" i="1"/>
  <c r="CK380" i="1" s="1"/>
  <c r="BC499" i="1"/>
  <c r="CJ559" i="1"/>
  <c r="CK559" i="1" s="1"/>
  <c r="CJ587" i="1"/>
  <c r="CK587" i="1" s="1"/>
  <c r="CJ592" i="1"/>
  <c r="CK592" i="1" s="1"/>
  <c r="BC608" i="1"/>
  <c r="BC686" i="1"/>
  <c r="BC704" i="1"/>
  <c r="CJ864" i="1"/>
  <c r="CK864" i="1" s="1"/>
  <c r="CJ1023" i="1"/>
  <c r="CK1023" i="1" s="1"/>
  <c r="BC1038" i="1"/>
  <c r="BC427" i="1"/>
  <c r="BC257" i="1"/>
  <c r="CJ479" i="1"/>
  <c r="CK479" i="1" s="1"/>
  <c r="CJ562" i="1"/>
  <c r="CK562" i="1" s="1"/>
  <c r="BC562" i="1"/>
  <c r="CJ794" i="1"/>
  <c r="CK794" i="1" s="1"/>
  <c r="BC794" i="1"/>
  <c r="BC1043" i="1"/>
  <c r="CJ1043" i="1"/>
  <c r="CK1043" i="1" s="1"/>
  <c r="BC889" i="1"/>
  <c r="CJ889" i="1"/>
  <c r="CK889" i="1" s="1"/>
  <c r="BC1123" i="1"/>
  <c r="CJ1123" i="1"/>
  <c r="CK1123" i="1" s="1"/>
  <c r="BC493" i="1"/>
  <c r="CJ493" i="1"/>
  <c r="CK493" i="1" s="1"/>
  <c r="BC957" i="1"/>
  <c r="CJ957" i="1"/>
  <c r="CK957" i="1" s="1"/>
  <c r="CJ382" i="1"/>
  <c r="CK382" i="1" s="1"/>
  <c r="BC382" i="1"/>
  <c r="BC475" i="1"/>
  <c r="CJ745" i="1"/>
  <c r="CK745" i="1" s="1"/>
  <c r="BC170" i="1"/>
  <c r="CJ170" i="1"/>
  <c r="CK170" i="1" s="1"/>
  <c r="BC443" i="1"/>
  <c r="CJ443" i="1"/>
  <c r="CK443" i="1" s="1"/>
  <c r="BC524" i="1"/>
  <c r="CJ524" i="1"/>
  <c r="CK524" i="1" s="1"/>
  <c r="CJ51" i="1"/>
  <c r="CK51" i="1" s="1"/>
  <c r="BC835" i="1"/>
  <c r="CJ835" i="1"/>
  <c r="CK835" i="1" s="1"/>
  <c r="BC162" i="1"/>
  <c r="BC189" i="1"/>
  <c r="CJ189" i="1"/>
  <c r="CK189" i="1" s="1"/>
  <c r="BC270" i="1"/>
  <c r="BC272" i="1"/>
  <c r="CJ406" i="1"/>
  <c r="CK406" i="1" s="1"/>
  <c r="CJ655" i="1"/>
  <c r="CK655" i="1" s="1"/>
  <c r="BC655" i="1"/>
  <c r="CJ827" i="1"/>
  <c r="CK827" i="1" s="1"/>
  <c r="BC1060" i="1"/>
  <c r="BC1131" i="1"/>
  <c r="CJ408" i="1"/>
  <c r="CK408" i="1" s="1"/>
  <c r="CJ481" i="1"/>
  <c r="CK481" i="1" s="1"/>
  <c r="CJ756" i="1"/>
  <c r="CK756" i="1" s="1"/>
  <c r="CJ887" i="1"/>
  <c r="CK887" i="1" s="1"/>
  <c r="CJ235" i="1"/>
  <c r="CK235" i="1" s="1"/>
  <c r="CJ270" i="1"/>
  <c r="CK270" i="1" s="1"/>
  <c r="U290" i="1"/>
  <c r="AC290" i="1" s="1"/>
  <c r="AN290" i="1" s="1"/>
  <c r="BC290" i="1" s="1"/>
  <c r="CJ298" i="1"/>
  <c r="CK298" i="1" s="1"/>
  <c r="BC336" i="1"/>
  <c r="CJ427" i="1"/>
  <c r="CK427" i="1" s="1"/>
  <c r="CJ454" i="1"/>
  <c r="CK454" i="1" s="1"/>
  <c r="BC543" i="1"/>
  <c r="CJ598" i="1"/>
  <c r="CK598" i="1" s="1"/>
  <c r="BC669" i="1"/>
  <c r="BC708" i="1"/>
  <c r="BC832" i="1"/>
  <c r="BC847" i="1"/>
  <c r="CJ964" i="1"/>
  <c r="CK964" i="1" s="1"/>
  <c r="BC979" i="1"/>
  <c r="CJ1101" i="1"/>
  <c r="CK1101" i="1" s="1"/>
  <c r="CJ33" i="1"/>
  <c r="CK33" i="1" s="1"/>
  <c r="CJ37" i="1"/>
  <c r="CK37" i="1" s="1"/>
  <c r="CJ56" i="1"/>
  <c r="CK56" i="1" s="1"/>
  <c r="CJ80" i="1"/>
  <c r="CK80" i="1" s="1"/>
  <c r="BC82" i="1"/>
  <c r="CJ195" i="1"/>
  <c r="CK195" i="1" s="1"/>
  <c r="CJ244" i="1"/>
  <c r="CK244" i="1" s="1"/>
  <c r="BC252" i="1"/>
  <c r="BC263" i="1"/>
  <c r="BC271" i="1"/>
  <c r="BC273" i="1"/>
  <c r="CJ276" i="1"/>
  <c r="CK276" i="1" s="1"/>
  <c r="BC379" i="1"/>
  <c r="CJ405" i="1"/>
  <c r="CK405" i="1" s="1"/>
  <c r="BC455" i="1"/>
  <c r="CJ526" i="1"/>
  <c r="CK526" i="1" s="1"/>
  <c r="BC626" i="1"/>
  <c r="BC689" i="1"/>
  <c r="CJ697" i="1"/>
  <c r="CK697" i="1" s="1"/>
  <c r="CJ730" i="1"/>
  <c r="CK730" i="1" s="1"/>
  <c r="BC771" i="1"/>
  <c r="BC789" i="1"/>
  <c r="BC793" i="1"/>
  <c r="CJ817" i="1"/>
  <c r="CK817" i="1" s="1"/>
  <c r="BC956" i="1"/>
  <c r="BC961" i="1"/>
  <c r="CJ1051" i="1"/>
  <c r="CK1051" i="1" s="1"/>
  <c r="CJ1068" i="1"/>
  <c r="CK1068" i="1" s="1"/>
  <c r="BC1106" i="1"/>
  <c r="CJ758" i="1"/>
  <c r="CK758" i="1" s="1"/>
  <c r="CJ847" i="1"/>
  <c r="CK847" i="1" s="1"/>
  <c r="BC607" i="1"/>
  <c r="CJ654" i="1"/>
  <c r="CK654" i="1" s="1"/>
  <c r="CJ675" i="1"/>
  <c r="CK675" i="1" s="1"/>
  <c r="CJ696" i="1"/>
  <c r="CK696" i="1" s="1"/>
  <c r="BC782" i="1"/>
  <c r="CJ791" i="1"/>
  <c r="CK791" i="1" s="1"/>
  <c r="BC921" i="1"/>
  <c r="CJ935" i="1"/>
  <c r="CK935" i="1" s="1"/>
  <c r="CJ943" i="1"/>
  <c r="CK943" i="1" s="1"/>
  <c r="BC978" i="1"/>
  <c r="CJ1006" i="1"/>
  <c r="CK1006" i="1" s="1"/>
  <c r="CJ1118" i="1"/>
  <c r="CK1118" i="1" s="1"/>
  <c r="CJ247" i="1"/>
  <c r="CK247" i="1" s="1"/>
  <c r="CJ489" i="1"/>
  <c r="CK489" i="1" s="1"/>
  <c r="CJ498" i="1"/>
  <c r="CK498" i="1" s="1"/>
  <c r="CJ790" i="1"/>
  <c r="CK790" i="1" s="1"/>
  <c r="CJ925" i="1"/>
  <c r="CK925" i="1" s="1"/>
  <c r="CJ21" i="1"/>
  <c r="CK21" i="1" s="1"/>
  <c r="CJ35" i="1"/>
  <c r="CK35" i="1" s="1"/>
  <c r="CJ49" i="1"/>
  <c r="CK49" i="1" s="1"/>
  <c r="CJ127" i="1"/>
  <c r="CK127" i="1" s="1"/>
  <c r="CJ68" i="1"/>
  <c r="CK68" i="1" s="1"/>
  <c r="CJ89" i="1"/>
  <c r="CK89" i="1" s="1"/>
  <c r="BC100" i="1"/>
  <c r="BC106" i="1"/>
  <c r="BC127" i="1"/>
  <c r="CJ130" i="1"/>
  <c r="CK130" i="1" s="1"/>
  <c r="CJ140" i="1"/>
  <c r="CK140" i="1" s="1"/>
  <c r="BC150" i="1"/>
  <c r="BC160" i="1"/>
  <c r="CJ173" i="1"/>
  <c r="CK173" i="1" s="1"/>
  <c r="BC233" i="1"/>
  <c r="CJ273" i="1"/>
  <c r="CK273" i="1" s="1"/>
  <c r="U310" i="1"/>
  <c r="AC310" i="1" s="1"/>
  <c r="AN310" i="1" s="1"/>
  <c r="BC310" i="1" s="1"/>
  <c r="CJ322" i="1"/>
  <c r="CK322" i="1" s="1"/>
  <c r="BC324" i="1"/>
  <c r="BC360" i="1"/>
  <c r="CJ434" i="1"/>
  <c r="CK434" i="1" s="1"/>
  <c r="BC481" i="1"/>
  <c r="BC489" i="1"/>
  <c r="CJ515" i="1"/>
  <c r="CK515" i="1" s="1"/>
  <c r="CJ555" i="1"/>
  <c r="CK555" i="1" s="1"/>
  <c r="CJ662" i="1"/>
  <c r="CK662" i="1" s="1"/>
  <c r="CJ673" i="1"/>
  <c r="CK673" i="1" s="1"/>
  <c r="BC756" i="1"/>
  <c r="BC803" i="1"/>
  <c r="CJ808" i="1"/>
  <c r="CK808" i="1" s="1"/>
  <c r="CJ818" i="1"/>
  <c r="CK818" i="1" s="1"/>
  <c r="CJ823" i="1"/>
  <c r="CK823" i="1" s="1"/>
  <c r="CJ844" i="1"/>
  <c r="CK844" i="1" s="1"/>
  <c r="BC877" i="1"/>
  <c r="BC883" i="1"/>
  <c r="BC1052" i="1"/>
  <c r="BC1058" i="1"/>
  <c r="CJ1087" i="1"/>
  <c r="CK1087" i="1" s="1"/>
  <c r="BC625" i="1"/>
  <c r="CJ625" i="1"/>
  <c r="CK625" i="1" s="1"/>
  <c r="BC627" i="1"/>
  <c r="CJ14" i="1"/>
  <c r="CK14" i="1" s="1"/>
  <c r="BC853" i="1"/>
  <c r="BC97" i="1"/>
  <c r="CJ97" i="1"/>
  <c r="CK97" i="1" s="1"/>
  <c r="BC66" i="1"/>
  <c r="CJ108" i="1"/>
  <c r="CK108" i="1" s="1"/>
  <c r="BC128" i="1"/>
  <c r="CJ232" i="1"/>
  <c r="CK232" i="1" s="1"/>
  <c r="BC232" i="1"/>
  <c r="CJ320" i="1"/>
  <c r="CK320" i="1" s="1"/>
  <c r="BC349" i="1"/>
  <c r="BC358" i="1"/>
  <c r="CJ363" i="1"/>
  <c r="CK363" i="1" s="1"/>
  <c r="CJ456" i="1"/>
  <c r="CK456" i="1" s="1"/>
  <c r="BC515" i="1"/>
  <c r="CJ548" i="1"/>
  <c r="CK548" i="1" s="1"/>
  <c r="CJ550" i="1"/>
  <c r="CK550" i="1" s="1"/>
  <c r="BC554" i="1"/>
  <c r="BC594" i="1"/>
  <c r="BC672" i="1"/>
  <c r="BC705" i="1"/>
  <c r="CJ722" i="1"/>
  <c r="CK722" i="1" s="1"/>
  <c r="BC722" i="1"/>
  <c r="U299" i="1"/>
  <c r="AC299" i="1" s="1"/>
  <c r="AN299" i="1" s="1"/>
  <c r="BC299" i="1" s="1"/>
  <c r="BC403" i="1"/>
  <c r="CJ403" i="1"/>
  <c r="CK403" i="1" s="1"/>
  <c r="CJ590" i="1"/>
  <c r="CK590" i="1" s="1"/>
  <c r="BC806" i="1"/>
  <c r="CJ911" i="1"/>
  <c r="CK911" i="1" s="1"/>
  <c r="BC911" i="1"/>
  <c r="CJ941" i="1"/>
  <c r="CK941" i="1" s="1"/>
  <c r="BC941" i="1"/>
  <c r="CJ4" i="1"/>
  <c r="CK4" i="1" s="1"/>
  <c r="BC117" i="1"/>
  <c r="CJ117" i="1"/>
  <c r="CK117" i="1" s="1"/>
  <c r="CJ206" i="1"/>
  <c r="CK206" i="1" s="1"/>
  <c r="BC214" i="1"/>
  <c r="U289" i="1"/>
  <c r="AC289" i="1" s="1"/>
  <c r="AN289" i="1" s="1"/>
  <c r="BC289" i="1" s="1"/>
  <c r="CJ94" i="1"/>
  <c r="CK94" i="1" s="1"/>
  <c r="CJ356" i="1"/>
  <c r="CK356" i="1" s="1"/>
  <c r="CJ50" i="1"/>
  <c r="CK50" i="1" s="1"/>
  <c r="BC85" i="1"/>
  <c r="BC200" i="1"/>
  <c r="CJ250" i="1"/>
  <c r="CK250" i="1" s="1"/>
  <c r="BC254" i="1"/>
  <c r="BC268" i="1"/>
  <c r="CJ309" i="1"/>
  <c r="CK309" i="1" s="1"/>
  <c r="CJ310" i="1"/>
  <c r="CK310" i="1" s="1"/>
  <c r="CJ344" i="1"/>
  <c r="CK344" i="1" s="1"/>
  <c r="BC362" i="1"/>
  <c r="CJ362" i="1"/>
  <c r="CK362" i="1" s="1"/>
  <c r="CJ371" i="1"/>
  <c r="CK371" i="1" s="1"/>
  <c r="BC371" i="1"/>
  <c r="BC472" i="1"/>
  <c r="BC480" i="1"/>
  <c r="CJ480" i="1"/>
  <c r="CK480" i="1" s="1"/>
  <c r="CJ581" i="1"/>
  <c r="CK581" i="1" s="1"/>
  <c r="CJ760" i="1"/>
  <c r="CK760" i="1" s="1"/>
  <c r="BC760" i="1"/>
  <c r="CJ360" i="1"/>
  <c r="CK360" i="1" s="1"/>
  <c r="BC484" i="1"/>
  <c r="CJ484" i="1"/>
  <c r="CK484" i="1" s="1"/>
  <c r="BC647" i="1"/>
  <c r="CJ647" i="1"/>
  <c r="CK647" i="1" s="1"/>
  <c r="U280" i="1"/>
  <c r="AC280" i="1" s="1"/>
  <c r="AN280" i="1" s="1"/>
  <c r="BC280" i="1" s="1"/>
  <c r="CJ460" i="1"/>
  <c r="CK460" i="1" s="1"/>
  <c r="BC8" i="1"/>
  <c r="BC16" i="1"/>
  <c r="BC58" i="1"/>
  <c r="CJ107" i="1"/>
  <c r="CK107" i="1" s="1"/>
  <c r="BC140" i="1"/>
  <c r="CJ202" i="1"/>
  <c r="CK202" i="1" s="1"/>
  <c r="BC202" i="1"/>
  <c r="CJ293" i="1"/>
  <c r="CK293" i="1" s="1"/>
  <c r="BC329" i="1"/>
  <c r="CJ402" i="1"/>
  <c r="CK402" i="1" s="1"/>
  <c r="BC402" i="1"/>
  <c r="BC464" i="1"/>
  <c r="BC476" i="1"/>
  <c r="BC507" i="1"/>
  <c r="BC512" i="1"/>
  <c r="CJ546" i="1"/>
  <c r="CK546" i="1" s="1"/>
  <c r="CJ600" i="1"/>
  <c r="CK600" i="1" s="1"/>
  <c r="CJ604" i="1"/>
  <c r="CK604" i="1" s="1"/>
  <c r="BC666" i="1"/>
  <c r="CJ666" i="1"/>
  <c r="CK666" i="1" s="1"/>
  <c r="CJ744" i="1"/>
  <c r="CK744" i="1" s="1"/>
  <c r="CJ875" i="1"/>
  <c r="CK875" i="1" s="1"/>
  <c r="BC875" i="1"/>
  <c r="CJ862" i="1"/>
  <c r="CK862" i="1" s="1"/>
  <c r="BC862" i="1"/>
  <c r="BC9" i="1"/>
  <c r="BC17" i="1"/>
  <c r="BC23" i="1"/>
  <c r="BC42" i="1"/>
  <c r="BC48" i="1"/>
  <c r="BC113" i="1"/>
  <c r="CJ142" i="1"/>
  <c r="CK142" i="1" s="1"/>
  <c r="BC176" i="1"/>
  <c r="BC199" i="1"/>
  <c r="CJ214" i="1"/>
  <c r="CK214" i="1" s="1"/>
  <c r="CJ242" i="1"/>
  <c r="CK242" i="1" s="1"/>
  <c r="CJ262" i="1"/>
  <c r="CK262" i="1" s="1"/>
  <c r="U285" i="1"/>
  <c r="AC285" i="1" s="1"/>
  <c r="AN285" i="1" s="1"/>
  <c r="BC285" i="1" s="1"/>
  <c r="U286" i="1"/>
  <c r="AC286" i="1" s="1"/>
  <c r="AN286" i="1" s="1"/>
  <c r="BC286" i="1" s="1"/>
  <c r="CJ308" i="1"/>
  <c r="CK308" i="1" s="1"/>
  <c r="CJ329" i="1"/>
  <c r="CK329" i="1" s="1"/>
  <c r="BC343" i="1"/>
  <c r="CJ346" i="1"/>
  <c r="CK346" i="1" s="1"/>
  <c r="CJ377" i="1"/>
  <c r="CK377" i="1" s="1"/>
  <c r="BC377" i="1"/>
  <c r="CJ396" i="1"/>
  <c r="CK396" i="1" s="1"/>
  <c r="BC401" i="1"/>
  <c r="BC432" i="1"/>
  <c r="BC471" i="1"/>
  <c r="CJ472" i="1"/>
  <c r="CK472" i="1" s="1"/>
  <c r="CJ486" i="1"/>
  <c r="CK486" i="1" s="1"/>
  <c r="BC520" i="1"/>
  <c r="BC563" i="1"/>
  <c r="BC612" i="1"/>
  <c r="CJ641" i="1"/>
  <c r="CK641" i="1" s="1"/>
  <c r="CJ667" i="1"/>
  <c r="CK667" i="1" s="1"/>
  <c r="CJ670" i="1"/>
  <c r="CK670" i="1" s="1"/>
  <c r="CJ792" i="1"/>
  <c r="CK792" i="1" s="1"/>
  <c r="CJ806" i="1"/>
  <c r="CK806" i="1" s="1"/>
  <c r="CJ846" i="1"/>
  <c r="CK846" i="1" s="1"/>
  <c r="BC880" i="1"/>
  <c r="BC886" i="1"/>
  <c r="BC895" i="1"/>
  <c r="BC908" i="1"/>
  <c r="BC1048" i="1"/>
  <c r="CJ1059" i="1"/>
  <c r="CK1059" i="1" s="1"/>
  <c r="CJ1070" i="1"/>
  <c r="CK1070" i="1" s="1"/>
  <c r="CJ1130" i="1"/>
  <c r="CK1130" i="1" s="1"/>
  <c r="CJ908" i="1"/>
  <c r="CK908" i="1" s="1"/>
  <c r="CJ762" i="1"/>
  <c r="CK762" i="1" s="1"/>
  <c r="BC762" i="1"/>
  <c r="CJ9" i="1"/>
  <c r="CK9" i="1" s="1"/>
  <c r="BC31" i="1"/>
  <c r="BC59" i="1"/>
  <c r="BC61" i="1"/>
  <c r="CJ126" i="1"/>
  <c r="CK126" i="1" s="1"/>
  <c r="CJ162" i="1"/>
  <c r="CK162" i="1" s="1"/>
  <c r="BC247" i="1"/>
  <c r="BC274" i="1"/>
  <c r="CJ279" i="1"/>
  <c r="CK279" i="1" s="1"/>
  <c r="CJ283" i="1"/>
  <c r="CK283" i="1" s="1"/>
  <c r="CJ284" i="1"/>
  <c r="CK284" i="1" s="1"/>
  <c r="U313" i="1"/>
  <c r="AC313" i="1" s="1"/>
  <c r="AN313" i="1" s="1"/>
  <c r="BC313" i="1" s="1"/>
  <c r="U314" i="1"/>
  <c r="AC314" i="1" s="1"/>
  <c r="AN314" i="1" s="1"/>
  <c r="BC314" i="1" s="1"/>
  <c r="U315" i="1"/>
  <c r="AC315" i="1" s="1"/>
  <c r="AN315" i="1" s="1"/>
  <c r="BC315" i="1" s="1"/>
  <c r="CJ328" i="1"/>
  <c r="CK328" i="1" s="1"/>
  <c r="BC332" i="1"/>
  <c r="BC344" i="1"/>
  <c r="CJ401" i="1"/>
  <c r="CK401" i="1" s="1"/>
  <c r="BC509" i="1"/>
  <c r="BC511" i="1"/>
  <c r="BC549" i="1"/>
  <c r="CJ564" i="1"/>
  <c r="CK564" i="1" s="1"/>
  <c r="BC598" i="1"/>
  <c r="BC619" i="1"/>
  <c r="BC624" i="1"/>
  <c r="CJ678" i="1"/>
  <c r="CK678" i="1" s="1"/>
  <c r="CJ682" i="1"/>
  <c r="CK682" i="1" s="1"/>
  <c r="BC685" i="1"/>
  <c r="BC710" i="1"/>
  <c r="BC965" i="1"/>
  <c r="CJ1025" i="1"/>
  <c r="CK1025" i="1" s="1"/>
  <c r="BC1025" i="1"/>
  <c r="BC1105" i="1"/>
  <c r="BC1110" i="1"/>
  <c r="CJ61" i="1"/>
  <c r="CK61" i="1" s="1"/>
  <c r="CJ66" i="1"/>
  <c r="CK66" i="1" s="1"/>
  <c r="BC70" i="1"/>
  <c r="CJ102" i="1"/>
  <c r="CK102" i="1" s="1"/>
  <c r="BC129" i="1"/>
  <c r="CJ137" i="1"/>
  <c r="CK137" i="1" s="1"/>
  <c r="BC149" i="1"/>
  <c r="BC151" i="1"/>
  <c r="BC164" i="1"/>
  <c r="CJ201" i="1"/>
  <c r="CK201" i="1" s="1"/>
  <c r="BC222" i="1"/>
  <c r="BC240" i="1"/>
  <c r="CJ296" i="1"/>
  <c r="CK296" i="1" s="1"/>
  <c r="U303" i="1"/>
  <c r="AC303" i="1" s="1"/>
  <c r="AN303" i="1" s="1"/>
  <c r="BC303" i="1" s="1"/>
  <c r="BC319" i="1"/>
  <c r="CJ352" i="1"/>
  <c r="CK352" i="1" s="1"/>
  <c r="CJ354" i="1"/>
  <c r="CK354" i="1" s="1"/>
  <c r="BC356" i="1"/>
  <c r="BC367" i="1"/>
  <c r="BC378" i="1"/>
  <c r="CJ384" i="1"/>
  <c r="CK384" i="1" s="1"/>
  <c r="BC415" i="1"/>
  <c r="BC435" i="1"/>
  <c r="BC454" i="1"/>
  <c r="CJ483" i="1"/>
  <c r="CK483" i="1" s="1"/>
  <c r="CJ509" i="1"/>
  <c r="CK509" i="1" s="1"/>
  <c r="CJ512" i="1"/>
  <c r="CK512" i="1" s="1"/>
  <c r="BC553" i="1"/>
  <c r="CJ578" i="1"/>
  <c r="CK578" i="1" s="1"/>
  <c r="CJ620" i="1"/>
  <c r="CK620" i="1" s="1"/>
  <c r="CJ627" i="1"/>
  <c r="CK627" i="1" s="1"/>
  <c r="CJ633" i="1"/>
  <c r="CK633" i="1" s="1"/>
  <c r="BC633" i="1"/>
  <c r="BC661" i="1"/>
  <c r="CJ694" i="1"/>
  <c r="CK694" i="1" s="1"/>
  <c r="CJ698" i="1"/>
  <c r="CK698" i="1" s="1"/>
  <c r="BC698" i="1"/>
  <c r="CJ704" i="1"/>
  <c r="CK704" i="1" s="1"/>
  <c r="CJ717" i="1"/>
  <c r="CK717" i="1" s="1"/>
  <c r="BC728" i="1"/>
  <c r="BC747" i="1"/>
  <c r="CJ750" i="1"/>
  <c r="CK750" i="1" s="1"/>
  <c r="BC752" i="1"/>
  <c r="CJ826" i="1"/>
  <c r="CK826" i="1" s="1"/>
  <c r="BC826" i="1"/>
  <c r="BC865" i="1"/>
  <c r="BC997" i="1"/>
  <c r="BC1006" i="1"/>
  <c r="CJ1062" i="1"/>
  <c r="CK1062" i="1" s="1"/>
  <c r="BC1101" i="1"/>
  <c r="CJ630" i="1"/>
  <c r="CK630" i="1" s="1"/>
  <c r="BC652" i="1"/>
  <c r="BC742" i="1"/>
  <c r="BC774" i="1"/>
  <c r="CJ813" i="1"/>
  <c r="CK813" i="1" s="1"/>
  <c r="CJ871" i="1"/>
  <c r="CK871" i="1" s="1"/>
  <c r="CJ897" i="1"/>
  <c r="CK897" i="1" s="1"/>
  <c r="BC923" i="1"/>
  <c r="BC964" i="1"/>
  <c r="BC985" i="1"/>
  <c r="CJ1002" i="1"/>
  <c r="CK1002" i="1" s="1"/>
  <c r="CJ1004" i="1"/>
  <c r="CK1004" i="1" s="1"/>
  <c r="BC1010" i="1"/>
  <c r="BC1012" i="1"/>
  <c r="CJ1071" i="1"/>
  <c r="CK1071" i="1" s="1"/>
  <c r="CJ1103" i="1"/>
  <c r="CK1103" i="1" s="1"/>
  <c r="CJ1111" i="1"/>
  <c r="CK1111" i="1" s="1"/>
  <c r="CJ1113" i="1"/>
  <c r="CK1113" i="1" s="1"/>
  <c r="BC1121" i="1"/>
  <c r="BC1134" i="1"/>
  <c r="CJ746" i="1"/>
  <c r="CK746" i="1" s="1"/>
  <c r="CJ793" i="1"/>
  <c r="CK793" i="1" s="1"/>
  <c r="BC953" i="1"/>
  <c r="CJ976" i="1"/>
  <c r="CK976" i="1" s="1"/>
  <c r="CJ357" i="1"/>
  <c r="CK357" i="1" s="1"/>
  <c r="CJ463" i="1"/>
  <c r="CK463" i="1" s="1"/>
  <c r="CJ466" i="1"/>
  <c r="CK466" i="1" s="1"/>
  <c r="BC473" i="1"/>
  <c r="CJ532" i="1"/>
  <c r="CK532" i="1" s="1"/>
  <c r="BC552" i="1"/>
  <c r="BC623" i="1"/>
  <c r="CJ637" i="1"/>
  <c r="CK637" i="1" s="1"/>
  <c r="BC665" i="1"/>
  <c r="CJ708" i="1"/>
  <c r="CK708" i="1" s="1"/>
  <c r="CJ724" i="1"/>
  <c r="CK724" i="1" s="1"/>
  <c r="CJ727" i="1"/>
  <c r="CK727" i="1" s="1"/>
  <c r="BC758" i="1"/>
  <c r="BC802" i="1"/>
  <c r="BC831" i="1"/>
  <c r="CJ834" i="1"/>
  <c r="CK834" i="1" s="1"/>
  <c r="BC858" i="1"/>
  <c r="CJ870" i="1"/>
  <c r="CK870" i="1" s="1"/>
  <c r="BC874" i="1"/>
  <c r="BC887" i="1"/>
  <c r="BC925" i="1"/>
  <c r="CJ985" i="1"/>
  <c r="CK985" i="1" s="1"/>
  <c r="CJ998" i="1"/>
  <c r="CK998" i="1" s="1"/>
  <c r="BC1078" i="1"/>
  <c r="CJ1081" i="1"/>
  <c r="CK1081" i="1" s="1"/>
  <c r="BC1099" i="1"/>
  <c r="BC1111" i="1"/>
  <c r="CJ814" i="1"/>
  <c r="CK814" i="1" s="1"/>
  <c r="BC824" i="1"/>
  <c r="BC838" i="1"/>
  <c r="BC906" i="1"/>
  <c r="BC929" i="1"/>
  <c r="BC966" i="1"/>
  <c r="CJ984" i="1"/>
  <c r="CK984" i="1" s="1"/>
  <c r="BC1000" i="1"/>
  <c r="CJ1024" i="1"/>
  <c r="CK1024" i="1" s="1"/>
  <c r="CJ1033" i="1"/>
  <c r="CK1033" i="1" s="1"/>
  <c r="BC1037" i="1"/>
  <c r="BC628" i="1"/>
  <c r="CJ628" i="1"/>
  <c r="CK628" i="1" s="1"/>
  <c r="CJ59" i="1"/>
  <c r="CK59" i="1" s="1"/>
  <c r="BC84" i="1"/>
  <c r="CJ103" i="1"/>
  <c r="CK103" i="1" s="1"/>
  <c r="BC103" i="1"/>
  <c r="CJ165" i="1"/>
  <c r="CK165" i="1" s="1"/>
  <c r="CJ251" i="1"/>
  <c r="CK251" i="1" s="1"/>
  <c r="BC251" i="1"/>
  <c r="BC351" i="1"/>
  <c r="BC353" i="1"/>
  <c r="BC527" i="1"/>
  <c r="CJ527" i="1"/>
  <c r="CK527" i="1" s="1"/>
  <c r="CJ878" i="1"/>
  <c r="CK878" i="1" s="1"/>
  <c r="BC878" i="1"/>
  <c r="BC1115" i="1"/>
  <c r="CJ1115" i="1"/>
  <c r="CK1115" i="1" s="1"/>
  <c r="CJ397" i="1"/>
  <c r="CK397" i="1" s="1"/>
  <c r="BC397" i="1"/>
  <c r="BC426" i="1"/>
  <c r="CJ465" i="1"/>
  <c r="CK465" i="1" s="1"/>
  <c r="BC465" i="1"/>
  <c r="CJ26" i="1"/>
  <c r="CK26" i="1" s="1"/>
  <c r="BC178" i="1"/>
  <c r="CJ178" i="1"/>
  <c r="CK178" i="1" s="1"/>
  <c r="CJ321" i="1"/>
  <c r="CK321" i="1" s="1"/>
  <c r="BC321" i="1"/>
  <c r="CJ428" i="1"/>
  <c r="CK428" i="1" s="1"/>
  <c r="BC428" i="1"/>
  <c r="BC421" i="1"/>
  <c r="CJ421" i="1"/>
  <c r="CK421" i="1" s="1"/>
  <c r="CJ607" i="1"/>
  <c r="CK607" i="1" s="1"/>
  <c r="CJ114" i="1"/>
  <c r="CK114" i="1" s="1"/>
  <c r="CJ517" i="1"/>
  <c r="CK517" i="1" s="1"/>
  <c r="BC517" i="1"/>
  <c r="CJ551" i="1"/>
  <c r="CK551" i="1" s="1"/>
  <c r="BC551" i="1"/>
  <c r="BC67" i="1"/>
  <c r="CJ67" i="1"/>
  <c r="CK67" i="1" s="1"/>
  <c r="CJ504" i="1"/>
  <c r="CK504" i="1" s="1"/>
  <c r="BC504" i="1"/>
  <c r="BC776" i="1"/>
  <c r="CJ776" i="1"/>
  <c r="CK776" i="1" s="1"/>
  <c r="CJ46" i="1"/>
  <c r="CK46" i="1" s="1"/>
  <c r="BC185" i="1"/>
  <c r="CJ204" i="1"/>
  <c r="CK204" i="1" s="1"/>
  <c r="CJ343" i="1"/>
  <c r="CK343" i="1" s="1"/>
  <c r="CJ367" i="1"/>
  <c r="CK367" i="1" s="1"/>
  <c r="BC411" i="1"/>
  <c r="CJ490" i="1"/>
  <c r="CK490" i="1" s="1"/>
  <c r="BC490" i="1"/>
  <c r="BC739" i="1"/>
  <c r="CJ739" i="1"/>
  <c r="CK739" i="1" s="1"/>
  <c r="BC1074" i="1"/>
  <c r="CJ1074" i="1"/>
  <c r="CK1074" i="1" s="1"/>
  <c r="BC74" i="1"/>
  <c r="CJ74" i="1"/>
  <c r="CK74" i="1" s="1"/>
  <c r="BC147" i="1"/>
  <c r="CJ147" i="1"/>
  <c r="CK147" i="1" s="1"/>
  <c r="CJ25" i="1"/>
  <c r="CK25" i="1" s="1"/>
  <c r="BC318" i="1"/>
  <c r="CJ15" i="1"/>
  <c r="CK15" i="1" s="1"/>
  <c r="BC30" i="1"/>
  <c r="CJ31" i="1"/>
  <c r="CK31" i="1" s="1"/>
  <c r="BC71" i="1"/>
  <c r="CJ79" i="1"/>
  <c r="CK79" i="1" s="1"/>
  <c r="BC92" i="1"/>
  <c r="BC122" i="1"/>
  <c r="BC184" i="1"/>
  <c r="CJ192" i="1"/>
  <c r="CK192" i="1" s="1"/>
  <c r="BC342" i="1"/>
  <c r="CJ342" i="1"/>
  <c r="CK342" i="1" s="1"/>
  <c r="BC399" i="1"/>
  <c r="CJ640" i="1"/>
  <c r="CK640" i="1" s="1"/>
  <c r="CJ200" i="1"/>
  <c r="CK200" i="1" s="1"/>
  <c r="CJ211" i="1"/>
  <c r="CK211" i="1" s="1"/>
  <c r="CJ252" i="1"/>
  <c r="CK252" i="1" s="1"/>
  <c r="CJ269" i="1"/>
  <c r="CK269" i="1" s="1"/>
  <c r="CJ297" i="1"/>
  <c r="CK297" i="1" s="1"/>
  <c r="CJ299" i="1"/>
  <c r="CK299" i="1" s="1"/>
  <c r="U302" i="1"/>
  <c r="AC302" i="1" s="1"/>
  <c r="AN302" i="1" s="1"/>
  <c r="BC302" i="1" s="1"/>
  <c r="CJ303" i="1"/>
  <c r="CK303" i="1" s="1"/>
  <c r="CJ327" i="1"/>
  <c r="CK327" i="1" s="1"/>
  <c r="CJ339" i="1"/>
  <c r="CK339" i="1" s="1"/>
  <c r="CJ435" i="1"/>
  <c r="CK435" i="1" s="1"/>
  <c r="CJ441" i="1"/>
  <c r="CK441" i="1" s="1"/>
  <c r="BC533" i="1"/>
  <c r="CJ608" i="1"/>
  <c r="CK608" i="1" s="1"/>
  <c r="CJ778" i="1"/>
  <c r="CK778" i="1" s="1"/>
  <c r="BC778" i="1"/>
  <c r="BC91" i="1"/>
  <c r="CJ96" i="1"/>
  <c r="CK96" i="1" s="1"/>
  <c r="CJ116" i="1"/>
  <c r="CK116" i="1" s="1"/>
  <c r="CJ24" i="1"/>
  <c r="CK24" i="1" s="1"/>
  <c r="CJ43" i="1"/>
  <c r="CK43" i="1" s="1"/>
  <c r="BC165" i="1"/>
  <c r="U291" i="1"/>
  <c r="AC291" i="1" s="1"/>
  <c r="AN291" i="1" s="1"/>
  <c r="BC291" i="1" s="1"/>
  <c r="U297" i="1"/>
  <c r="AC297" i="1" s="1"/>
  <c r="AN297" i="1" s="1"/>
  <c r="BC297" i="1" s="1"/>
  <c r="U301" i="1"/>
  <c r="AC301" i="1" s="1"/>
  <c r="AN301" i="1" s="1"/>
  <c r="BC301" i="1" s="1"/>
  <c r="BC413" i="1"/>
  <c r="CJ413" i="1"/>
  <c r="CK413" i="1" s="1"/>
  <c r="CJ738" i="1"/>
  <c r="CK738" i="1" s="1"/>
  <c r="BC738" i="1"/>
  <c r="CJ62" i="1"/>
  <c r="CK62" i="1" s="1"/>
  <c r="CJ151" i="1"/>
  <c r="CK151" i="1" s="1"/>
  <c r="CJ48" i="1"/>
  <c r="CK48" i="1" s="1"/>
  <c r="BC62" i="1"/>
  <c r="BC65" i="1"/>
  <c r="BC1031" i="1"/>
  <c r="CJ1031" i="1"/>
  <c r="CK1031" i="1" s="1"/>
  <c r="BC4" i="1"/>
  <c r="CJ7" i="1"/>
  <c r="CK7" i="1" s="1"/>
  <c r="BC28" i="1"/>
  <c r="CJ29" i="1"/>
  <c r="CK29" i="1" s="1"/>
  <c r="CJ41" i="1"/>
  <c r="CK41" i="1" s="1"/>
  <c r="BC55" i="1"/>
  <c r="BC64" i="1"/>
  <c r="BC72" i="1"/>
  <c r="CJ78" i="1"/>
  <c r="CK78" i="1" s="1"/>
  <c r="CJ85" i="1"/>
  <c r="CK85" i="1" s="1"/>
  <c r="CJ87" i="1"/>
  <c r="CK87" i="1" s="1"/>
  <c r="BC93" i="1"/>
  <c r="BC121" i="1"/>
  <c r="CJ123" i="1"/>
  <c r="CK123" i="1" s="1"/>
  <c r="CJ149" i="1"/>
  <c r="CK149" i="1" s="1"/>
  <c r="BC152" i="1"/>
  <c r="CJ177" i="1"/>
  <c r="CK177" i="1" s="1"/>
  <c r="BC179" i="1"/>
  <c r="BC187" i="1"/>
  <c r="CJ191" i="1"/>
  <c r="CK191" i="1" s="1"/>
  <c r="CJ199" i="1"/>
  <c r="CK199" i="1" s="1"/>
  <c r="BC213" i="1"/>
  <c r="CJ231" i="1"/>
  <c r="CK231" i="1" s="1"/>
  <c r="BC243" i="1"/>
  <c r="U287" i="1"/>
  <c r="AC287" i="1" s="1"/>
  <c r="AN287" i="1" s="1"/>
  <c r="BC287" i="1" s="1"/>
  <c r="CJ288" i="1"/>
  <c r="CK288" i="1" s="1"/>
  <c r="U300" i="1"/>
  <c r="AC300" i="1" s="1"/>
  <c r="AN300" i="1" s="1"/>
  <c r="BC300" i="1" s="1"/>
  <c r="U305" i="1"/>
  <c r="AC305" i="1" s="1"/>
  <c r="AN305" i="1" s="1"/>
  <c r="BC305" i="1" s="1"/>
  <c r="U306" i="1"/>
  <c r="AC306" i="1" s="1"/>
  <c r="AN306" i="1" s="1"/>
  <c r="BC306" i="1" s="1"/>
  <c r="BC320" i="1"/>
  <c r="BC322" i="1"/>
  <c r="BC366" i="1"/>
  <c r="BC384" i="1"/>
  <c r="CJ391" i="1"/>
  <c r="CK391" i="1" s="1"/>
  <c r="BC423" i="1"/>
  <c r="BC438" i="1"/>
  <c r="BC468" i="1"/>
  <c r="BC538" i="1"/>
  <c r="BC603" i="1"/>
  <c r="CJ613" i="1"/>
  <c r="CK613" i="1" s="1"/>
  <c r="CJ677" i="1"/>
  <c r="CK677" i="1" s="1"/>
  <c r="CJ715" i="1"/>
  <c r="CK715" i="1" s="1"/>
  <c r="BC715" i="1"/>
  <c r="BC896" i="1"/>
  <c r="CJ896" i="1"/>
  <c r="CK896" i="1" s="1"/>
  <c r="BC900" i="1"/>
  <c r="CJ900" i="1"/>
  <c r="CK900" i="1" s="1"/>
  <c r="BC1119" i="1"/>
  <c r="CJ1119" i="1"/>
  <c r="CK1119" i="1" s="1"/>
  <c r="BC833" i="1"/>
  <c r="CJ833" i="1"/>
  <c r="CK833" i="1" s="1"/>
  <c r="CJ860" i="1"/>
  <c r="CK860" i="1" s="1"/>
  <c r="BC860" i="1"/>
  <c r="CJ1044" i="1"/>
  <c r="CK1044" i="1" s="1"/>
  <c r="BC1044" i="1"/>
  <c r="CJ47" i="1"/>
  <c r="CK47" i="1" s="1"/>
  <c r="CJ58" i="1"/>
  <c r="CK58" i="1" s="1"/>
  <c r="CJ72" i="1"/>
  <c r="CK72" i="1" s="1"/>
  <c r="BC99" i="1"/>
  <c r="CJ104" i="1"/>
  <c r="CK104" i="1" s="1"/>
  <c r="CJ109" i="1"/>
  <c r="CK109" i="1" s="1"/>
  <c r="CJ139" i="1"/>
  <c r="CK139" i="1" s="1"/>
  <c r="BC186" i="1"/>
  <c r="CJ187" i="1"/>
  <c r="CK187" i="1" s="1"/>
  <c r="CJ213" i="1"/>
  <c r="CK213" i="1" s="1"/>
  <c r="CJ221" i="1"/>
  <c r="CK221" i="1" s="1"/>
  <c r="CJ233" i="1"/>
  <c r="CK233" i="1" s="1"/>
  <c r="U288" i="1"/>
  <c r="AC288" i="1" s="1"/>
  <c r="AN288" i="1" s="1"/>
  <c r="BC288" i="1" s="1"/>
  <c r="U308" i="1"/>
  <c r="AC308" i="1" s="1"/>
  <c r="AN308" i="1" s="1"/>
  <c r="BC308" i="1" s="1"/>
  <c r="CJ365" i="1"/>
  <c r="CK365" i="1" s="1"/>
  <c r="CJ436" i="1"/>
  <c r="CK436" i="1" s="1"/>
  <c r="CJ495" i="1"/>
  <c r="CK495" i="1" s="1"/>
  <c r="BC495" i="1"/>
  <c r="CJ521" i="1"/>
  <c r="CK521" i="1" s="1"/>
  <c r="CJ571" i="1"/>
  <c r="CK571" i="1" s="1"/>
  <c r="BC571" i="1"/>
  <c r="BC10" i="1"/>
  <c r="BC22" i="1"/>
  <c r="BC27" i="1"/>
  <c r="CJ28" i="1"/>
  <c r="CK28" i="1" s="1"/>
  <c r="BC35" i="1"/>
  <c r="CJ40" i="1"/>
  <c r="CK40" i="1" s="1"/>
  <c r="BC52" i="1"/>
  <c r="CJ55" i="1"/>
  <c r="CK55" i="1" s="1"/>
  <c r="CJ77" i="1"/>
  <c r="CK77" i="1" s="1"/>
  <c r="CJ86" i="1"/>
  <c r="CK86" i="1" s="1"/>
  <c r="BC94" i="1"/>
  <c r="BC96" i="1"/>
  <c r="BC104" i="1"/>
  <c r="BC116" i="1"/>
  <c r="CJ121" i="1"/>
  <c r="CK121" i="1" s="1"/>
  <c r="CJ124" i="1"/>
  <c r="CK124" i="1" s="1"/>
  <c r="CJ134" i="1"/>
  <c r="CK134" i="1" s="1"/>
  <c r="BC145" i="1"/>
  <c r="CJ153" i="1"/>
  <c r="CK153" i="1" s="1"/>
  <c r="CJ160" i="1"/>
  <c r="CK160" i="1" s="1"/>
  <c r="CJ179" i="1"/>
  <c r="CK179" i="1" s="1"/>
  <c r="CJ198" i="1"/>
  <c r="CK198" i="1" s="1"/>
  <c r="BC207" i="1"/>
  <c r="U279" i="1"/>
  <c r="AC279" i="1" s="1"/>
  <c r="AN279" i="1" s="1"/>
  <c r="BC279" i="1" s="1"/>
  <c r="CJ282" i="1"/>
  <c r="CK282" i="1" s="1"/>
  <c r="CJ289" i="1"/>
  <c r="CK289" i="1" s="1"/>
  <c r="CJ314" i="1"/>
  <c r="CK314" i="1" s="1"/>
  <c r="CJ318" i="1"/>
  <c r="CK318" i="1" s="1"/>
  <c r="CJ366" i="1"/>
  <c r="CK366" i="1" s="1"/>
  <c r="BC389" i="1"/>
  <c r="BC409" i="1"/>
  <c r="CJ409" i="1"/>
  <c r="CK409" i="1" s="1"/>
  <c r="BC414" i="1"/>
  <c r="CJ414" i="1"/>
  <c r="CK414" i="1" s="1"/>
  <c r="BC457" i="1"/>
  <c r="CJ457" i="1"/>
  <c r="CK457" i="1" s="1"/>
  <c r="CJ601" i="1"/>
  <c r="CK601" i="1" s="1"/>
  <c r="CJ702" i="1"/>
  <c r="CK702" i="1" s="1"/>
  <c r="CJ798" i="1"/>
  <c r="CK798" i="1" s="1"/>
  <c r="BC1028" i="1"/>
  <c r="CJ1028" i="1"/>
  <c r="CK1028" i="1" s="1"/>
  <c r="CJ932" i="1"/>
  <c r="CK932" i="1" s="1"/>
  <c r="BC932" i="1"/>
  <c r="CJ1005" i="1"/>
  <c r="CK1005" i="1" s="1"/>
  <c r="BC1005" i="1"/>
  <c r="CJ462" i="1"/>
  <c r="CK462" i="1" s="1"/>
  <c r="BC462" i="1"/>
  <c r="CJ470" i="1"/>
  <c r="CK470" i="1" s="1"/>
  <c r="CJ474" i="1"/>
  <c r="CK474" i="1" s="1"/>
  <c r="BC516" i="1"/>
  <c r="CJ531" i="1"/>
  <c r="CK531" i="1" s="1"/>
  <c r="BC555" i="1"/>
  <c r="BC570" i="1"/>
  <c r="BC579" i="1"/>
  <c r="CJ585" i="1"/>
  <c r="CK585" i="1" s="1"/>
  <c r="CJ606" i="1"/>
  <c r="CK606" i="1" s="1"/>
  <c r="BC606" i="1"/>
  <c r="BC620" i="1"/>
  <c r="CJ621" i="1"/>
  <c r="CK621" i="1" s="1"/>
  <c r="BC671" i="1"/>
  <c r="CJ671" i="1"/>
  <c r="CK671" i="1" s="1"/>
  <c r="BC687" i="1"/>
  <c r="CJ695" i="1"/>
  <c r="CK695" i="1" s="1"/>
  <c r="BC695" i="1"/>
  <c r="CJ706" i="1"/>
  <c r="CK706" i="1" s="1"/>
  <c r="BC709" i="1"/>
  <c r="BC721" i="1"/>
  <c r="BC783" i="1"/>
  <c r="CJ783" i="1"/>
  <c r="CK783" i="1" s="1"/>
  <c r="BC810" i="1"/>
  <c r="BC841" i="1"/>
  <c r="CJ874" i="1"/>
  <c r="CK874" i="1" s="1"/>
  <c r="BC485" i="1"/>
  <c r="CJ485" i="1"/>
  <c r="CK485" i="1" s="1"/>
  <c r="CJ499" i="1"/>
  <c r="CK499" i="1" s="1"/>
  <c r="CJ530" i="1"/>
  <c r="CK530" i="1" s="1"/>
  <c r="BC530" i="1"/>
  <c r="CJ533" i="1"/>
  <c r="CK533" i="1" s="1"/>
  <c r="CJ603" i="1"/>
  <c r="CK603" i="1" s="1"/>
  <c r="CJ619" i="1"/>
  <c r="CK619" i="1" s="1"/>
  <c r="CJ1039" i="1"/>
  <c r="CK1039" i="1" s="1"/>
  <c r="BC1039" i="1"/>
  <c r="CJ268" i="1"/>
  <c r="CK268" i="1" s="1"/>
  <c r="U281" i="1"/>
  <c r="AC281" i="1" s="1"/>
  <c r="AN281" i="1" s="1"/>
  <c r="BC281" i="1" s="1"/>
  <c r="U284" i="1"/>
  <c r="AC284" i="1" s="1"/>
  <c r="AN284" i="1" s="1"/>
  <c r="BC284" i="1" s="1"/>
  <c r="CJ291" i="1"/>
  <c r="CK291" i="1" s="1"/>
  <c r="CJ302" i="1"/>
  <c r="CK302" i="1" s="1"/>
  <c r="U309" i="1"/>
  <c r="AC309" i="1" s="1"/>
  <c r="AN309" i="1" s="1"/>
  <c r="BC309" i="1" s="1"/>
  <c r="CJ338" i="1"/>
  <c r="CK338" i="1" s="1"/>
  <c r="CJ375" i="1"/>
  <c r="CK375" i="1" s="1"/>
  <c r="CJ429" i="1"/>
  <c r="CK429" i="1" s="1"/>
  <c r="BC451" i="1"/>
  <c r="CJ451" i="1"/>
  <c r="CK451" i="1" s="1"/>
  <c r="CJ469" i="1"/>
  <c r="CK469" i="1" s="1"/>
  <c r="BC469" i="1"/>
  <c r="CJ501" i="1"/>
  <c r="CK501" i="1" s="1"/>
  <c r="BC528" i="1"/>
  <c r="CJ586" i="1"/>
  <c r="CK586" i="1" s="1"/>
  <c r="CJ595" i="1"/>
  <c r="CK595" i="1" s="1"/>
  <c r="BC602" i="1"/>
  <c r="BC636" i="1"/>
  <c r="CJ636" i="1"/>
  <c r="CK636" i="1" s="1"/>
  <c r="CJ639" i="1"/>
  <c r="CK639" i="1" s="1"/>
  <c r="BC696" i="1"/>
  <c r="BC822" i="1"/>
  <c r="CJ881" i="1"/>
  <c r="CK881" i="1" s="1"/>
  <c r="BC881" i="1"/>
  <c r="BC1008" i="1"/>
  <c r="CJ1050" i="1"/>
  <c r="CK1050" i="1" s="1"/>
  <c r="CJ418" i="1"/>
  <c r="CK418" i="1" s="1"/>
  <c r="CJ432" i="1"/>
  <c r="CK432" i="1" s="1"/>
  <c r="CJ579" i="1"/>
  <c r="CK579" i="1" s="1"/>
  <c r="CJ588" i="1"/>
  <c r="CK588" i="1" s="1"/>
  <c r="CJ638" i="1"/>
  <c r="CK638" i="1" s="1"/>
  <c r="BC675" i="1"/>
  <c r="BC718" i="1"/>
  <c r="CJ728" i="1"/>
  <c r="CK728" i="1" s="1"/>
  <c r="BC749" i="1"/>
  <c r="CJ820" i="1"/>
  <c r="CK820" i="1" s="1"/>
  <c r="CJ854" i="1"/>
  <c r="CK854" i="1" s="1"/>
  <c r="CJ947" i="1"/>
  <c r="CK947" i="1" s="1"/>
  <c r="BC975" i="1"/>
  <c r="BC1001" i="1"/>
  <c r="CJ1032" i="1"/>
  <c r="CK1032" i="1" s="1"/>
  <c r="CJ1077" i="1"/>
  <c r="CK1077" i="1" s="1"/>
  <c r="CJ444" i="1"/>
  <c r="CK444" i="1" s="1"/>
  <c r="BC494" i="1"/>
  <c r="CJ520" i="1"/>
  <c r="CK520" i="1" s="1"/>
  <c r="CJ523" i="1"/>
  <c r="CK523" i="1" s="1"/>
  <c r="CJ553" i="1"/>
  <c r="CK553" i="1" s="1"/>
  <c r="CJ567" i="1"/>
  <c r="CK567" i="1" s="1"/>
  <c r="CJ575" i="1"/>
  <c r="CK575" i="1" s="1"/>
  <c r="CJ594" i="1"/>
  <c r="CK594" i="1" s="1"/>
  <c r="CJ597" i="1"/>
  <c r="CK597" i="1" s="1"/>
  <c r="CJ642" i="1"/>
  <c r="CK642" i="1" s="1"/>
  <c r="CJ693" i="1"/>
  <c r="CK693" i="1" s="1"/>
  <c r="BC725" i="1"/>
  <c r="CJ812" i="1"/>
  <c r="CK812" i="1" s="1"/>
  <c r="BC812" i="1"/>
  <c r="BC820" i="1"/>
  <c r="CJ831" i="1"/>
  <c r="CK831" i="1" s="1"/>
  <c r="CJ1045" i="1"/>
  <c r="CK1045" i="1" s="1"/>
  <c r="BC1045" i="1"/>
  <c r="CJ430" i="1"/>
  <c r="CK430" i="1" s="1"/>
  <c r="CJ450" i="1"/>
  <c r="CK450" i="1" s="1"/>
  <c r="CJ453" i="1"/>
  <c r="CK453" i="1" s="1"/>
  <c r="BC466" i="1"/>
  <c r="CJ468" i="1"/>
  <c r="CK468" i="1" s="1"/>
  <c r="CJ471" i="1"/>
  <c r="CK471" i="1" s="1"/>
  <c r="CJ477" i="1"/>
  <c r="CK477" i="1" s="1"/>
  <c r="CJ488" i="1"/>
  <c r="CK488" i="1" s="1"/>
  <c r="CJ507" i="1"/>
  <c r="CK507" i="1" s="1"/>
  <c r="CJ540" i="1"/>
  <c r="CK540" i="1" s="1"/>
  <c r="CJ543" i="1"/>
  <c r="CK543" i="1" s="1"/>
  <c r="CJ570" i="1"/>
  <c r="CK570" i="1" s="1"/>
  <c r="CJ574" i="1"/>
  <c r="CK574" i="1" s="1"/>
  <c r="CJ583" i="1"/>
  <c r="CK583" i="1" s="1"/>
  <c r="BC601" i="1"/>
  <c r="CJ631" i="1"/>
  <c r="CK631" i="1" s="1"/>
  <c r="CJ634" i="1"/>
  <c r="CK634" i="1" s="1"/>
  <c r="BC634" i="1"/>
  <c r="CJ659" i="1"/>
  <c r="CK659" i="1" s="1"/>
  <c r="CJ705" i="1"/>
  <c r="CK705" i="1" s="1"/>
  <c r="BC711" i="1"/>
  <c r="BC714" i="1"/>
  <c r="CJ714" i="1"/>
  <c r="CK714" i="1" s="1"/>
  <c r="CJ716" i="1"/>
  <c r="CK716" i="1" s="1"/>
  <c r="BC716" i="1"/>
  <c r="CJ810" i="1"/>
  <c r="CK810" i="1" s="1"/>
  <c r="BC828" i="1"/>
  <c r="CJ830" i="1"/>
  <c r="CK830" i="1" s="1"/>
  <c r="BC845" i="1"/>
  <c r="BC907" i="1"/>
  <c r="CJ907" i="1"/>
  <c r="CK907" i="1" s="1"/>
  <c r="CJ582" i="1"/>
  <c r="CK582" i="1" s="1"/>
  <c r="CJ618" i="1"/>
  <c r="CK618" i="1" s="1"/>
  <c r="CJ680" i="1"/>
  <c r="CK680" i="1" s="1"/>
  <c r="BC724" i="1"/>
  <c r="CJ726" i="1"/>
  <c r="CK726" i="1" s="1"/>
  <c r="CJ740" i="1"/>
  <c r="CK740" i="1" s="1"/>
  <c r="CJ766" i="1"/>
  <c r="CK766" i="1" s="1"/>
  <c r="CJ779" i="1"/>
  <c r="CK779" i="1" s="1"/>
  <c r="CJ800" i="1"/>
  <c r="CK800" i="1" s="1"/>
  <c r="BC848" i="1"/>
  <c r="BC893" i="1"/>
  <c r="CJ893" i="1"/>
  <c r="CK893" i="1" s="1"/>
  <c r="CJ902" i="1"/>
  <c r="CK902" i="1" s="1"/>
  <c r="BC916" i="1"/>
  <c r="CJ968" i="1"/>
  <c r="CK968" i="1" s="1"/>
  <c r="CJ991" i="1"/>
  <c r="CK991" i="1" s="1"/>
  <c r="BC991" i="1"/>
  <c r="CJ994" i="1"/>
  <c r="CK994" i="1" s="1"/>
  <c r="CJ1049" i="1"/>
  <c r="CK1049" i="1" s="1"/>
  <c r="CJ1088" i="1"/>
  <c r="CK1088" i="1" s="1"/>
  <c r="CJ1116" i="1"/>
  <c r="CK1116" i="1" s="1"/>
  <c r="BC1035" i="1"/>
  <c r="CJ1035" i="1"/>
  <c r="CK1035" i="1" s="1"/>
  <c r="BC659" i="1"/>
  <c r="CJ684" i="1"/>
  <c r="CK684" i="1" s="1"/>
  <c r="CJ711" i="1"/>
  <c r="CK711" i="1" s="1"/>
  <c r="CJ720" i="1"/>
  <c r="CK720" i="1" s="1"/>
  <c r="CJ741" i="1"/>
  <c r="CK741" i="1" s="1"/>
  <c r="CJ751" i="1"/>
  <c r="CK751" i="1" s="1"/>
  <c r="CJ754" i="1"/>
  <c r="CK754" i="1" s="1"/>
  <c r="CJ784" i="1"/>
  <c r="CK784" i="1" s="1"/>
  <c r="CJ850" i="1"/>
  <c r="CK850" i="1" s="1"/>
  <c r="CJ853" i="1"/>
  <c r="CK853" i="1" s="1"/>
  <c r="CJ867" i="1"/>
  <c r="CK867" i="1" s="1"/>
  <c r="BC871" i="1"/>
  <c r="CJ890" i="1"/>
  <c r="CK890" i="1" s="1"/>
  <c r="BC890" i="1"/>
  <c r="BC899" i="1"/>
  <c r="BC930" i="1"/>
  <c r="BC943" i="1"/>
  <c r="BC963" i="1"/>
  <c r="BC993" i="1"/>
  <c r="BC1004" i="1"/>
  <c r="BC1015" i="1"/>
  <c r="CJ1030" i="1"/>
  <c r="CK1030" i="1" s="1"/>
  <c r="BC1102" i="1"/>
  <c r="CJ1107" i="1"/>
  <c r="CK1107" i="1" s="1"/>
  <c r="CJ759" i="1"/>
  <c r="CK759" i="1" s="1"/>
  <c r="CJ789" i="1"/>
  <c r="CK789" i="1" s="1"/>
  <c r="CJ802" i="1"/>
  <c r="CK802" i="1" s="1"/>
  <c r="BC825" i="1"/>
  <c r="BC830" i="1"/>
  <c r="BC854" i="1"/>
  <c r="BC936" i="1"/>
  <c r="BC947" i="1"/>
  <c r="CJ1017" i="1"/>
  <c r="CK1017" i="1" s="1"/>
  <c r="BC1017" i="1"/>
  <c r="BC1029" i="1"/>
  <c r="BC1057" i="1"/>
  <c r="BC1081" i="1"/>
  <c r="CJ883" i="1"/>
  <c r="CK883" i="1" s="1"/>
  <c r="CJ899" i="1"/>
  <c r="CK899" i="1" s="1"/>
  <c r="CJ924" i="1"/>
  <c r="CK924" i="1" s="1"/>
  <c r="CJ931" i="1"/>
  <c r="CK931" i="1" s="1"/>
  <c r="CJ993" i="1"/>
  <c r="CK993" i="1" s="1"/>
  <c r="CJ1001" i="1"/>
  <c r="CK1001" i="1" s="1"/>
  <c r="CJ1106" i="1"/>
  <c r="CK1106" i="1" s="1"/>
  <c r="CJ768" i="1"/>
  <c r="CK768" i="1" s="1"/>
  <c r="CJ772" i="1"/>
  <c r="CK772" i="1" s="1"/>
  <c r="CJ797" i="1"/>
  <c r="CK797" i="1" s="1"/>
  <c r="BC836" i="1"/>
  <c r="BC846" i="1"/>
  <c r="CJ858" i="1"/>
  <c r="CK858" i="1" s="1"/>
  <c r="CJ872" i="1"/>
  <c r="CK872" i="1" s="1"/>
  <c r="CJ910" i="1"/>
  <c r="CK910" i="1" s="1"/>
  <c r="CJ918" i="1"/>
  <c r="CK918" i="1" s="1"/>
  <c r="CJ921" i="1"/>
  <c r="CK921" i="1" s="1"/>
  <c r="CJ927" i="1"/>
  <c r="CK927" i="1" s="1"/>
  <c r="CJ965" i="1"/>
  <c r="CK965" i="1" s="1"/>
  <c r="CJ975" i="1"/>
  <c r="CK975" i="1" s="1"/>
  <c r="CJ997" i="1"/>
  <c r="CK997" i="1" s="1"/>
  <c r="BC1026" i="1"/>
  <c r="BC1030" i="1"/>
  <c r="CJ1052" i="1"/>
  <c r="CK1052" i="1" s="1"/>
  <c r="CJ1083" i="1"/>
  <c r="CK1083" i="1" s="1"/>
  <c r="CJ1095" i="1"/>
  <c r="CK1095" i="1" s="1"/>
  <c r="CJ1112" i="1"/>
  <c r="CK1112" i="1" s="1"/>
  <c r="CJ1122" i="1"/>
  <c r="CK1122" i="1" s="1"/>
  <c r="CJ1127" i="1"/>
  <c r="CK1127" i="1" s="1"/>
  <c r="CJ841" i="1"/>
  <c r="CK841" i="1" s="1"/>
  <c r="CJ857" i="1"/>
  <c r="CK857" i="1" s="1"/>
  <c r="CJ866" i="1"/>
  <c r="CK866" i="1" s="1"/>
  <c r="CJ868" i="1"/>
  <c r="CK868" i="1" s="1"/>
  <c r="CJ898" i="1"/>
  <c r="CK898" i="1" s="1"/>
  <c r="CJ917" i="1"/>
  <c r="CK917" i="1" s="1"/>
  <c r="CJ920" i="1"/>
  <c r="CK920" i="1" s="1"/>
  <c r="CJ934" i="1"/>
  <c r="CK934" i="1" s="1"/>
  <c r="CJ942" i="1"/>
  <c r="CK942" i="1" s="1"/>
  <c r="CJ1054" i="1"/>
  <c r="CK1054" i="1" s="1"/>
  <c r="CJ1080" i="1"/>
  <c r="CK1080" i="1" s="1"/>
  <c r="CJ1086" i="1"/>
  <c r="CK1086" i="1" s="1"/>
  <c r="CJ1089" i="1"/>
  <c r="CK1089" i="1" s="1"/>
  <c r="CJ1099" i="1"/>
  <c r="CK1099" i="1" s="1"/>
  <c r="CJ1114" i="1"/>
  <c r="CK1114" i="1" s="1"/>
  <c r="CJ1125" i="1"/>
  <c r="CK1125" i="1" s="1"/>
  <c r="CJ1126" i="1"/>
  <c r="CK1126" i="1" s="1"/>
  <c r="BC1059" i="1"/>
  <c r="CJ1066" i="1"/>
  <c r="CK1066" i="1" s="1"/>
  <c r="BC1079" i="1"/>
  <c r="CJ16" i="1"/>
  <c r="CK16" i="1" s="1"/>
  <c r="CJ286" i="1"/>
  <c r="CK286" i="1" s="1"/>
  <c r="BC323" i="1"/>
  <c r="BC498" i="1"/>
  <c r="CJ701" i="1"/>
  <c r="CK701" i="1" s="1"/>
  <c r="BC701" i="1"/>
  <c r="CJ334" i="1"/>
  <c r="CK334" i="1" s="1"/>
  <c r="BC334" i="1"/>
  <c r="BC133" i="1"/>
  <c r="BC137" i="1"/>
  <c r="BC437" i="1"/>
  <c r="CJ437" i="1"/>
  <c r="CK437" i="1" s="1"/>
  <c r="BC83" i="1"/>
  <c r="BC108" i="1"/>
  <c r="BC109" i="1"/>
  <c r="P1136" i="1"/>
  <c r="BC53" i="1"/>
  <c r="U296" i="1"/>
  <c r="AC296" i="1" s="1"/>
  <c r="AN296" i="1" s="1"/>
  <c r="BC296" i="1" s="1"/>
  <c r="BC341" i="1"/>
  <c r="CJ341" i="1"/>
  <c r="CK341" i="1" s="1"/>
  <c r="BC359" i="1"/>
  <c r="CJ359" i="1"/>
  <c r="CK359" i="1" s="1"/>
  <c r="CJ713" i="1"/>
  <c r="CK713" i="1" s="1"/>
  <c r="BC713" i="1"/>
  <c r="CJ8" i="1"/>
  <c r="CK8" i="1" s="1"/>
  <c r="CJ12" i="1"/>
  <c r="CK12" i="1" s="1"/>
  <c r="CJ18" i="1"/>
  <c r="CK18" i="1" s="1"/>
  <c r="CJ19" i="1"/>
  <c r="CK19" i="1" s="1"/>
  <c r="CJ30" i="1"/>
  <c r="CK30" i="1" s="1"/>
  <c r="CJ45" i="1"/>
  <c r="CK45" i="1" s="1"/>
  <c r="CJ54" i="1"/>
  <c r="CK54" i="1" s="1"/>
  <c r="BC63" i="1"/>
  <c r="CJ64" i="1"/>
  <c r="CK64" i="1" s="1"/>
  <c r="CJ83" i="1"/>
  <c r="CK83" i="1" s="1"/>
  <c r="BC88" i="1"/>
  <c r="BC132" i="1"/>
  <c r="CJ133" i="1"/>
  <c r="CK133" i="1" s="1"/>
  <c r="CJ136" i="1"/>
  <c r="CK136" i="1" s="1"/>
  <c r="BC141" i="1"/>
  <c r="BC153" i="1"/>
  <c r="BC161" i="1"/>
  <c r="CJ169" i="1"/>
  <c r="CK169" i="1" s="1"/>
  <c r="BC182" i="1"/>
  <c r="CJ234" i="1"/>
  <c r="CK234" i="1" s="1"/>
  <c r="U304" i="1"/>
  <c r="AC304" i="1" s="1"/>
  <c r="AN304" i="1" s="1"/>
  <c r="BC304" i="1" s="1"/>
  <c r="BC374" i="1"/>
  <c r="BC430" i="1"/>
  <c r="CJ558" i="1"/>
  <c r="CK558" i="1" s="1"/>
  <c r="BC558" i="1"/>
  <c r="BC892" i="1"/>
  <c r="CJ892" i="1"/>
  <c r="CK892" i="1" s="1"/>
  <c r="CJ1016" i="1"/>
  <c r="CK1016" i="1" s="1"/>
  <c r="BC1016" i="1"/>
  <c r="CJ1019" i="1"/>
  <c r="CK1019" i="1" s="1"/>
  <c r="BC1019" i="1"/>
  <c r="BA1136" i="1"/>
  <c r="CJ17" i="1"/>
  <c r="CK17" i="1" s="1"/>
  <c r="CJ337" i="1"/>
  <c r="CK337" i="1" s="1"/>
  <c r="BC337" i="1"/>
  <c r="BC656" i="1"/>
  <c r="CJ656" i="1"/>
  <c r="CK656" i="1" s="1"/>
  <c r="BC719" i="1"/>
  <c r="CJ719" i="1"/>
  <c r="CK719" i="1" s="1"/>
  <c r="AN3" i="1"/>
  <c r="CJ63" i="1"/>
  <c r="CK63" i="1" s="1"/>
  <c r="CJ132" i="1"/>
  <c r="CK132" i="1" s="1"/>
  <c r="BC205" i="1"/>
  <c r="CJ205" i="1"/>
  <c r="CK205" i="1" s="1"/>
  <c r="BC376" i="1"/>
  <c r="CJ70" i="1"/>
  <c r="CK70" i="1" s="1"/>
  <c r="CJ105" i="1"/>
  <c r="CK105" i="1" s="1"/>
  <c r="CJ106" i="1"/>
  <c r="CK106" i="1" s="1"/>
  <c r="CJ118" i="1"/>
  <c r="CK118" i="1" s="1"/>
  <c r="CJ135" i="1"/>
  <c r="CK135" i="1" s="1"/>
  <c r="CJ161" i="1"/>
  <c r="CK161" i="1" s="1"/>
  <c r="CJ166" i="1"/>
  <c r="CK166" i="1" s="1"/>
  <c r="BC460" i="1"/>
  <c r="BC497" i="1"/>
  <c r="CJ260" i="1"/>
  <c r="CK260" i="1" s="1"/>
  <c r="BC260" i="1"/>
  <c r="CJ267" i="1"/>
  <c r="CK267" i="1" s="1"/>
  <c r="BC267" i="1"/>
  <c r="BC407" i="1"/>
  <c r="CJ407" i="1"/>
  <c r="CK407" i="1" s="1"/>
  <c r="CJ88" i="1"/>
  <c r="CK88" i="1" s="1"/>
  <c r="BC126" i="1"/>
  <c r="CJ129" i="1"/>
  <c r="CK129" i="1" s="1"/>
  <c r="BC253" i="1"/>
  <c r="CJ5" i="1"/>
  <c r="CK5" i="1" s="1"/>
  <c r="CJ27" i="1"/>
  <c r="CK27" i="1" s="1"/>
  <c r="CJ60" i="1"/>
  <c r="CK60" i="1" s="1"/>
  <c r="CJ69" i="1"/>
  <c r="CK69" i="1" s="1"/>
  <c r="CJ122" i="1"/>
  <c r="CK122" i="1" s="1"/>
  <c r="CJ215" i="1"/>
  <c r="CK215" i="1" s="1"/>
  <c r="BC215" i="1"/>
  <c r="BC221" i="1"/>
  <c r="CJ448" i="1"/>
  <c r="CK448" i="1" s="1"/>
  <c r="CJ478" i="1"/>
  <c r="CK478" i="1" s="1"/>
  <c r="CJ496" i="1"/>
  <c r="CK496" i="1" s="1"/>
  <c r="BC496" i="1"/>
  <c r="BB1136" i="1"/>
  <c r="M1136" i="1"/>
  <c r="CJ207" i="1"/>
  <c r="CK207" i="1" s="1"/>
  <c r="CJ257" i="1"/>
  <c r="CK257" i="1" s="1"/>
  <c r="U282" i="1"/>
  <c r="AC282" i="1" s="1"/>
  <c r="AN282" i="1" s="1"/>
  <c r="BC282" i="1" s="1"/>
  <c r="CJ333" i="1"/>
  <c r="CK333" i="1" s="1"/>
  <c r="BC333" i="1"/>
  <c r="CJ361" i="1"/>
  <c r="CK361" i="1" s="1"/>
  <c r="BC369" i="1"/>
  <c r="CJ369" i="1"/>
  <c r="CK369" i="1" s="1"/>
  <c r="CJ378" i="1"/>
  <c r="CK378" i="1" s="1"/>
  <c r="BC387" i="1"/>
  <c r="CJ415" i="1"/>
  <c r="CK415" i="1" s="1"/>
  <c r="CJ42" i="1"/>
  <c r="CK42" i="1" s="1"/>
  <c r="CJ23" i="1"/>
  <c r="CK23" i="1" s="1"/>
  <c r="BC26" i="1"/>
  <c r="CJ38" i="1"/>
  <c r="CK38" i="1" s="1"/>
  <c r="CJ90" i="1"/>
  <c r="CK90" i="1" s="1"/>
  <c r="CJ93" i="1"/>
  <c r="CK93" i="1" s="1"/>
  <c r="CJ100" i="1"/>
  <c r="CK100" i="1" s="1"/>
  <c r="CJ112" i="1"/>
  <c r="CK112" i="1" s="1"/>
  <c r="CJ113" i="1"/>
  <c r="CK113" i="1" s="1"/>
  <c r="CJ119" i="1"/>
  <c r="CK119" i="1" s="1"/>
  <c r="CJ125" i="1"/>
  <c r="CK125" i="1" s="1"/>
  <c r="CJ159" i="1"/>
  <c r="CK159" i="1" s="1"/>
  <c r="CJ174" i="1"/>
  <c r="CK174" i="1" s="1"/>
  <c r="CJ190" i="1"/>
  <c r="CK190" i="1" s="1"/>
  <c r="CJ228" i="1"/>
  <c r="CK228" i="1" s="1"/>
  <c r="CJ236" i="1"/>
  <c r="CK236" i="1" s="1"/>
  <c r="BC242" i="1"/>
  <c r="CJ263" i="1"/>
  <c r="CK263" i="1" s="1"/>
  <c r="CJ280" i="1"/>
  <c r="CK280" i="1" s="1"/>
  <c r="CJ294" i="1"/>
  <c r="CK294" i="1" s="1"/>
  <c r="CJ376" i="1"/>
  <c r="CK376" i="1" s="1"/>
  <c r="CJ438" i="1"/>
  <c r="CK438" i="1" s="1"/>
  <c r="BC440" i="1"/>
  <c r="CJ541" i="1"/>
  <c r="CK541" i="1" s="1"/>
  <c r="BC541" i="1"/>
  <c r="CJ557" i="1"/>
  <c r="CK557" i="1" s="1"/>
  <c r="BC557" i="1"/>
  <c r="CJ599" i="1"/>
  <c r="CK599" i="1" s="1"/>
  <c r="BC599" i="1"/>
  <c r="BC617" i="1"/>
  <c r="CJ648" i="1"/>
  <c r="CK648" i="1" s="1"/>
  <c r="BC648" i="1"/>
  <c r="CJ664" i="1"/>
  <c r="CK664" i="1" s="1"/>
  <c r="BC664" i="1"/>
  <c r="BC259" i="1"/>
  <c r="CJ275" i="1"/>
  <c r="CK275" i="1" s="1"/>
  <c r="BC275" i="1"/>
  <c r="CJ301" i="1"/>
  <c r="CK301" i="1" s="1"/>
  <c r="CJ332" i="1"/>
  <c r="CK332" i="1" s="1"/>
  <c r="CJ349" i="1"/>
  <c r="CK349" i="1" s="1"/>
  <c r="BC425" i="1"/>
  <c r="CJ433" i="1"/>
  <c r="CK433" i="1" s="1"/>
  <c r="BC502" i="1"/>
  <c r="CJ502" i="1"/>
  <c r="CK502" i="1" s="1"/>
  <c r="CJ556" i="1"/>
  <c r="CK556" i="1" s="1"/>
  <c r="BC556" i="1"/>
  <c r="CJ616" i="1"/>
  <c r="CK616" i="1" s="1"/>
  <c r="BC616" i="1"/>
  <c r="CJ617" i="1"/>
  <c r="CK617" i="1" s="1"/>
  <c r="CJ141" i="1"/>
  <c r="CK141" i="1" s="1"/>
  <c r="CJ145" i="1"/>
  <c r="CK145" i="1" s="1"/>
  <c r="CJ183" i="1"/>
  <c r="CK183" i="1" s="1"/>
  <c r="CJ185" i="1"/>
  <c r="CK185" i="1" s="1"/>
  <c r="CJ186" i="1"/>
  <c r="CK186" i="1" s="1"/>
  <c r="CJ193" i="1"/>
  <c r="CK193" i="1" s="1"/>
  <c r="CJ210" i="1"/>
  <c r="CK210" i="1" s="1"/>
  <c r="CJ217" i="1"/>
  <c r="CK217" i="1" s="1"/>
  <c r="CJ222" i="1"/>
  <c r="CK222" i="1" s="1"/>
  <c r="CJ224" i="1"/>
  <c r="CK224" i="1" s="1"/>
  <c r="CJ225" i="1"/>
  <c r="CK225" i="1" s="1"/>
  <c r="CJ239" i="1"/>
  <c r="CK239" i="1" s="1"/>
  <c r="CJ240" i="1"/>
  <c r="CK240" i="1" s="1"/>
  <c r="CJ245" i="1"/>
  <c r="CK245" i="1" s="1"/>
  <c r="BC258" i="1"/>
  <c r="CJ281" i="1"/>
  <c r="CK281" i="1" s="1"/>
  <c r="CJ313" i="1"/>
  <c r="CK313" i="1" s="1"/>
  <c r="BC361" i="1"/>
  <c r="CJ399" i="1"/>
  <c r="CK399" i="1" s="1"/>
  <c r="BC404" i="1"/>
  <c r="CJ404" i="1"/>
  <c r="CK404" i="1" s="1"/>
  <c r="CJ423" i="1"/>
  <c r="CK423" i="1" s="1"/>
  <c r="BC954" i="1"/>
  <c r="CJ954" i="1"/>
  <c r="CK954" i="1" s="1"/>
  <c r="CJ194" i="1"/>
  <c r="CK194" i="1" s="1"/>
  <c r="CJ197" i="1"/>
  <c r="CK197" i="1" s="1"/>
  <c r="CJ220" i="1"/>
  <c r="CK220" i="1" s="1"/>
  <c r="CJ254" i="1"/>
  <c r="CK254" i="1" s="1"/>
  <c r="CJ265" i="1"/>
  <c r="CK265" i="1" s="1"/>
  <c r="U295" i="1"/>
  <c r="AC295" i="1" s="1"/>
  <c r="AN295" i="1" s="1"/>
  <c r="BC295" i="1" s="1"/>
  <c r="CJ295" i="1"/>
  <c r="CK295" i="1" s="1"/>
  <c r="CJ311" i="1"/>
  <c r="CK311" i="1" s="1"/>
  <c r="CJ325" i="1"/>
  <c r="CK325" i="1" s="1"/>
  <c r="CJ347" i="1"/>
  <c r="CK347" i="1" s="1"/>
  <c r="CJ398" i="1"/>
  <c r="CK398" i="1" s="1"/>
  <c r="CJ411" i="1"/>
  <c r="CK411" i="1" s="1"/>
  <c r="CJ426" i="1"/>
  <c r="CK426" i="1" s="1"/>
  <c r="CJ431" i="1"/>
  <c r="CK431" i="1" s="1"/>
  <c r="CJ497" i="1"/>
  <c r="CK497" i="1" s="1"/>
  <c r="BC683" i="1"/>
  <c r="CJ261" i="1"/>
  <c r="CK261" i="1" s="1"/>
  <c r="CJ264" i="1"/>
  <c r="CK264" i="1" s="1"/>
  <c r="CJ271" i="1"/>
  <c r="CK271" i="1" s="1"/>
  <c r="CJ292" i="1"/>
  <c r="CK292" i="1" s="1"/>
  <c r="CJ307" i="1"/>
  <c r="CK307" i="1" s="1"/>
  <c r="CJ323" i="1"/>
  <c r="CK323" i="1" s="1"/>
  <c r="CJ379" i="1"/>
  <c r="CK379" i="1" s="1"/>
  <c r="CJ410" i="1"/>
  <c r="CK410" i="1" s="1"/>
  <c r="CJ416" i="1"/>
  <c r="CK416" i="1" s="1"/>
  <c r="BC444" i="1"/>
  <c r="BC478" i="1"/>
  <c r="CJ500" i="1"/>
  <c r="CK500" i="1" s="1"/>
  <c r="BC537" i="1"/>
  <c r="CJ644" i="1"/>
  <c r="CK644" i="1" s="1"/>
  <c r="CJ686" i="1"/>
  <c r="CK686" i="1" s="1"/>
  <c r="CJ937" i="1"/>
  <c r="CK937" i="1" s="1"/>
  <c r="BC937" i="1"/>
  <c r="CJ274" i="1"/>
  <c r="CK274" i="1" s="1"/>
  <c r="CJ285" i="1"/>
  <c r="CK285" i="1" s="1"/>
  <c r="U293" i="1"/>
  <c r="AC293" i="1" s="1"/>
  <c r="AN293" i="1" s="1"/>
  <c r="BC293" i="1" s="1"/>
  <c r="CJ331" i="1"/>
  <c r="CK331" i="1" s="1"/>
  <c r="CJ345" i="1"/>
  <c r="CK345" i="1" s="1"/>
  <c r="CJ350" i="1"/>
  <c r="CK350" i="1" s="1"/>
  <c r="CJ412" i="1"/>
  <c r="CK412" i="1" s="1"/>
  <c r="CJ424" i="1"/>
  <c r="CK424" i="1" s="1"/>
  <c r="CJ491" i="1"/>
  <c r="CK491" i="1" s="1"/>
  <c r="BC491" i="1"/>
  <c r="CJ518" i="1"/>
  <c r="CK518" i="1" s="1"/>
  <c r="CJ549" i="1"/>
  <c r="CK549" i="1" s="1"/>
  <c r="BC580" i="1"/>
  <c r="CJ591" i="1"/>
  <c r="CK591" i="1" s="1"/>
  <c r="BC596" i="1"/>
  <c r="CJ596" i="1"/>
  <c r="CK596" i="1" s="1"/>
  <c r="BC693" i="1"/>
  <c r="CJ731" i="1"/>
  <c r="CK731" i="1" s="1"/>
  <c r="BC731" i="1"/>
  <c r="CJ290" i="1"/>
  <c r="CK290" i="1" s="1"/>
  <c r="CJ305" i="1"/>
  <c r="CK305" i="1" s="1"/>
  <c r="CJ372" i="1"/>
  <c r="CK372" i="1" s="1"/>
  <c r="CJ383" i="1"/>
  <c r="CK383" i="1" s="1"/>
  <c r="CJ425" i="1"/>
  <c r="CK425" i="1" s="1"/>
  <c r="CJ464" i="1"/>
  <c r="CK464" i="1" s="1"/>
  <c r="CJ492" i="1"/>
  <c r="CK492" i="1" s="1"/>
  <c r="CJ513" i="1"/>
  <c r="CK513" i="1" s="1"/>
  <c r="CJ514" i="1"/>
  <c r="CK514" i="1" s="1"/>
  <c r="BC587" i="1"/>
  <c r="BC796" i="1"/>
  <c r="CJ473" i="1"/>
  <c r="CK473" i="1" s="1"/>
  <c r="CJ476" i="1"/>
  <c r="CK476" i="1" s="1"/>
  <c r="CJ554" i="1"/>
  <c r="CK554" i="1" s="1"/>
  <c r="CJ580" i="1"/>
  <c r="CK580" i="1" s="1"/>
  <c r="CJ355" i="1"/>
  <c r="CK355" i="1" s="1"/>
  <c r="CJ394" i="1"/>
  <c r="CK394" i="1" s="1"/>
  <c r="CJ440" i="1"/>
  <c r="CK440" i="1" s="1"/>
  <c r="CJ452" i="1"/>
  <c r="CK452" i="1" s="1"/>
  <c r="CJ455" i="1"/>
  <c r="CK455" i="1" s="1"/>
  <c r="CJ461" i="1"/>
  <c r="CK461" i="1" s="1"/>
  <c r="CJ522" i="1"/>
  <c r="CK522" i="1" s="1"/>
  <c r="CJ572" i="1"/>
  <c r="CK572" i="1" s="1"/>
  <c r="BC593" i="1"/>
  <c r="BC605" i="1"/>
  <c r="CJ668" i="1"/>
  <c r="CK668" i="1" s="1"/>
  <c r="CJ788" i="1"/>
  <c r="CK788" i="1" s="1"/>
  <c r="BC788" i="1"/>
  <c r="CJ799" i="1"/>
  <c r="CK799" i="1" s="1"/>
  <c r="BC799" i="1"/>
  <c r="CJ525" i="1"/>
  <c r="CK525" i="1" s="1"/>
  <c r="CJ537" i="1"/>
  <c r="CK537" i="1" s="1"/>
  <c r="CJ538" i="1"/>
  <c r="CK538" i="1" s="1"/>
  <c r="CJ542" i="1"/>
  <c r="CK542" i="1" s="1"/>
  <c r="CJ545" i="1"/>
  <c r="CK545" i="1" s="1"/>
  <c r="CJ552" i="1"/>
  <c r="CK552" i="1" s="1"/>
  <c r="CJ566" i="1"/>
  <c r="CK566" i="1" s="1"/>
  <c r="CJ593" i="1"/>
  <c r="CK593" i="1" s="1"/>
  <c r="CJ718" i="1"/>
  <c r="CK718" i="1" s="1"/>
  <c r="BC733" i="1"/>
  <c r="CJ736" i="1"/>
  <c r="CK736" i="1" s="1"/>
  <c r="BC736" i="1"/>
  <c r="BC741" i="1"/>
  <c r="BC829" i="1"/>
  <c r="CJ829" i="1"/>
  <c r="CK829" i="1" s="1"/>
  <c r="BC613" i="1"/>
  <c r="CJ657" i="1"/>
  <c r="CK657" i="1" s="1"/>
  <c r="BC657" i="1"/>
  <c r="BC699" i="1"/>
  <c r="BC729" i="1"/>
  <c r="CJ729" i="1"/>
  <c r="CK729" i="1" s="1"/>
  <c r="CJ508" i="1"/>
  <c r="CK508" i="1" s="1"/>
  <c r="CJ511" i="1"/>
  <c r="CK511" i="1" s="1"/>
  <c r="CJ577" i="1"/>
  <c r="CK577" i="1" s="1"/>
  <c r="CJ602" i="1"/>
  <c r="CK602" i="1" s="1"/>
  <c r="CJ614" i="1"/>
  <c r="CK614" i="1" s="1"/>
  <c r="BC673" i="1"/>
  <c r="CJ710" i="1"/>
  <c r="CK710" i="1" s="1"/>
  <c r="CJ735" i="1"/>
  <c r="CK735" i="1" s="1"/>
  <c r="BC735" i="1"/>
  <c r="CJ840" i="1"/>
  <c r="CK840" i="1" s="1"/>
  <c r="BC840" i="1"/>
  <c r="CJ888" i="1"/>
  <c r="CK888" i="1" s="1"/>
  <c r="BC888" i="1"/>
  <c r="CJ584" i="1"/>
  <c r="CK584" i="1" s="1"/>
  <c r="CJ609" i="1"/>
  <c r="CK609" i="1" s="1"/>
  <c r="CJ622" i="1"/>
  <c r="CK622" i="1" s="1"/>
  <c r="CJ643" i="1"/>
  <c r="CK643" i="1" s="1"/>
  <c r="CJ674" i="1"/>
  <c r="CK674" i="1" s="1"/>
  <c r="CJ709" i="1"/>
  <c r="CK709" i="1" s="1"/>
  <c r="CJ761" i="1"/>
  <c r="CK761" i="1" s="1"/>
  <c r="BC811" i="1"/>
  <c r="CJ842" i="1"/>
  <c r="CK842" i="1" s="1"/>
  <c r="BC842" i="1"/>
  <c r="BC902" i="1"/>
  <c r="BC903" i="1"/>
  <c r="CJ1129" i="1"/>
  <c r="CK1129" i="1" s="1"/>
  <c r="BC1129" i="1"/>
  <c r="CJ767" i="1"/>
  <c r="CK767" i="1" s="1"/>
  <c r="BC777" i="1"/>
  <c r="CJ777" i="1"/>
  <c r="CK777" i="1" s="1"/>
  <c r="CJ852" i="1"/>
  <c r="CK852" i="1" s="1"/>
  <c r="BC852" i="1"/>
  <c r="CJ986" i="1"/>
  <c r="CK986" i="1" s="1"/>
  <c r="CJ1047" i="1"/>
  <c r="CK1047" i="1" s="1"/>
  <c r="BC1047" i="1"/>
  <c r="CJ626" i="1"/>
  <c r="CK626" i="1" s="1"/>
  <c r="CJ646" i="1"/>
  <c r="CK646" i="1" s="1"/>
  <c r="CJ650" i="1"/>
  <c r="CK650" i="1" s="1"/>
  <c r="CJ651" i="1"/>
  <c r="CK651" i="1" s="1"/>
  <c r="CJ653" i="1"/>
  <c r="CK653" i="1" s="1"/>
  <c r="CJ691" i="1"/>
  <c r="CK691" i="1" s="1"/>
  <c r="CJ712" i="1"/>
  <c r="CK712" i="1" s="1"/>
  <c r="CJ807" i="1"/>
  <c r="CK807" i="1" s="1"/>
  <c r="BC821" i="1"/>
  <c r="CJ821" i="1"/>
  <c r="CK821" i="1" s="1"/>
  <c r="CJ822" i="1"/>
  <c r="CK822" i="1" s="1"/>
  <c r="BC904" i="1"/>
  <c r="CJ563" i="1"/>
  <c r="CK563" i="1" s="1"/>
  <c r="CJ589" i="1"/>
  <c r="CK589" i="1" s="1"/>
  <c r="CJ611" i="1"/>
  <c r="CK611" i="1" s="1"/>
  <c r="CJ645" i="1"/>
  <c r="CK645" i="1" s="1"/>
  <c r="CJ649" i="1"/>
  <c r="CK649" i="1" s="1"/>
  <c r="CJ652" i="1"/>
  <c r="CK652" i="1" s="1"/>
  <c r="CJ690" i="1"/>
  <c r="CK690" i="1" s="1"/>
  <c r="BC744" i="1"/>
  <c r="BC761" i="1"/>
  <c r="CJ771" i="1"/>
  <c r="CK771" i="1" s="1"/>
  <c r="CJ774" i="1"/>
  <c r="CK774" i="1" s="1"/>
  <c r="CJ782" i="1"/>
  <c r="CK782" i="1" s="1"/>
  <c r="CJ803" i="1"/>
  <c r="CK803" i="1" s="1"/>
  <c r="BC913" i="1"/>
  <c r="CJ913" i="1"/>
  <c r="CK913" i="1" s="1"/>
  <c r="CJ959" i="1"/>
  <c r="CK959" i="1" s="1"/>
  <c r="BC959" i="1"/>
  <c r="CJ688" i="1"/>
  <c r="CK688" i="1" s="1"/>
  <c r="CJ692" i="1"/>
  <c r="CK692" i="1" s="1"/>
  <c r="CJ707" i="1"/>
  <c r="CK707" i="1" s="1"/>
  <c r="CJ725" i="1"/>
  <c r="CK725" i="1" s="1"/>
  <c r="CJ737" i="1"/>
  <c r="CK737" i="1" s="1"/>
  <c r="CJ742" i="1"/>
  <c r="CK742" i="1" s="1"/>
  <c r="CJ763" i="1"/>
  <c r="CK763" i="1" s="1"/>
  <c r="BC763" i="1"/>
  <c r="CJ773" i="1"/>
  <c r="CK773" i="1" s="1"/>
  <c r="BC808" i="1"/>
  <c r="BC809" i="1"/>
  <c r="CJ816" i="1"/>
  <c r="CK816" i="1" s="1"/>
  <c r="CJ819" i="1"/>
  <c r="CK819" i="1" s="1"/>
  <c r="BC819" i="1"/>
  <c r="BC891" i="1"/>
  <c r="CJ951" i="1"/>
  <c r="CK951" i="1" s="1"/>
  <c r="BC1007" i="1"/>
  <c r="CJ1007" i="1"/>
  <c r="CK1007" i="1" s="1"/>
  <c r="BC1075" i="1"/>
  <c r="CJ1075" i="1"/>
  <c r="CK1075" i="1" s="1"/>
  <c r="BC967" i="1"/>
  <c r="CJ967" i="1"/>
  <c r="CK967" i="1" s="1"/>
  <c r="CJ969" i="1"/>
  <c r="CK969" i="1" s="1"/>
  <c r="BC969" i="1"/>
  <c r="CJ1053" i="1"/>
  <c r="CK1053" i="1" s="1"/>
  <c r="BC1053" i="1"/>
  <c r="CJ660" i="1"/>
  <c r="CK660" i="1" s="1"/>
  <c r="CJ661" i="1"/>
  <c r="CK661" i="1" s="1"/>
  <c r="CJ669" i="1"/>
  <c r="CK669" i="1" s="1"/>
  <c r="CJ787" i="1"/>
  <c r="CK787" i="1" s="1"/>
  <c r="CJ804" i="1"/>
  <c r="CK804" i="1" s="1"/>
  <c r="BC807" i="1"/>
  <c r="CJ809" i="1"/>
  <c r="CK809" i="1" s="1"/>
  <c r="CJ832" i="1"/>
  <c r="CK832" i="1" s="1"/>
  <c r="CJ845" i="1"/>
  <c r="CK845" i="1" s="1"/>
  <c r="BC885" i="1"/>
  <c r="CJ676" i="1"/>
  <c r="CK676" i="1" s="1"/>
  <c r="CJ748" i="1"/>
  <c r="CK748" i="1" s="1"/>
  <c r="BC801" i="1"/>
  <c r="CJ836" i="1"/>
  <c r="CK836" i="1" s="1"/>
  <c r="CJ848" i="1"/>
  <c r="CK848" i="1" s="1"/>
  <c r="BC940" i="1"/>
  <c r="BC962" i="1"/>
  <c r="BC1020" i="1"/>
  <c r="CJ755" i="1"/>
  <c r="CK755" i="1" s="1"/>
  <c r="CJ765" i="1"/>
  <c r="CK765" i="1" s="1"/>
  <c r="CJ775" i="1"/>
  <c r="CK775" i="1" s="1"/>
  <c r="CJ811" i="1"/>
  <c r="CK811" i="1" s="1"/>
  <c r="BC863" i="1"/>
  <c r="BC914" i="1"/>
  <c r="CJ989" i="1"/>
  <c r="CK989" i="1" s="1"/>
  <c r="BC989" i="1"/>
  <c r="BC905" i="1"/>
  <c r="CJ905" i="1"/>
  <c r="CK905" i="1" s="1"/>
  <c r="BC950" i="1"/>
  <c r="CJ950" i="1"/>
  <c r="CK950" i="1" s="1"/>
  <c r="CJ1096" i="1"/>
  <c r="CK1096" i="1" s="1"/>
  <c r="BC1096" i="1"/>
  <c r="CJ1102" i="1"/>
  <c r="CK1102" i="1" s="1"/>
  <c r="CJ824" i="1"/>
  <c r="CK824" i="1" s="1"/>
  <c r="CJ825" i="1"/>
  <c r="CK825" i="1" s="1"/>
  <c r="CJ865" i="1"/>
  <c r="CK865" i="1" s="1"/>
  <c r="CJ877" i="1"/>
  <c r="CK877" i="1" s="1"/>
  <c r="BC894" i="1"/>
  <c r="CJ915" i="1"/>
  <c r="CK915" i="1" s="1"/>
  <c r="BC915" i="1"/>
  <c r="BC926" i="1"/>
  <c r="CJ926" i="1"/>
  <c r="CK926" i="1" s="1"/>
  <c r="CJ1013" i="1"/>
  <c r="CK1013" i="1" s="1"/>
  <c r="CJ839" i="1"/>
  <c r="CK839" i="1" s="1"/>
  <c r="BC912" i="1"/>
  <c r="BC918" i="1"/>
  <c r="CJ939" i="1"/>
  <c r="CK939" i="1" s="1"/>
  <c r="CJ879" i="1"/>
  <c r="CK879" i="1" s="1"/>
  <c r="CJ886" i="1"/>
  <c r="CK886" i="1" s="1"/>
  <c r="CJ895" i="1"/>
  <c r="CK895" i="1" s="1"/>
  <c r="CJ912" i="1"/>
  <c r="CK912" i="1" s="1"/>
  <c r="CJ863" i="1"/>
  <c r="CK863" i="1" s="1"/>
  <c r="CJ885" i="1"/>
  <c r="CK885" i="1" s="1"/>
  <c r="CJ894" i="1"/>
  <c r="CK894" i="1" s="1"/>
  <c r="BC939" i="1"/>
  <c r="CJ940" i="1"/>
  <c r="CK940" i="1" s="1"/>
  <c r="BC960" i="1"/>
  <c r="CJ966" i="1"/>
  <c r="CK966" i="1" s="1"/>
  <c r="CJ1065" i="1"/>
  <c r="CK1065" i="1" s="1"/>
  <c r="BC1065" i="1"/>
  <c r="CJ843" i="1"/>
  <c r="CK843" i="1" s="1"/>
  <c r="CJ851" i="1"/>
  <c r="CK851" i="1" s="1"/>
  <c r="CJ884" i="1"/>
  <c r="CK884" i="1" s="1"/>
  <c r="CJ891" i="1"/>
  <c r="CK891" i="1" s="1"/>
  <c r="CJ904" i="1"/>
  <c r="CK904" i="1" s="1"/>
  <c r="CJ909" i="1"/>
  <c r="CK909" i="1" s="1"/>
  <c r="CJ961" i="1"/>
  <c r="CK961" i="1" s="1"/>
  <c r="CJ979" i="1"/>
  <c r="CK979" i="1" s="1"/>
  <c r="CJ1000" i="1"/>
  <c r="CK1000" i="1" s="1"/>
  <c r="CJ849" i="1"/>
  <c r="CK849" i="1" s="1"/>
  <c r="CJ916" i="1"/>
  <c r="CK916" i="1" s="1"/>
  <c r="CJ928" i="1"/>
  <c r="CK928" i="1" s="1"/>
  <c r="CJ953" i="1"/>
  <c r="CK953" i="1" s="1"/>
  <c r="CJ970" i="1"/>
  <c r="CK970" i="1" s="1"/>
  <c r="BC986" i="1"/>
  <c r="CJ999" i="1"/>
  <c r="CK999" i="1" s="1"/>
  <c r="BC1076" i="1"/>
  <c r="CJ1076" i="1"/>
  <c r="CK1076" i="1" s="1"/>
  <c r="CJ938" i="1"/>
  <c r="CK938" i="1" s="1"/>
  <c r="CJ955" i="1"/>
  <c r="CK955" i="1" s="1"/>
  <c r="CJ960" i="1"/>
  <c r="CK960" i="1" s="1"/>
  <c r="CJ1008" i="1"/>
  <c r="CK1008" i="1" s="1"/>
  <c r="CJ1010" i="1"/>
  <c r="CK1010" i="1" s="1"/>
  <c r="CJ1038" i="1"/>
  <c r="CK1038" i="1" s="1"/>
  <c r="CJ1042" i="1"/>
  <c r="CK1042" i="1" s="1"/>
  <c r="CJ1048" i="1"/>
  <c r="CK1048" i="1" s="1"/>
  <c r="CJ1058" i="1"/>
  <c r="CK1058" i="1" s="1"/>
  <c r="CJ1097" i="1"/>
  <c r="CK1097" i="1" s="1"/>
  <c r="CJ1098" i="1"/>
  <c r="CK1098" i="1" s="1"/>
  <c r="CJ1105" i="1"/>
  <c r="CK1105" i="1" s="1"/>
  <c r="CJ1117" i="1"/>
  <c r="CK1117" i="1" s="1"/>
  <c r="CJ914" i="1"/>
  <c r="CK914" i="1" s="1"/>
  <c r="CJ919" i="1"/>
  <c r="CK919" i="1" s="1"/>
  <c r="CJ958" i="1"/>
  <c r="CK958" i="1" s="1"/>
  <c r="CJ973" i="1"/>
  <c r="CK973" i="1" s="1"/>
  <c r="CJ1020" i="1"/>
  <c r="CK1020" i="1" s="1"/>
  <c r="CJ1072" i="1"/>
  <c r="CK1072" i="1" s="1"/>
  <c r="CJ1084" i="1"/>
  <c r="CK1084" i="1" s="1"/>
  <c r="CJ1104" i="1"/>
  <c r="CK1104" i="1" s="1"/>
  <c r="CJ1128" i="1"/>
  <c r="CK1128" i="1" s="1"/>
  <c r="BC1128" i="1"/>
  <c r="CJ1040" i="1"/>
  <c r="CK1040" i="1" s="1"/>
  <c r="BC1040" i="1"/>
  <c r="CJ1046" i="1"/>
  <c r="CK1046" i="1" s="1"/>
  <c r="CJ944" i="1"/>
  <c r="CK944" i="1" s="1"/>
  <c r="CJ963" i="1"/>
  <c r="CK963" i="1" s="1"/>
  <c r="CJ972" i="1"/>
  <c r="CK972" i="1" s="1"/>
  <c r="CJ981" i="1"/>
  <c r="CK981" i="1" s="1"/>
  <c r="CJ987" i="1"/>
  <c r="CK987" i="1" s="1"/>
  <c r="CJ995" i="1"/>
  <c r="CK995" i="1" s="1"/>
  <c r="CJ1029" i="1"/>
  <c r="CK1029" i="1" s="1"/>
  <c r="CJ1132" i="1"/>
  <c r="CK1132" i="1" s="1"/>
  <c r="BC1132" i="1"/>
  <c r="CJ1100" i="1"/>
  <c r="CK1100" i="1" s="1"/>
  <c r="CJ1124" i="1"/>
  <c r="CK1124" i="1" s="1"/>
  <c r="CJ1037" i="1"/>
  <c r="CK1037" i="1" s="1"/>
  <c r="CJ1064" i="1"/>
  <c r="CK1064" i="1" s="1"/>
  <c r="CJ1069" i="1"/>
  <c r="CK1069" i="1" s="1"/>
  <c r="CJ1078" i="1"/>
  <c r="CK1078" i="1" s="1"/>
  <c r="CJ1079" i="1"/>
  <c r="CK1079" i="1" s="1"/>
  <c r="CJ1093" i="1"/>
  <c r="CK1093" i="1" s="1"/>
  <c r="CJ1110" i="1"/>
  <c r="CK1110" i="1" s="1"/>
  <c r="CJ1131" i="1"/>
  <c r="CK1131" i="1" s="1"/>
  <c r="CJ996" i="1"/>
  <c r="CK996" i="1" s="1"/>
  <c r="CJ1015" i="1"/>
  <c r="CK1015" i="1" s="1"/>
  <c r="CJ1021" i="1"/>
  <c r="CK1021" i="1" s="1"/>
  <c r="CJ1022" i="1"/>
  <c r="CK1022" i="1" s="1"/>
  <c r="CJ1027" i="1"/>
  <c r="CK1027" i="1" s="1"/>
  <c r="CJ1109" i="1"/>
  <c r="CK1109" i="1" s="1"/>
  <c r="CJ1134" i="1"/>
  <c r="CK1134" i="1" s="1"/>
  <c r="CJ1135" i="1"/>
  <c r="CK1135" i="1" s="1"/>
  <c r="CH1136" i="1"/>
  <c r="CJ3" i="1"/>
  <c r="CK3" i="1" s="1"/>
  <c r="CI1136" i="1" l="1"/>
  <c r="AC1136" i="1"/>
  <c r="U1136" i="1"/>
  <c r="CJ53" i="1"/>
  <c r="CK53" i="1" s="1"/>
  <c r="CK1136" i="1" s="1"/>
  <c r="AN1136" i="1"/>
  <c r="DE1135" i="1"/>
  <c r="BC3" i="1"/>
  <c r="BC1136" i="1" s="1"/>
  <c r="CJ1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N289" authorId="0" shapeId="0" xr:uid="{F4163CD9-2E25-4DD5-A9A7-A4B2430850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627,994,000.00 
</t>
        </r>
      </text>
    </comment>
    <comment ref="N310" authorId="0" shapeId="0" xr:uid="{81414A07-50BB-4C60-B360-0EEEEFC3A985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3,078,000,000.00 
</t>
        </r>
      </text>
    </comment>
    <comment ref="CF315" authorId="0" shapeId="0" xr:uid="{82709D90-BAB7-4A55-B67C-00DD3BDBBC37}">
      <text>
        <r>
          <rPr>
            <b/>
            <sz val="9"/>
            <color indexed="81"/>
            <rFont val="Tahoma"/>
            <family val="2"/>
          </rPr>
          <t xml:space="preserve">Doris Patricia Herrera Reyes: Anular obl 2337418 Gratuidad FONDO DE SERVICIO EDUCATIVO COL ORIENTAL NO 26 de San José de Cúcuta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CF624" authorId="0" shapeId="0" xr:uid="{5312F190-643A-4B16-BFE2-F3F336A36738}">
      <text>
        <r>
          <rPr>
            <b/>
            <sz val="9"/>
            <color indexed="81"/>
            <rFont val="Tahoma"/>
            <family val="2"/>
          </rPr>
          <t xml:space="preserve">Doris Patricia Herrera Reyes: Anular obl 2596818INSTITUCION EDUCATIVA DISTRITAL LA LUZ de barranquilla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<sst xmlns="http://schemas.openxmlformats.org/spreadsheetml/2006/main" count="2374" uniqueCount="2288">
  <si>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</si>
  <si>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</si>
  <si>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</si>
  <si>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</si>
  <si>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</si>
  <si>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</si>
  <si>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</si>
  <si>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</si>
  <si>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</si>
  <si>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</si>
  <si>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</si>
  <si>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</si>
  <si>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</si>
  <si>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</si>
  <si>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</si>
  <si>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</si>
  <si>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</si>
  <si>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</si>
  <si>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</si>
  <si>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</si>
  <si>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</si>
  <si>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</si>
  <si>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</si>
  <si>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</si>
  <si>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</si>
  <si>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</si>
  <si>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</si>
  <si>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</si>
  <si>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</si>
  <si>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</si>
  <si>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</si>
  <si>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</si>
  <si>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</si>
  <si>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</si>
  <si>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</si>
  <si>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</si>
  <si>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</si>
  <si>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</si>
  <si>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</si>
  <si>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</si>
  <si>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</si>
  <si>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</si>
  <si>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</si>
  <si>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</si>
  <si>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</si>
  <si>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</si>
  <si>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</si>
  <si>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</si>
  <si>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</si>
  <si>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</si>
  <si>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</si>
  <si>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</si>
  <si>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</si>
  <si>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</si>
  <si>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</si>
  <si>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</si>
  <si>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</si>
  <si>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</si>
  <si>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</si>
  <si>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</si>
  <si>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</si>
  <si>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</si>
  <si>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</si>
  <si>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</si>
  <si>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</si>
  <si>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</si>
  <si>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</si>
  <si>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</si>
  <si>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</si>
  <si>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</si>
  <si>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</si>
  <si>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</si>
  <si>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</si>
  <si>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</si>
  <si>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</si>
  <si>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</si>
  <si>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</si>
  <si>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</si>
  <si>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</si>
  <si>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</si>
  <si>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</si>
  <si>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</si>
  <si>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</si>
  <si>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</si>
  <si>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</si>
  <si>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</si>
  <si>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</si>
  <si>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</si>
  <si>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</si>
  <si>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</si>
  <si>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</si>
  <si>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</si>
  <si>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</si>
  <si>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</si>
  <si>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</si>
  <si>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</si>
  <si>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</si>
  <si>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</si>
  <si>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</si>
  <si>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</si>
  <si>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</si>
  <si>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</si>
  <si>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</si>
  <si>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</si>
  <si>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</si>
  <si>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</si>
  <si>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</si>
  <si>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</si>
  <si>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</si>
  <si>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</si>
  <si>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</si>
  <si>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</si>
  <si>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</si>
  <si>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</si>
  <si>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</si>
  <si>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</si>
  <si>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</si>
  <si>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</si>
  <si>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</si>
  <si>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</si>
  <si>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</si>
  <si>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</si>
  <si>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</si>
  <si>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</si>
  <si>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</si>
  <si>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</si>
  <si>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</si>
  <si>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</si>
  <si>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</si>
  <si>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</si>
  <si>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</si>
  <si>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</si>
  <si>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</si>
  <si>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</si>
  <si>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</si>
  <si>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</si>
  <si>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</si>
  <si>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</si>
  <si>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</si>
  <si>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</si>
  <si>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</si>
  <si>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</si>
  <si>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</si>
  <si>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</si>
  <si>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</si>
  <si>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</si>
  <si>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</si>
  <si>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</si>
  <si>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</si>
  <si>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</si>
  <si>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</si>
  <si>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</si>
  <si>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</si>
  <si>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</si>
  <si>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</si>
  <si>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</si>
  <si>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</si>
  <si>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</si>
  <si>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</si>
  <si>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</si>
  <si>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</si>
  <si>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</si>
  <si>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</si>
  <si>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</si>
  <si>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</si>
  <si>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</si>
  <si>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</si>
  <si>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</si>
  <si>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</si>
  <si>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</si>
  <si>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</si>
  <si>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</si>
  <si>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</si>
  <si>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</si>
  <si>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</si>
  <si>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</si>
  <si>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</si>
  <si>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</si>
  <si>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</si>
  <si>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</si>
  <si>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</si>
  <si>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</si>
  <si>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</si>
  <si>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</si>
  <si>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</si>
  <si>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</si>
  <si>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</si>
  <si>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</si>
  <si>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</si>
  <si>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</si>
  <si>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</si>
  <si>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</si>
  <si>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</si>
  <si>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</si>
  <si>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</si>
  <si>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</si>
  <si>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</si>
  <si>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</si>
  <si>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</si>
  <si>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</si>
  <si>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</si>
  <si>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</si>
  <si>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</si>
  <si>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</si>
  <si>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</si>
  <si>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</si>
  <si>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</si>
  <si>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</si>
  <si>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</si>
  <si>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</si>
  <si>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</si>
  <si>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</si>
  <si>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</si>
  <si>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</si>
  <si>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</si>
  <si>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</si>
  <si>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</si>
  <si>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</si>
  <si>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</si>
  <si>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</si>
  <si>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</si>
  <si>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</si>
  <si>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</si>
  <si>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</si>
  <si>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</si>
  <si>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</si>
  <si>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</si>
  <si>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</si>
  <si>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</si>
  <si>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</si>
  <si>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</si>
  <si>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</si>
  <si>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</si>
  <si>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</si>
  <si>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</si>
  <si>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</si>
  <si>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</si>
  <si>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</si>
  <si>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</si>
  <si>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</si>
  <si>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</si>
  <si>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</si>
  <si>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</si>
  <si>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</si>
  <si>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</si>
  <si>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</si>
  <si>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</si>
  <si>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</si>
  <si>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</si>
  <si>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</si>
  <si>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</si>
  <si>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</si>
  <si>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</si>
  <si>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</si>
  <si>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</si>
  <si>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</si>
  <si>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</si>
  <si>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</si>
  <si>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</si>
  <si>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</si>
  <si>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</si>
  <si>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</si>
  <si>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</si>
  <si>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</si>
  <si>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</si>
  <si>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</si>
  <si>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</si>
  <si>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</si>
  <si>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</si>
  <si>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</si>
  <si>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</si>
  <si>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</si>
  <si>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</si>
  <si>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</si>
  <si>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</si>
  <si>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</si>
  <si>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</si>
  <si>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</si>
  <si>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</si>
  <si>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</si>
  <si>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</si>
  <si>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</si>
  <si>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</si>
  <si>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</si>
  <si>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</si>
  <si>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</si>
  <si>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</si>
  <si>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</si>
  <si>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</si>
  <si>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</si>
  <si>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</si>
  <si>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</si>
  <si>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</si>
  <si>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</si>
  <si>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</si>
  <si>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</si>
  <si>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</si>
  <si>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</si>
  <si>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</si>
  <si>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</si>
  <si>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</si>
  <si>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</si>
  <si>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</si>
  <si>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</si>
  <si>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</si>
  <si>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</si>
  <si>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</si>
  <si>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</si>
  <si>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</si>
  <si>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</si>
  <si>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</si>
  <si>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</si>
  <si>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</si>
  <si>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</si>
  <si>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</si>
  <si>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</si>
  <si>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</si>
  <si>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</si>
  <si>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</si>
  <si>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</si>
  <si>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</si>
  <si>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</si>
  <si>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</si>
  <si>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</si>
  <si>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</si>
  <si>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</si>
  <si>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</si>
  <si>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</si>
  <si>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</si>
  <si>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</si>
  <si>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</si>
  <si>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</si>
  <si>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</si>
  <si>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</si>
  <si>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</si>
  <si>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</si>
  <si>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</si>
  <si>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</si>
  <si>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</si>
  <si>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</si>
  <si>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</si>
  <si>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</si>
  <si>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</si>
  <si>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</si>
  <si>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</si>
  <si>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</si>
  <si>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</si>
  <si>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</si>
  <si>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</si>
  <si>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</si>
  <si>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</si>
  <si>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</si>
  <si>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</si>
  <si>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</si>
  <si>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</si>
  <si>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</si>
  <si>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</si>
  <si>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</si>
  <si>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</si>
  <si>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</si>
  <si>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</si>
  <si>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</si>
  <si>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</si>
  <si>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</si>
  <si>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</si>
  <si>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</si>
  <si>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</si>
  <si>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</si>
  <si>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</si>
  <si>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</si>
  <si>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</si>
  <si>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</si>
  <si>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</si>
  <si>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</si>
  <si>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</si>
  <si>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</si>
  <si>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</si>
  <si>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</si>
  <si>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</si>
  <si>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</si>
  <si>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</si>
  <si>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</si>
  <si>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</si>
  <si>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</si>
  <si>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</si>
  <si>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</si>
  <si>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</si>
  <si>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</si>
  <si>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</si>
  <si>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</si>
  <si>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</si>
  <si>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</si>
  <si>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</si>
  <si>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</si>
  <si>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</si>
  <si>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</si>
  <si>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</si>
  <si>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</si>
  <si>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</si>
  <si>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</si>
  <si>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</si>
  <si>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</si>
  <si>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</si>
  <si>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</si>
  <si>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</si>
  <si>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</si>
  <si>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</si>
  <si>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</si>
  <si>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</si>
  <si>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</si>
  <si>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</si>
  <si>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</si>
  <si>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</si>
  <si>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</si>
  <si>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</si>
  <si>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</si>
  <si>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</si>
  <si>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</si>
  <si>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</si>
  <si>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</si>
  <si>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</si>
  <si>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</si>
  <si>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</si>
  <si>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</si>
  <si>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</si>
  <si>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</si>
  <si>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</si>
  <si>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</si>
  <si>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</si>
  <si>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</si>
  <si>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</si>
  <si>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</si>
  <si>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</si>
  <si>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</si>
  <si>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</si>
  <si>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</si>
  <si>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</si>
  <si>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</si>
  <si>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</si>
  <si>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</si>
  <si>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</si>
  <si>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</si>
  <si>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</si>
  <si>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</si>
  <si>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</si>
  <si>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</si>
  <si>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</si>
  <si>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</si>
  <si>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</si>
  <si>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</si>
  <si>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</si>
  <si>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</si>
  <si>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</si>
  <si>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</si>
  <si>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</si>
  <si>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</si>
  <si>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</si>
  <si>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</si>
  <si>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</si>
  <si>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</si>
  <si>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</si>
  <si>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</si>
  <si>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</si>
  <si>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</si>
  <si>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</si>
  <si>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</si>
  <si>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</si>
  <si>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</si>
  <si>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</si>
  <si>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</si>
  <si>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</si>
  <si>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</si>
  <si>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</si>
  <si>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</si>
  <si>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</si>
  <si>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</si>
  <si>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</si>
  <si>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</si>
  <si>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</si>
  <si>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</si>
  <si>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</si>
  <si>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</si>
  <si>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</si>
  <si>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</si>
  <si>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</si>
  <si>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</si>
  <si>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</si>
  <si>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</si>
  <si>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</si>
  <si>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</si>
  <si>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</si>
  <si>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</si>
  <si>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</si>
  <si>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</si>
  <si>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</si>
  <si>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</si>
  <si>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</si>
  <si>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</si>
  <si>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</si>
  <si>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</si>
  <si>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</si>
  <si>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</si>
  <si>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</si>
  <si>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</si>
  <si>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</si>
  <si>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</si>
  <si>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</si>
  <si>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</si>
  <si>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</si>
  <si>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</si>
  <si>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</si>
  <si>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</si>
  <si>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</si>
  <si>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</si>
  <si>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</si>
  <si>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</si>
  <si>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</si>
  <si>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</si>
  <si>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</si>
  <si>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</si>
  <si>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</si>
  <si>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</si>
  <si>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</si>
  <si>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</si>
  <si>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</si>
  <si>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</si>
  <si>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</si>
  <si>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</si>
  <si>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</si>
  <si>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</si>
  <si>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</si>
  <si>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</si>
  <si>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</si>
  <si>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</si>
  <si>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</si>
  <si>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</si>
  <si>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</si>
  <si>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</si>
  <si>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</si>
  <si>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</si>
  <si>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</si>
  <si>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</si>
  <si>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</si>
  <si>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</si>
  <si>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</si>
  <si>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</si>
  <si>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</si>
  <si>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</si>
  <si>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</si>
  <si>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</si>
  <si>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</si>
  <si>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</si>
  <si>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</si>
  <si>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</si>
  <si>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</si>
  <si>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</si>
  <si>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</si>
  <si>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</si>
  <si>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</si>
  <si>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</si>
  <si>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</si>
  <si>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</si>
  <si>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</si>
  <si>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</si>
  <si>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</si>
  <si>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</si>
  <si>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</si>
  <si>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</si>
  <si>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</si>
  <si>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</si>
  <si>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</si>
  <si>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</si>
  <si>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</si>
  <si>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</si>
  <si>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</si>
  <si>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</si>
  <si>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</si>
  <si>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</si>
  <si>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</si>
  <si>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</si>
  <si>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</si>
  <si>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</si>
  <si>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</si>
  <si>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</si>
  <si>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</si>
  <si>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</si>
  <si>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</si>
  <si>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</si>
  <si>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</si>
  <si>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</si>
  <si>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</si>
  <si>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</si>
  <si>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</si>
  <si>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</si>
  <si>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</si>
  <si>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</si>
  <si>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</si>
  <si>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</si>
  <si>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</si>
  <si>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</si>
  <si>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</si>
  <si>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</si>
  <si>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</si>
  <si>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</si>
  <si>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</si>
  <si>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</si>
  <si>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</si>
  <si>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</si>
  <si>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</si>
  <si>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</si>
  <si>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</si>
  <si>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</si>
  <si>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</si>
  <si>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</si>
  <si>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</si>
  <si>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</si>
  <si>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</si>
  <si>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</si>
  <si>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</si>
  <si>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</si>
  <si>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</si>
  <si>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</si>
  <si>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</si>
  <si>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</si>
  <si>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</si>
  <si>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</si>
  <si>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</si>
  <si>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</si>
  <si>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</si>
  <si>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</si>
  <si>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</si>
  <si>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</si>
  <si>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</si>
  <si>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</si>
  <si>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</si>
  <si>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</si>
  <si>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</si>
  <si>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</si>
  <si>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</si>
  <si>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</si>
  <si>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</si>
  <si>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</si>
  <si>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</si>
  <si>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</si>
  <si>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</si>
  <si>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</si>
  <si>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</si>
  <si>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</si>
  <si>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</si>
  <si>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</si>
  <si>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</si>
  <si>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</si>
  <si>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</si>
  <si>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</si>
  <si>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</si>
  <si>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</si>
  <si>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</si>
  <si>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</si>
  <si>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</si>
  <si>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</si>
  <si>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</si>
  <si>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</si>
  <si>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</si>
  <si>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</si>
  <si>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</si>
  <si>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</si>
  <si>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</si>
  <si>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</si>
  <si>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</si>
  <si>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</si>
  <si>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</si>
  <si>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</si>
  <si>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</si>
  <si>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</si>
  <si>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</si>
  <si>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</si>
  <si>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</si>
  <si>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</si>
  <si>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</si>
  <si>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</si>
  <si>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</si>
  <si>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</si>
  <si>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</si>
  <si>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</si>
  <si>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</si>
  <si>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</si>
  <si>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</si>
  <si>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</si>
  <si>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</si>
  <si>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</si>
  <si>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</si>
  <si>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</si>
  <si>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</si>
  <si>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</si>
  <si>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</si>
  <si>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</si>
  <si>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</si>
  <si>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</si>
  <si>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</si>
  <si>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</si>
  <si>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</si>
  <si>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</si>
  <si>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</si>
  <si>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</si>
  <si>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</si>
  <si>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</si>
  <si>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</si>
  <si>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</si>
  <si>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</si>
  <si>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</si>
  <si>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</si>
  <si>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</si>
  <si>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</si>
  <si>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</si>
  <si>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</si>
  <si>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</si>
  <si>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</si>
  <si>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</si>
  <si>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</si>
  <si>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</si>
  <si>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</si>
  <si>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</si>
  <si>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</si>
  <si>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</si>
  <si>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</si>
  <si>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</si>
  <si>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</si>
  <si>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</si>
  <si>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</si>
  <si>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</si>
  <si>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</si>
  <si>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</si>
  <si>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</si>
  <si>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</si>
  <si>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</si>
  <si>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</si>
  <si>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</si>
  <si>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</si>
  <si>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</si>
  <si>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</si>
  <si>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</si>
  <si>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</si>
  <si>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</si>
  <si>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</si>
  <si>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</si>
  <si>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</si>
  <si>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</si>
  <si>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</si>
  <si>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</si>
  <si>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</si>
  <si>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</si>
  <si>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</si>
  <si>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</si>
  <si>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</si>
  <si>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</si>
  <si>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</si>
  <si>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</si>
  <si>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</si>
  <si>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</si>
  <si>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</si>
  <si>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</si>
  <si>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</si>
  <si>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</si>
  <si>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</si>
  <si>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</si>
  <si>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</si>
  <si>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</si>
  <si>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</si>
  <si>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</si>
  <si>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</si>
  <si>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</si>
  <si>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</si>
  <si>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</si>
  <si>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</si>
  <si>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</si>
  <si>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</si>
  <si>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</si>
  <si>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</si>
  <si>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</si>
  <si>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</si>
  <si>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</si>
  <si>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</si>
  <si>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</si>
  <si>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</si>
  <si>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</si>
  <si>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</si>
  <si>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</si>
  <si>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</si>
  <si>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</si>
  <si>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</si>
  <si>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</si>
  <si>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</si>
  <si>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</si>
  <si>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</si>
  <si>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</si>
  <si>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</si>
  <si>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</si>
  <si>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</si>
  <si>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</si>
  <si>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</si>
  <si>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</si>
  <si>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</si>
  <si>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</si>
  <si>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</si>
  <si>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</si>
  <si>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</si>
  <si>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</si>
  <si>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</si>
  <si>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</si>
  <si>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</si>
  <si>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</si>
  <si>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</si>
  <si>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</si>
  <si>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</si>
  <si>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</si>
  <si>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</si>
  <si>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</si>
  <si>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</si>
  <si>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</si>
  <si>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</si>
  <si>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</si>
  <si>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</si>
  <si>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</si>
  <si>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</si>
  <si>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</si>
  <si>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</si>
  <si>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</si>
  <si>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</si>
  <si>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</si>
  <si>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</si>
  <si>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</si>
  <si>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</si>
  <si>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</si>
  <si>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</si>
  <si>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</si>
  <si>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</si>
  <si>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</si>
  <si>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</si>
  <si>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</si>
  <si>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</si>
  <si>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</si>
  <si>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</si>
  <si>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</si>
  <si>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</si>
  <si>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</si>
  <si>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</si>
  <si>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</si>
  <si>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</si>
  <si>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</si>
  <si>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</si>
  <si>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</si>
  <si>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</si>
  <si>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</si>
  <si>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</si>
  <si>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</si>
  <si>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</si>
  <si>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</si>
  <si>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</si>
  <si>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</si>
  <si>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</si>
  <si>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</si>
  <si>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</si>
  <si>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</si>
  <si>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</si>
  <si>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</si>
  <si>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</si>
  <si>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</si>
  <si>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</si>
  <si>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</si>
  <si>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</si>
  <si>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</si>
  <si>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</si>
  <si>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</si>
  <si>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</si>
  <si>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</si>
  <si>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</si>
  <si>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</si>
  <si>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</si>
  <si>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</si>
  <si>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</si>
  <si>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</si>
  <si>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</si>
  <si>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</si>
  <si>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</si>
  <si>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</si>
  <si>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</si>
  <si>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</si>
  <si>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</si>
  <si>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</si>
  <si>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</si>
  <si>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</si>
  <si>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</si>
  <si>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</si>
  <si>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</si>
  <si>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</si>
  <si>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</si>
  <si>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</si>
  <si>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</si>
  <si>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</si>
  <si>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</si>
  <si>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</si>
  <si>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</si>
  <si>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</si>
  <si>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</si>
  <si>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</si>
  <si>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</si>
  <si>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</si>
  <si>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</si>
  <si>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</si>
  <si>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</si>
  <si>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</si>
  <si>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</si>
  <si>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</si>
  <si>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</si>
  <si>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</si>
  <si>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</si>
  <si>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</si>
  <si>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</si>
  <si>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</si>
  <si>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</si>
  <si>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</si>
  <si>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</si>
  <si>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</si>
  <si>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</si>
  <si>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</si>
  <si>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</si>
  <si>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</si>
  <si>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</si>
  <si>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</si>
  <si>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</si>
  <si>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</si>
  <si>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</si>
  <si>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</si>
  <si>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</si>
  <si>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</si>
  <si>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</si>
  <si>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</si>
  <si>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</si>
  <si>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</si>
  <si>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</si>
  <si>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</si>
  <si>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</si>
  <si>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</si>
  <si>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</si>
  <si>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</si>
  <si>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</si>
  <si>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</si>
  <si>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</si>
  <si>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</si>
  <si>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</si>
  <si>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</si>
  <si>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</si>
  <si>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</si>
  <si>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</si>
  <si>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</si>
  <si>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</si>
  <si>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</si>
  <si>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</si>
  <si>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</si>
  <si>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</si>
  <si>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</si>
  <si>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</si>
  <si>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</si>
  <si>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</si>
  <si>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</si>
  <si>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</si>
  <si>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</si>
  <si>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</si>
  <si>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</si>
  <si>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</si>
  <si>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</si>
  <si>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</si>
  <si>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</si>
  <si>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</si>
  <si>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</si>
  <si>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</si>
  <si>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</si>
  <si>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</si>
  <si>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</si>
  <si>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</si>
  <si>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</si>
  <si>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</si>
  <si>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</si>
  <si>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</si>
  <si>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</si>
  <si>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</si>
  <si>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</si>
  <si>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</si>
  <si>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</si>
  <si>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</si>
  <si>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</si>
  <si>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</si>
  <si>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</si>
  <si>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</si>
  <si>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</si>
  <si>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</si>
  <si>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</si>
  <si>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</si>
  <si>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</si>
  <si>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</si>
  <si>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</si>
  <si>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</si>
  <si>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</si>
  <si>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</si>
  <si>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</si>
  <si>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</si>
  <si>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</si>
  <si>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</si>
  <si>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</si>
  <si>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</si>
  <si>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</si>
  <si>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</si>
  <si>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</si>
  <si>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</si>
  <si>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</si>
  <si>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</si>
  <si>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</si>
  <si>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</si>
  <si>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</si>
  <si>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</si>
  <si>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</si>
  <si>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</si>
  <si>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</si>
  <si>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</si>
  <si>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</si>
  <si>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</si>
  <si>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</si>
  <si>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</si>
  <si>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</si>
  <si>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</si>
  <si>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</si>
  <si>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</si>
  <si>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</si>
  <si>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</si>
  <si>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</si>
  <si>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</si>
  <si>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</si>
  <si>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</si>
  <si>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</si>
  <si>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</si>
  <si>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</si>
  <si>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</si>
  <si>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</si>
  <si>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</si>
  <si>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</si>
  <si>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</si>
  <si>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</si>
  <si>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</si>
  <si>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</si>
  <si>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</si>
  <si>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</si>
  <si>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</si>
  <si>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</si>
  <si>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</si>
  <si>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</si>
  <si>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</si>
  <si>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</si>
  <si>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</si>
  <si>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</si>
  <si>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</si>
  <si>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</si>
  <si>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</si>
  <si>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</si>
  <si>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</si>
  <si>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</si>
  <si>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</si>
  <si>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</si>
  <si>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</si>
  <si>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</si>
  <si>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</si>
  <si>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</si>
  <si>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</si>
  <si>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</si>
  <si>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</si>
  <si>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</si>
  <si>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</si>
  <si>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</si>
  <si>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</si>
  <si>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</si>
  <si>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</si>
  <si>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</si>
  <si>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</si>
  <si>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</si>
  <si>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</si>
  <si>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</si>
  <si>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</si>
  <si>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</si>
  <si>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</si>
  <si>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</si>
  <si>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</si>
  <si>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</si>
  <si>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</si>
  <si>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</si>
  <si>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</si>
  <si>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</si>
  <si>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</si>
  <si>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</si>
  <si>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</si>
  <si>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</si>
  <si>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</si>
  <si>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</si>
  <si>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</si>
  <si>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</si>
  <si>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</si>
  <si>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</si>
  <si>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</si>
  <si>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</si>
  <si>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</si>
  <si>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</si>
  <si>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</si>
  <si>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</si>
  <si>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</si>
  <si>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</si>
  <si>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</si>
  <si>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</si>
  <si>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</si>
  <si>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</si>
  <si>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</si>
  <si>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</si>
  <si>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</si>
  <si>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</si>
  <si>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</si>
  <si>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</si>
  <si>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</si>
  <si>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</si>
  <si>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</si>
  <si>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</si>
  <si>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</si>
  <si>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</si>
  <si>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</si>
  <si>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</si>
  <si>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</si>
  <si>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</si>
  <si>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</si>
  <si>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</si>
  <si>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</si>
  <si>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</si>
  <si>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</si>
  <si>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</si>
  <si>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</si>
  <si>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</si>
  <si>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</si>
  <si>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</si>
  <si>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</si>
  <si>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</si>
  <si>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</si>
  <si>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</si>
  <si>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</si>
  <si>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</si>
  <si>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</si>
  <si>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</si>
  <si>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</si>
  <si>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</si>
  <si>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</si>
  <si>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</si>
  <si>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</si>
  <si>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</si>
  <si>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</si>
  <si>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</si>
  <si>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</si>
  <si>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</si>
  <si>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</si>
  <si>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</si>
  <si>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</si>
  <si>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</si>
  <si>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</si>
  <si>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</si>
  <si>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</si>
  <si>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</si>
  <si>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</si>
  <si>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</si>
  <si>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</si>
  <si>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</si>
  <si>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</si>
  <si>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</si>
  <si>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</si>
  <si>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</si>
  <si>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</si>
  <si>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</si>
  <si>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</si>
  <si>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</si>
  <si>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</si>
  <si>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</si>
  <si>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</si>
  <si>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</si>
  <si>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</si>
  <si>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</si>
  <si>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</si>
  <si>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</si>
  <si>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</si>
  <si>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</si>
  <si>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</si>
  <si>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</si>
  <si>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</si>
  <si>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</si>
  <si>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</si>
  <si>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</si>
  <si>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</si>
  <si>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</si>
  <si>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</si>
  <si>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</si>
  <si>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</si>
  <si>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</si>
  <si>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</si>
  <si>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</si>
  <si>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</si>
  <si>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</si>
  <si>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</si>
  <si>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</si>
  <si>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</si>
  <si>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</si>
  <si>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</si>
  <si>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</si>
  <si>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</si>
  <si>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</si>
  <si>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</si>
  <si>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</si>
  <si>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</si>
  <si>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</si>
  <si>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</si>
  <si>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</si>
  <si>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</si>
  <si>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</si>
  <si>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</si>
  <si>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</si>
  <si>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</si>
  <si>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</si>
  <si>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</si>
  <si>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</si>
  <si>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</si>
  <si>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</si>
  <si>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</si>
  <si>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</si>
  <si>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</si>
  <si>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</si>
  <si>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</si>
  <si>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</si>
  <si>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</si>
  <si>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</si>
  <si>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</si>
  <si>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</si>
  <si>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</si>
  <si>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</si>
  <si>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</si>
  <si>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</si>
  <si>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</si>
  <si>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</si>
  <si>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</si>
  <si>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</si>
  <si>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</si>
  <si>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</si>
  <si>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</si>
  <si>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</si>
  <si>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</si>
  <si>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</si>
  <si>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</si>
  <si>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</si>
  <si>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</si>
  <si>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</si>
  <si>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</si>
  <si>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</si>
  <si>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</si>
  <si>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</si>
  <si>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</si>
  <si>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</si>
  <si>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</si>
  <si>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</si>
  <si>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</si>
  <si>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</si>
  <si>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</si>
  <si>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</si>
  <si>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</si>
  <si>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</si>
  <si>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</si>
  <si>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</si>
  <si>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</si>
  <si>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</si>
  <si>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</si>
  <si>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</si>
  <si>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</si>
  <si>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</si>
  <si>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</si>
  <si>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</si>
  <si>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</si>
  <si>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</si>
  <si>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</si>
  <si>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</si>
  <si>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</si>
  <si>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</si>
  <si>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</si>
  <si>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</si>
  <si>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</si>
  <si>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</si>
  <si>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</si>
  <si>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</si>
  <si>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</si>
  <si>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</si>
  <si>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</si>
  <si>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</si>
  <si>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</si>
  <si>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</si>
  <si>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</si>
  <si>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</si>
  <si>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</si>
  <si>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</si>
  <si>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</si>
  <si>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</si>
  <si>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</si>
  <si>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</si>
  <si>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</si>
  <si>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</si>
  <si>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</si>
  <si>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</si>
  <si>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</si>
  <si>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</si>
  <si>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</si>
  <si>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</si>
  <si>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</si>
  <si>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</si>
  <si>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</si>
  <si>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</si>
  <si>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</si>
  <si>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</si>
  <si>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</si>
  <si>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</si>
  <si>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</si>
  <si>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</si>
  <si>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</si>
  <si>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</si>
  <si>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</si>
  <si>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</si>
  <si>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</si>
  <si>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</si>
  <si>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</si>
  <si>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</si>
  <si>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</si>
  <si>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</si>
  <si>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</si>
  <si>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</si>
  <si>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</si>
  <si>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</si>
  <si>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</si>
  <si>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</si>
  <si>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</si>
  <si>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</si>
  <si>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</si>
  <si>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</si>
  <si>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</si>
  <si>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</si>
  <si>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</si>
  <si>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</si>
  <si>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</si>
  <si>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</si>
  <si>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</si>
  <si>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</si>
  <si>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</si>
  <si>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</si>
  <si>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</si>
  <si>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</si>
  <si>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</si>
  <si>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</si>
  <si>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</si>
  <si>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</si>
  <si>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</si>
  <si>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</si>
  <si>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</si>
  <si>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</si>
  <si>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</si>
  <si>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</si>
  <si>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</si>
  <si>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</si>
  <si>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</si>
  <si>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</si>
  <si>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</si>
  <si>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</si>
  <si>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</si>
  <si>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</si>
  <si>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</si>
  <si>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</si>
  <si>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</si>
  <si>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</si>
  <si>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</si>
  <si>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</si>
  <si>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</si>
  <si>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</si>
  <si>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</si>
  <si>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</si>
  <si>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</si>
  <si>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</si>
  <si>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</si>
  <si>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</si>
  <si>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</si>
  <si>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</si>
  <si>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</si>
  <si>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</si>
  <si>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</si>
  <si>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</si>
  <si>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</si>
  <si>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</si>
  <si>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</si>
  <si>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</si>
  <si>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</si>
  <si>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</si>
  <si>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</si>
  <si>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</si>
  <si>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</si>
  <si>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</si>
  <si>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</si>
  <si>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</si>
  <si>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</si>
  <si>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</si>
  <si>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</si>
  <si>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</si>
  <si>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</si>
  <si>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</si>
  <si>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</si>
  <si>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</si>
  <si>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</si>
  <si>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</si>
  <si>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</si>
  <si>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</si>
  <si>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</si>
  <si>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</si>
  <si>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</si>
  <si>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</si>
  <si>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</si>
  <si>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</si>
  <si>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</si>
  <si>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</si>
  <si>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</si>
  <si>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</si>
  <si>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</si>
  <si>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</si>
  <si>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</si>
  <si>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</si>
  <si>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</si>
  <si>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</si>
  <si>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</si>
  <si>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</si>
  <si>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</si>
  <si>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</si>
  <si>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</si>
  <si>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</si>
  <si>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</si>
  <si>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</si>
  <si>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</si>
  <si>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</si>
  <si>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</si>
  <si>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</si>
  <si>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</si>
  <si>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</si>
  <si>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</si>
  <si>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</si>
  <si>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</si>
  <si>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</si>
  <si>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</si>
  <si>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</si>
  <si>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</si>
  <si>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</si>
  <si>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</si>
  <si>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</si>
  <si>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</si>
  <si>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</si>
  <si>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</si>
  <si>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</si>
  <si>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</si>
  <si>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</si>
  <si>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</si>
  <si>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</si>
  <si>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</si>
  <si>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</si>
  <si>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</si>
  <si>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</si>
  <si>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</si>
  <si>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</si>
  <si>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</si>
  <si>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</si>
  <si>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</si>
  <si>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</si>
  <si>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</si>
  <si>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</si>
  <si>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</si>
  <si>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</si>
  <si>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</si>
  <si>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</si>
  <si>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</si>
  <si>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</si>
  <si>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</si>
  <si>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</si>
  <si>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</si>
  <si>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</si>
  <si>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</si>
  <si>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</si>
  <si>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</si>
  <si>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</si>
  <si>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</si>
  <si>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</si>
  <si>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</si>
  <si>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</si>
  <si>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</si>
  <si>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</si>
  <si>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</si>
  <si>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</si>
  <si>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</si>
  <si>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</si>
  <si>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</si>
  <si>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</si>
  <si>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</si>
  <si>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</si>
  <si>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</si>
  <si>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</si>
  <si>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</si>
  <si>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</si>
  <si>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</si>
  <si>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</si>
  <si>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</si>
  <si>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</si>
  <si>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</si>
  <si>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</si>
  <si>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</si>
  <si>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</si>
  <si>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</si>
  <si>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</si>
  <si>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</si>
  <si>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</si>
  <si>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</si>
  <si>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</si>
  <si>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</si>
  <si>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</si>
  <si>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</si>
  <si>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</si>
  <si>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</si>
  <si>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</si>
  <si>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</si>
  <si>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</si>
  <si>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</si>
  <si>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</si>
  <si>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</si>
  <si>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</si>
  <si>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</si>
  <si>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</si>
  <si>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</si>
  <si>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</si>
  <si>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</si>
  <si>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</si>
  <si>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</si>
  <si>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</si>
  <si>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</si>
  <si>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</si>
  <si>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</si>
  <si>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</si>
  <si>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</si>
  <si>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</si>
  <si>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</si>
  <si>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</si>
  <si>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</si>
  <si>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</si>
  <si>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</si>
  <si>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</si>
  <si>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</si>
  <si>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</si>
  <si>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</si>
  <si>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</si>
  <si>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</si>
  <si>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</si>
  <si>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</si>
  <si>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</si>
  <si>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</si>
  <si>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</si>
  <si>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</si>
  <si>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</si>
  <si>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</si>
  <si>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</si>
  <si>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</si>
  <si>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</si>
  <si>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</si>
  <si>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</si>
  <si>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</si>
  <si>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</si>
  <si>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</si>
  <si>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</si>
  <si>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</si>
  <si>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</si>
  <si>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</si>
  <si>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</si>
  <si>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</si>
  <si>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</si>
  <si>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</si>
  <si>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</si>
  <si>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</si>
  <si>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</si>
  <si>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</si>
  <si>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</si>
  <si>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</si>
  <si>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</si>
  <si>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</si>
  <si>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</si>
  <si>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</si>
  <si>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</si>
  <si>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</si>
  <si>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</si>
  <si>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</si>
  <si>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</si>
  <si>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</si>
  <si>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</si>
  <si>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</si>
  <si>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</si>
  <si>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</si>
  <si>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</si>
  <si>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</si>
  <si>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</si>
  <si>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</si>
  <si>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</si>
  <si>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</si>
  <si>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</si>
  <si>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</si>
  <si>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</si>
  <si>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</si>
  <si>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</si>
  <si>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</si>
  <si>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</si>
  <si>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</si>
  <si>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</si>
  <si>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</si>
  <si>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</si>
  <si>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</si>
  <si>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</si>
  <si>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</si>
  <si>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</si>
  <si>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</si>
  <si>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</si>
  <si>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</si>
  <si>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</si>
  <si>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</si>
  <si>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</si>
  <si>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</si>
  <si>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</si>
  <si>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</si>
  <si>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</si>
  <si>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</si>
  <si>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</si>
  <si>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</si>
  <si>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</si>
  <si>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</si>
  <si>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</si>
  <si>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</si>
  <si>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</si>
  <si>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</si>
  <si>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</si>
  <si>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</si>
  <si>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</si>
  <si>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</si>
  <si>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</si>
  <si>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</si>
  <si>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</si>
  <si>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</si>
  <si>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</si>
  <si>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</si>
  <si>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</si>
  <si>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</si>
  <si>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</si>
  <si>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</si>
  <si>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</si>
  <si>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</si>
  <si>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</si>
  <si>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</si>
  <si>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</si>
  <si>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</si>
  <si>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</si>
  <si>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</si>
  <si>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</si>
  <si>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</si>
  <si>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</si>
  <si>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</si>
  <si>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</si>
  <si>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</si>
  <si>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</si>
  <si>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</si>
  <si>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</si>
  <si>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</si>
  <si>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</si>
  <si>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</si>
  <si>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</si>
  <si>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</si>
  <si>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</si>
  <si>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</si>
  <si>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</si>
  <si>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</si>
  <si>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</si>
  <si>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</si>
  <si>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</si>
  <si>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</si>
  <si>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</si>
  <si>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</si>
  <si>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</si>
  <si>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</si>
  <si>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</si>
  <si>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</si>
  <si>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</si>
  <si>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</si>
  <si>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</si>
  <si>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</si>
  <si>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</si>
  <si>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</si>
  <si>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</si>
  <si>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</si>
  <si>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</si>
  <si>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</si>
  <si>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</si>
  <si>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</si>
  <si>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</si>
  <si>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</si>
  <si>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</si>
  <si>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</si>
  <si>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</si>
  <si>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</si>
  <si>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</si>
  <si>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</si>
  <si>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</si>
  <si>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</si>
  <si>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</si>
  <si>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</si>
  <si>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</si>
  <si>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</si>
  <si>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</si>
  <si>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</si>
  <si>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</si>
  <si>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</si>
  <si>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</si>
  <si>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</si>
  <si>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</si>
  <si>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</si>
  <si>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</si>
  <si>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</si>
  <si>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</si>
  <si>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</si>
  <si>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</si>
  <si>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</si>
  <si>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</si>
  <si>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</si>
  <si>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</si>
  <si>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</si>
  <si>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</si>
  <si>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</si>
  <si>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</si>
  <si>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</si>
  <si>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</si>
  <si>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</si>
  <si>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</si>
  <si>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</si>
  <si>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</si>
  <si>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</si>
  <si>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</si>
  <si>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</si>
  <si>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</si>
  <si>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</si>
  <si>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</si>
  <si>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</si>
  <si>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</si>
  <si>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</si>
  <si>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</si>
  <si>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</si>
  <si>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</si>
  <si>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</si>
  <si>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</si>
  <si>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</si>
  <si>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</si>
  <si>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</si>
  <si>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</si>
  <si>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</si>
  <si>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</si>
  <si>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</si>
  <si>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</si>
  <si>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</si>
  <si>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</si>
  <si>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</si>
  <si>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</si>
  <si>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</si>
  <si>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</si>
  <si>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</si>
  <si>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</si>
  <si>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</si>
  <si>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</si>
  <si>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</si>
  <si>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</si>
  <si>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</si>
  <si>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</si>
  <si>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</si>
  <si>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</si>
  <si>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</si>
  <si>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</si>
  <si>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</si>
  <si>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</si>
  <si>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</si>
  <si>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</si>
  <si>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</si>
  <si>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</si>
  <si>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</si>
  <si>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</si>
  <si>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</si>
  <si>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</si>
  <si>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</si>
  <si>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</si>
  <si>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</si>
  <si>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</si>
  <si>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</si>
  <si>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</si>
  <si>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</si>
  <si>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</si>
  <si>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</si>
  <si>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</si>
  <si>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</si>
  <si>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</si>
  <si>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</si>
  <si>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</si>
  <si>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</si>
  <si>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</si>
  <si>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</si>
  <si>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</si>
  <si>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</si>
  <si>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</si>
  <si>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</si>
  <si>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</si>
  <si>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</si>
  <si>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</si>
  <si>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</si>
  <si>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</si>
  <si>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</si>
  <si>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</si>
  <si>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</si>
  <si>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</si>
  <si>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</si>
  <si>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</si>
  <si>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</si>
  <si>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</si>
  <si>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</si>
  <si>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</si>
  <si>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</si>
  <si>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</si>
  <si>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</si>
  <si>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</si>
  <si>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</si>
  <si>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</si>
  <si>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</si>
  <si>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</si>
  <si>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</si>
  <si>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</si>
  <si>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</si>
  <si>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</si>
  <si>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</si>
  <si>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</si>
  <si>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</si>
  <si>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</si>
  <si>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</si>
  <si>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</si>
  <si>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</si>
  <si>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</si>
  <si>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</si>
  <si>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</si>
  <si>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</si>
  <si>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</si>
  <si>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</si>
  <si>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</si>
  <si>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</si>
  <si>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</si>
  <si>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</si>
  <si>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</si>
  <si>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</si>
  <si>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</si>
  <si>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</si>
  <si>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</si>
  <si>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</si>
  <si>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</si>
  <si>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</si>
  <si>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</si>
  <si>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</si>
  <si>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</si>
  <si>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</si>
  <si>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</si>
  <si>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</si>
  <si>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</si>
  <si>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</si>
  <si>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</si>
  <si>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</si>
  <si>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</si>
  <si>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</si>
  <si>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</si>
  <si>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</si>
  <si>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</si>
  <si>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</si>
  <si>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</si>
  <si>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</si>
  <si>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</si>
  <si>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</si>
  <si>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</si>
  <si>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</si>
  <si>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</si>
  <si>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</si>
  <si>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</si>
  <si>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</si>
  <si>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</si>
  <si>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</si>
  <si>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</si>
  <si>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</si>
  <si>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</si>
  <si>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</si>
  <si>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</si>
  <si>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</si>
  <si>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</si>
  <si>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</si>
  <si>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</si>
  <si>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</si>
  <si>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</si>
  <si>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</si>
  <si>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</si>
  <si>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</si>
  <si>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</si>
  <si>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</si>
  <si>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</si>
  <si>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</si>
  <si>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</si>
  <si>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</si>
  <si>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</si>
  <si>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</si>
  <si>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</si>
  <si>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</si>
  <si>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</si>
  <si>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</si>
  <si>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</si>
  <si>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</si>
  <si>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</si>
  <si>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</si>
  <si>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</si>
  <si>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</si>
  <si>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</si>
  <si>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</si>
  <si>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</si>
  <si>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</si>
  <si>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</si>
  <si>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</si>
  <si>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</si>
  <si>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</si>
  <si>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</si>
  <si>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</si>
  <si>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</si>
  <si>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</si>
  <si>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</si>
  <si>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</si>
  <si>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</si>
  <si>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</si>
  <si>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</si>
  <si>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</si>
  <si>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</si>
  <si>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</si>
  <si>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</si>
  <si>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</si>
  <si>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</si>
  <si>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</si>
  <si>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</si>
  <si>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</si>
  <si>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</si>
  <si>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</si>
  <si>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</si>
  <si>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</si>
  <si>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</si>
  <si>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</si>
  <si>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</si>
  <si>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</si>
  <si>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</si>
  <si>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</si>
  <si>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</si>
  <si>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</si>
  <si>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</si>
  <si>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</si>
  <si>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</si>
  <si>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</si>
  <si>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</si>
  <si>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</si>
  <si>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</si>
  <si>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</si>
  <si>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</si>
  <si>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</si>
  <si>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</si>
  <si>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</si>
  <si>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</si>
  <si>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</si>
  <si>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</si>
  <si>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</si>
  <si>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</si>
  <si>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</si>
  <si>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</si>
  <si>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</si>
  <si>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</si>
  <si>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</si>
  <si>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</si>
  <si>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</si>
  <si>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</si>
  <si>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</si>
  <si>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</si>
  <si>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</si>
  <si>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</si>
  <si>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</si>
  <si>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</si>
  <si>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</si>
  <si>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</si>
  <si>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</si>
  <si>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</si>
  <si>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</si>
  <si>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</si>
  <si>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</si>
  <si>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</si>
  <si>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</si>
  <si>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</si>
  <si>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</si>
  <si>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</si>
  <si>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</si>
  <si>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</si>
  <si>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</si>
  <si>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</si>
  <si>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</si>
  <si>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</si>
  <si>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</si>
  <si>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</si>
  <si>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</si>
  <si>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</si>
  <si>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</si>
  <si>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</si>
  <si>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</si>
  <si>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</si>
  <si>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</si>
  <si>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</si>
  <si>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</si>
  <si>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</si>
  <si>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</si>
  <si>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</si>
  <si>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</si>
  <si>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</si>
  <si>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</si>
  <si>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</si>
  <si>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</si>
  <si>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</si>
  <si>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</si>
  <si>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</si>
  <si>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</si>
  <si>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</si>
  <si>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</si>
  <si>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</si>
  <si>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</si>
  <si>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</si>
  <si>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</si>
  <si>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</si>
  <si>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</si>
  <si>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</si>
  <si>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</si>
  <si>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</si>
  <si>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</si>
  <si>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</si>
  <si>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</si>
  <si>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</si>
  <si>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</si>
  <si>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</si>
  <si>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</si>
  <si>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</si>
  <si>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</si>
  <si>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</si>
  <si>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</si>
  <si>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</si>
  <si>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</si>
  <si>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</si>
  <si>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</si>
  <si>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</si>
  <si>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</si>
  <si>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</si>
  <si>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</si>
  <si>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</si>
  <si>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</si>
  <si>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</si>
  <si>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</si>
  <si>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</si>
  <si>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</si>
  <si>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</si>
  <si>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</si>
  <si>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</si>
  <si>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</si>
  <si>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</si>
  <si>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</si>
  <si>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</si>
  <si>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</si>
  <si>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</si>
  <si>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</si>
  <si>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</si>
  <si>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</si>
  <si>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</si>
  <si>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</si>
  <si>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</si>
  <si>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</si>
  <si>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</si>
  <si>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</si>
  <si>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</si>
  <si>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</si>
  <si>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</si>
  <si>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</si>
  <si>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</si>
  <si>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</si>
  <si>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</si>
  <si>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</si>
  <si>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</si>
  <si>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</si>
  <si>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</si>
  <si>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</si>
  <si>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</si>
  <si>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</si>
  <si>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</si>
  <si>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</si>
  <si>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</si>
  <si>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</si>
  <si>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</si>
  <si>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</si>
  <si>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</si>
  <si>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</si>
  <si>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</si>
  <si>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</si>
  <si>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</si>
  <si>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</si>
  <si>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</si>
  <si>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</si>
  <si>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</si>
  <si>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</si>
  <si>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</si>
  <si>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</si>
  <si>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</si>
  <si>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</si>
  <si>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</si>
  <si>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</si>
  <si>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</si>
  <si>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</si>
  <si>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</si>
  <si>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</si>
  <si>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</si>
  <si>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</si>
  <si>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</si>
  <si>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</si>
  <si>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</si>
  <si>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</si>
  <si>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</si>
  <si>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</si>
  <si>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</si>
  <si>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</si>
  <si>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</si>
  <si>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</si>
  <si>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</si>
  <si>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</si>
  <si>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</si>
  <si>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</si>
  <si>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</si>
  <si>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</si>
  <si>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</si>
  <si>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</si>
  <si>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</si>
  <si>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</si>
  <si>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</si>
  <si>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</si>
  <si>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</si>
  <si>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</si>
  <si>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</si>
  <si>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</si>
  <si>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</si>
  <si>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</si>
  <si>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</si>
  <si>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</si>
  <si>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</si>
  <si>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</si>
  <si>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</si>
  <si>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</si>
  <si>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</si>
  <si>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</si>
  <si>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</si>
  <si>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</si>
  <si>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</si>
  <si>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</si>
  <si>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</si>
  <si>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</si>
  <si>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</si>
  <si>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</si>
  <si>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</si>
  <si>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</si>
  <si>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</si>
  <si>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</si>
  <si>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</si>
  <si>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</si>
  <si>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</si>
  <si>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</si>
  <si>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</si>
  <si>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</si>
  <si>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</si>
  <si>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</si>
  <si>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</si>
  <si>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</si>
  <si>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</si>
  <si>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</si>
  <si>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</si>
  <si>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</si>
  <si>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</si>
  <si>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</si>
  <si>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</si>
  <si>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</si>
  <si>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</si>
  <si>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</si>
  <si>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</si>
  <si>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</si>
  <si>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</si>
  <si>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</si>
  <si>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</si>
  <si>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</si>
  <si>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</si>
  <si>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</si>
  <si>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</si>
  <si>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</si>
  <si>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</si>
  <si>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</si>
  <si>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</si>
  <si>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</si>
  <si>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</si>
  <si>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</si>
  <si>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</si>
  <si>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</si>
  <si>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</si>
  <si>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</si>
  <si>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</si>
  <si>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</si>
  <si>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</si>
  <si>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</si>
  <si>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</si>
  <si>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</si>
  <si>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</si>
  <si>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</si>
  <si>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</si>
  <si>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</si>
  <si>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</si>
  <si>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</si>
  <si>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</si>
  <si>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</si>
  <si>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</si>
  <si>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</si>
  <si>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</si>
  <si>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</si>
  <si>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</si>
  <si>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</si>
  <si>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</si>
  <si>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</si>
  <si>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</si>
  <si>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</si>
  <si>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</si>
  <si>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contabilidad@cauca.gov.co</t>
  </si>
  <si>
    <t>CAUSACIONES CON NIT ENTES TERRITORIALES ENERO DEL 2018</t>
  </si>
  <si>
    <t>CAUSACIONES CON NIT DE FIDUCIAS ENERO DEL 2018</t>
  </si>
  <si>
    <t>CAUSACIONES CON NIT ENTES TERRITORIALES FEBRERO DEL 2018</t>
  </si>
  <si>
    <t>CAUSACIONES CON NIT DE FIDUCIAS FEBRERO DEL 2018</t>
  </si>
  <si>
    <t>libia.joven@cali.gov.co</t>
  </si>
  <si>
    <t>CAUSACIONES CON NIT ENTES TERRITORIALES MARZO DEL 2018</t>
  </si>
  <si>
    <t>CAUSACIONES CON NIT DE FIDUCIAS MARZO DEL 2018</t>
  </si>
  <si>
    <t>Alexander.cardona@itagui.gov.co.</t>
  </si>
  <si>
    <t>hacienda@lavega-cauca.gov.co</t>
  </si>
  <si>
    <t>CAUSACIONES CON NIT ENTES TERRITORIALES ABRIL DEL 2018</t>
  </si>
  <si>
    <t>Prestación de Servicios Nómina</t>
  </si>
  <si>
    <t>Prestación de Servicos Otros Gastos</t>
  </si>
  <si>
    <t>CAUSACION CON NIT DE FICUCIAS ABRIL DEL 2018</t>
  </si>
  <si>
    <t>CAUSACIONES CON NIT ENTES TERRITORIALES MAYO DEL 2018</t>
  </si>
  <si>
    <t>CAUSACION CON NIT DE FICUCIAS MAYO DEL 2018</t>
  </si>
  <si>
    <t>Calidad MpioNoCert</t>
  </si>
  <si>
    <t>Anticipo Junio Prestación de Servicos Otos Gastos</t>
  </si>
  <si>
    <t>Mayo</t>
  </si>
  <si>
    <t>Causadas en Abnil y AnuladaS en Mayo</t>
  </si>
  <si>
    <t>CAUSACIONES CON NIT ENTES TERRITORIALES JUNIO DEL 2018</t>
  </si>
  <si>
    <t>CAUSACION CON NIT DE FICUCIAS JUNIO DEL 2018</t>
  </si>
  <si>
    <t>GRATUIDAD JUNIO</t>
  </si>
  <si>
    <t>alcaldia@tado-choco.gov.co; yelemore@gmail.com</t>
  </si>
  <si>
    <t>reciprocashacienda@cundinamarca.gov.co</t>
  </si>
  <si>
    <t>hacienda@capitanejo-santander.gov.co</t>
  </si>
  <si>
    <t>CAUSACIONES CON NIT ENTES TERRITORIALES JULIO DEL 2018</t>
  </si>
  <si>
    <t>CAUSACION CON NIT DE FICUCIAS JULIO DEL 2018</t>
  </si>
  <si>
    <t>JULIO</t>
  </si>
  <si>
    <t>Causadas en Junio y Anuladas en Julio</t>
  </si>
  <si>
    <t>Total 540818 (valor recíproco) Junio</t>
  </si>
  <si>
    <t xml:space="preserve">Anticipo Julio Prestación de Servicos </t>
  </si>
  <si>
    <t>Anticipo Julio Otos Gastos</t>
  </si>
  <si>
    <t>Anticipo Julio Caliad MpioNoCert</t>
  </si>
  <si>
    <t>Total 540818 (valor recíproco)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</si>
</sst>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99">
    <xf numFmtId="0" fontId="0" fillId="0" borderId="0" xfId="0"/>
    <xf numFmtId="1" fontId="0" fillId="0" borderId="1" xfId="1" applyNumberFormat="1" applyFont="1" applyFill="1" applyBorder="1" applyAlignment="1"/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/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4" fontId="0" fillId="0" borderId="0" xfId="1" applyFont="1" applyFill="1" applyAlignment="1"/>
    <xf numFmtId="4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4" fontId="0" fillId="0" borderId="0" xfId="1" applyNumberFormat="1" applyFont="1" applyFill="1" applyAlignment="1"/>
    <xf numFmtId="37" fontId="9" fillId="7" borderId="1" xfId="1" applyNumberFormat="1" applyFont="1" applyFill="1" applyBorder="1" applyAlignment="1"/>
    <xf numFmtId="4" fontId="0" fillId="0" borderId="1" xfId="1" applyNumberFormat="1" applyFont="1" applyFill="1" applyBorder="1" applyAlignment="1">
      <alignment horizontal="right"/>
    </xf>
    <xf numFmtId="1" fontId="7" fillId="0" borderId="1" xfId="6" applyNumberFormat="1" applyFont="1" applyFill="1" applyBorder="1" applyAlignment="1">
      <alignment horizontal="right" vertical="center"/>
    </xf>
    <xf numFmtId="0" fontId="0" fillId="9" borderId="0" xfId="0" applyFont="1" applyFill="1" applyAlignment="1"/>
    <xf numFmtId="3" fontId="0" fillId="9" borderId="0" xfId="0" applyNumberFormat="1" applyFont="1" applyFill="1" applyAlignment="1"/>
    <xf numFmtId="37" fontId="0" fillId="0" borderId="0" xfId="0" applyNumberFormat="1" applyFont="1" applyFill="1" applyAlignment="1"/>
    <xf numFmtId="0" fontId="14" fillId="0" borderId="0" xfId="0" applyFont="1" applyFill="1" applyAlignment="1">
      <alignment horizontal="left"/>
    </xf>
    <xf numFmtId="0" fontId="15" fillId="0" borderId="1" xfId="2" applyFont="1" applyFill="1" applyBorder="1" applyAlignment="1" applyProtection="1">
      <alignment horizontal="left"/>
    </xf>
    <xf numFmtId="0" fontId="0" fillId="0" borderId="0" xfId="0" applyFont="1" applyFill="1" applyAlignment="1">
      <alignment horizontal="right"/>
    </xf>
    <xf numFmtId="1" fontId="0" fillId="11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" fontId="0" fillId="10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" fontId="0" fillId="12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/>
    <xf numFmtId="165" fontId="0" fillId="0" borderId="8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5" fillId="14" borderId="1" xfId="2" applyFont="1" applyFill="1" applyBorder="1" applyAlignment="1" applyProtection="1">
      <alignment horizontal="left"/>
    </xf>
    <xf numFmtId="0" fontId="17" fillId="14" borderId="1" xfId="2" applyFont="1" applyFill="1" applyBorder="1" applyAlignment="1" applyProtection="1">
      <alignment horizontal="left"/>
    </xf>
    <xf numFmtId="0" fontId="18" fillId="14" borderId="1" xfId="2" applyFont="1" applyFill="1" applyBorder="1" applyAlignment="1" applyProtection="1">
      <alignment horizontal="left"/>
    </xf>
    <xf numFmtId="0" fontId="16" fillId="14" borderId="1" xfId="2" applyFont="1" applyFill="1" applyBorder="1" applyAlignment="1" applyProtection="1">
      <alignment horizontal="left"/>
    </xf>
    <xf numFmtId="0" fontId="8" fillId="14" borderId="1" xfId="2" applyFont="1" applyFill="1" applyBorder="1" applyAlignment="1" applyProtection="1">
      <alignment horizontal="left"/>
    </xf>
    <xf numFmtId="0" fontId="18" fillId="14" borderId="1" xfId="2" applyFont="1" applyFill="1" applyBorder="1" applyAlignment="1" applyProtection="1"/>
    <xf numFmtId="0" fontId="8" fillId="14" borderId="1" xfId="2" applyFill="1" applyBorder="1" applyAlignment="1" applyProtection="1">
      <alignment horizontal="left"/>
    </xf>
    <xf numFmtId="0" fontId="15" fillId="15" borderId="1" xfId="2" applyFont="1" applyFill="1" applyBorder="1" applyAlignment="1" applyProtection="1">
      <alignment horizontal="left"/>
    </xf>
    <xf numFmtId="0" fontId="18" fillId="15" borderId="1" xfId="2" applyFont="1" applyFill="1" applyBorder="1" applyAlignment="1" applyProtection="1">
      <alignment horizontal="left"/>
    </xf>
    <xf numFmtId="0" fontId="8" fillId="15" borderId="0" xfId="2" applyFont="1" applyFill="1" applyAlignment="1" applyProtection="1"/>
    <xf numFmtId="0" fontId="16" fillId="15" borderId="1" xfId="2" applyFont="1" applyFill="1" applyBorder="1" applyAlignment="1" applyProtection="1">
      <alignment horizontal="left"/>
    </xf>
    <xf numFmtId="0" fontId="16" fillId="15" borderId="0" xfId="2" applyFont="1" applyFill="1" applyAlignment="1" applyProtection="1">
      <alignment wrapText="1"/>
    </xf>
    <xf numFmtId="0" fontId="8" fillId="15" borderId="1" xfId="2" applyFont="1" applyFill="1" applyBorder="1" applyAlignment="1" applyProtection="1">
      <alignment horizontal="left"/>
    </xf>
    <xf numFmtId="0" fontId="15" fillId="14" borderId="1" xfId="2" applyFont="1" applyFill="1" applyBorder="1" applyAlignment="1" applyProtection="1"/>
    <xf numFmtId="4" fontId="0" fillId="0" borderId="1" xfId="1" applyNumberFormat="1" applyFont="1" applyFill="1" applyBorder="1" applyAlignment="1"/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4" fontId="0" fillId="0" borderId="1" xfId="1" applyNumberFormat="1" applyFont="1" applyFill="1" applyBorder="1" applyAlignment="1">
      <alignment horizontal="center"/>
    </xf>
    <xf numFmtId="4" fontId="0" fillId="0" borderId="3" xfId="1" applyNumberFormat="1" applyFont="1" applyBorder="1" applyAlignment="1">
      <alignment horizontal="left" wrapText="1"/>
    </xf>
    <xf numFmtId="4" fontId="0" fillId="9" borderId="1" xfId="1" applyNumberFormat="1" applyFont="1" applyFill="1" applyBorder="1" applyAlignment="1"/>
    <xf numFmtId="4" fontId="0" fillId="9" borderId="1" xfId="0" applyNumberFormat="1" applyFont="1" applyFill="1" applyBorder="1" applyAlignment="1">
      <alignment horizontal="right"/>
    </xf>
    <xf numFmtId="4" fontId="0" fillId="0" borderId="3" xfId="1" applyNumberFormat="1" applyFont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center"/>
    </xf>
    <xf numFmtId="4" fontId="9" fillId="7" borderId="1" xfId="1" applyNumberFormat="1" applyFont="1" applyFill="1" applyBorder="1" applyAlignment="1"/>
    <xf numFmtId="39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4" fontId="7" fillId="0" borderId="1" xfId="4" applyNumberFormat="1" applyFont="1" applyFill="1" applyBorder="1" applyAlignment="1">
      <alignment horizontal="right"/>
    </xf>
    <xf numFmtId="4" fontId="9" fillId="7" borderId="1" xfId="1" applyNumberFormat="1" applyFont="1" applyFill="1" applyBorder="1" applyAlignment="1">
      <alignment horizontal="right"/>
    </xf>
    <xf numFmtId="1" fontId="0" fillId="16" borderId="1" xfId="1" applyNumberFormat="1" applyFont="1" applyFill="1" applyBorder="1" applyAlignment="1"/>
    <xf numFmtId="0" fontId="0" fillId="13" borderId="1" xfId="0" applyFont="1" applyFill="1" applyBorder="1" applyAlignment="1"/>
    <xf numFmtId="164" fontId="9" fillId="8" borderId="5" xfId="1" applyFont="1" applyFill="1" applyBorder="1" applyAlignment="1" applyProtection="1">
      <alignment horizontal="center" vertical="center" wrapText="1"/>
      <protection locked="0"/>
    </xf>
    <xf numFmtId="164" fontId="9" fillId="8" borderId="7" xfId="1" applyFont="1" applyFill="1" applyBorder="1" applyAlignment="1" applyProtection="1">
      <alignment horizontal="center" vertical="center" wrapText="1"/>
      <protection locked="0"/>
    </xf>
    <xf numFmtId="164" fontId="9" fillId="8" borderId="6" xfId="1" applyFont="1" applyFill="1" applyBorder="1" applyAlignment="1" applyProtection="1">
      <alignment horizontal="center" vertical="center" wrapText="1"/>
      <protection locked="0"/>
    </xf>
    <xf numFmtId="164" fontId="9" fillId="13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2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right" vertical="center" wrapText="1"/>
      <protection locked="0"/>
    </xf>
    <xf numFmtId="37" fontId="9" fillId="8" borderId="1" xfId="1" applyNumberFormat="1" applyFont="1" applyFill="1" applyBorder="1" applyAlignment="1" applyProtection="1">
      <alignment horizontal="center" vertical="center"/>
      <protection locked="0"/>
    </xf>
    <xf numFmtId="165" fontId="9" fillId="7" borderId="1" xfId="1" applyNumberFormat="1" applyFont="1" applyFill="1" applyBorder="1" applyAlignment="1">
      <alignment horizontal="right"/>
    </xf>
    <xf numFmtId="165" fontId="9" fillId="7" borderId="2" xfId="1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</cellXfs>
  <cellStyles count="26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CCFF"/>
      <color rgb="FFFF0000"/>
      <color rgb="FFFF00FF"/>
      <color rgb="FF99FF66"/>
      <color rgb="FF00FF00"/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Julio/540818/aux%20540818001%20detal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8\CUENTAS\Mayo\540418\Obligaciones%20May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8\CUENTAS\Abril\540818001\Obligaciones%20Abr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Febrero/540818/SGP%20PAC-consolidado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NCT049_ConsultaSaldosContabl"/>
    </sheetNames>
    <sheetDataSet>
      <sheetData sheetId="0">
        <row r="4">
          <cell r="I4">
            <v>682005805</v>
          </cell>
          <cell r="J4" t="str">
            <v>Institucion Educativa de San Carlos de Guaroa</v>
          </cell>
          <cell r="K4">
            <v>103255072</v>
          </cell>
        </row>
        <row r="5">
          <cell r="I5">
            <v>800000298</v>
          </cell>
          <cell r="J5" t="str">
            <v>FONDOS DE SERVICIOS EDUCATIVOS INSTITUCION EDUCATIVA GUILLERMO ANGULO GOMEZ</v>
          </cell>
          <cell r="K5">
            <v>55369202</v>
          </cell>
        </row>
        <row r="6">
          <cell r="I6">
            <v>800000529</v>
          </cell>
          <cell r="J6" t="str">
            <v>INSTITUCION EDUCATIVA ISMAEL PERDOMO</v>
          </cell>
          <cell r="K6">
            <v>73971837</v>
          </cell>
        </row>
        <row r="7">
          <cell r="I7">
            <v>800001623</v>
          </cell>
          <cell r="J7" t="str">
            <v>Institucion Educativa Agropecuaria de Acacias</v>
          </cell>
          <cell r="K7">
            <v>53124435</v>
          </cell>
        </row>
        <row r="8">
          <cell r="I8">
            <v>800002159</v>
          </cell>
          <cell r="J8" t="str">
            <v>INSTITUCION EDUCATIVA MANUL JOSE MOSQUERA VIDAL</v>
          </cell>
          <cell r="K8">
            <v>40490014</v>
          </cell>
        </row>
        <row r="9">
          <cell r="I9">
            <v>800002206</v>
          </cell>
          <cell r="J9" t="str">
            <v>INSTITUCION EDUCATIVA DEPARTAMENTAL ANTONIO NARIÑO</v>
          </cell>
          <cell r="K9">
            <v>33618765</v>
          </cell>
        </row>
        <row r="10">
          <cell r="I10">
            <v>800002221</v>
          </cell>
          <cell r="J10" t="str">
            <v>INSTITUCION EDUCATIVA TECNICA AGROINDUSTRIAL JUAN XXIII</v>
          </cell>
          <cell r="K10">
            <v>106122347</v>
          </cell>
        </row>
        <row r="11">
          <cell r="I11">
            <v>800002248</v>
          </cell>
          <cell r="J11" t="str">
            <v>FONDO DE SERVICIOS EDUCATIVOS IED TOMAS RUEDA VARGAS</v>
          </cell>
          <cell r="K11">
            <v>176634835</v>
          </cell>
        </row>
        <row r="12">
          <cell r="I12">
            <v>800002275</v>
          </cell>
          <cell r="J12" t="str">
            <v>FONDO DE SERVICIOS EDUCATIVOS - INSTITUCIÃ“N EDUCATIVA SAN PEDRO CLAVER</v>
          </cell>
          <cell r="K12">
            <v>78856077</v>
          </cell>
        </row>
        <row r="13">
          <cell r="I13">
            <v>800002733</v>
          </cell>
          <cell r="J13" t="str">
            <v>INSTITUCION EDUCATIVA DEPARTAMENTAL INTEGRADO SAN CAYETANO FONDO DE SERVICIOS EDUCATIVOS</v>
          </cell>
          <cell r="K13">
            <v>47866994</v>
          </cell>
        </row>
        <row r="14">
          <cell r="I14">
            <v>800002823</v>
          </cell>
          <cell r="J14" t="str">
            <v>COLEGIO JOSé JOAQUíN GARCíA</v>
          </cell>
          <cell r="K14">
            <v>58764905</v>
          </cell>
        </row>
        <row r="15">
          <cell r="I15">
            <v>800003253</v>
          </cell>
          <cell r="J15" t="str">
            <v>MUNICIPIO DE PALMAS DEL SOCORRO</v>
          </cell>
          <cell r="K15">
            <v>20917372</v>
          </cell>
        </row>
        <row r="16">
          <cell r="I16">
            <v>800004018</v>
          </cell>
          <cell r="J16" t="str">
            <v>MUNICIPIO DE JERUSALEN</v>
          </cell>
          <cell r="K16">
            <v>29527358</v>
          </cell>
        </row>
        <row r="17">
          <cell r="I17">
            <v>800004163</v>
          </cell>
          <cell r="J17" t="str">
            <v>INSTITUCION EDUCATIVA ANAIME</v>
          </cell>
          <cell r="K17">
            <v>41367513</v>
          </cell>
        </row>
        <row r="18">
          <cell r="I18">
            <v>800004220</v>
          </cell>
          <cell r="J18" t="str">
            <v>INSTITUCION EDUCATIVA AGROPECUARIA SANTA ANA</v>
          </cell>
          <cell r="K18">
            <v>53128475</v>
          </cell>
        </row>
        <row r="19">
          <cell r="I19">
            <v>800004328</v>
          </cell>
          <cell r="J19" t="str">
            <v>INST EDUCATIVA JOSE M CARBONELL</v>
          </cell>
          <cell r="K19">
            <v>37890656</v>
          </cell>
        </row>
        <row r="20">
          <cell r="I20">
            <v>800004400</v>
          </cell>
          <cell r="J20" t="str">
            <v>FONDOS DE SERVICIOS EDUCATIVOS INSTITUCIòN EDUCATIVA TèCNICA FELISA SUàREZ DE ORTIZ</v>
          </cell>
          <cell r="K20">
            <v>49042580</v>
          </cell>
        </row>
        <row r="21">
          <cell r="I21">
            <v>800004569</v>
          </cell>
          <cell r="J21" t="str">
            <v>Institución Educativa Llanadas</v>
          </cell>
          <cell r="K21">
            <v>37570715</v>
          </cell>
        </row>
        <row r="22">
          <cell r="I22">
            <v>800004589</v>
          </cell>
          <cell r="J22" t="str">
            <v>Institucion Educativa Bonafont</v>
          </cell>
          <cell r="K22">
            <v>61121847</v>
          </cell>
        </row>
        <row r="23">
          <cell r="I23">
            <v>800004624</v>
          </cell>
          <cell r="J23" t="str">
            <v>INSTITUCION EDUCATIVA POLICARPA SALAVARRIETA</v>
          </cell>
          <cell r="K23">
            <v>129152487</v>
          </cell>
        </row>
        <row r="24">
          <cell r="I24">
            <v>800004741</v>
          </cell>
          <cell r="J24" t="str">
            <v>MUNICIPIO DE INZA</v>
          </cell>
          <cell r="K24">
            <v>432935713</v>
          </cell>
        </row>
        <row r="25">
          <cell r="I25">
            <v>800005292</v>
          </cell>
          <cell r="J25" t="str">
            <v>MUNICIPIO DE HERRAN</v>
          </cell>
          <cell r="K25">
            <v>22605170</v>
          </cell>
        </row>
        <row r="26">
          <cell r="I26">
            <v>800005349</v>
          </cell>
          <cell r="J26" t="str">
            <v>COLEGIO MAIPORE</v>
          </cell>
          <cell r="K26">
            <v>174431738</v>
          </cell>
        </row>
        <row r="27">
          <cell r="I27">
            <v>800005425</v>
          </cell>
          <cell r="J27" t="str">
            <v>INSTITUCION EDUCATIVA SIMON BOLIVAR- GRATUIDAD</v>
          </cell>
          <cell r="K27">
            <v>68750824</v>
          </cell>
        </row>
        <row r="28">
          <cell r="I28">
            <v>800005547</v>
          </cell>
          <cell r="J28" t="str">
            <v>INSTITUTO INTEGRADO FRANCISCO SERRANO MUÑOZ</v>
          </cell>
          <cell r="K28">
            <v>205760538</v>
          </cell>
        </row>
        <row r="29">
          <cell r="I29">
            <v>800005883</v>
          </cell>
          <cell r="J29" t="str">
            <v>INSTITUCION EDUCATIVA TECNICA MARCO FIDEL SUAREZ</v>
          </cell>
          <cell r="K29">
            <v>64249256</v>
          </cell>
        </row>
        <row r="30">
          <cell r="I30">
            <v>800006095</v>
          </cell>
          <cell r="J30" t="str">
            <v>INSTITUCION EDUCATIVA TECNICA PEDRO PABON PARGA</v>
          </cell>
          <cell r="K30">
            <v>155836139</v>
          </cell>
        </row>
        <row r="31">
          <cell r="I31">
            <v>800006480</v>
          </cell>
          <cell r="J31" t="str">
            <v>COLEGIO MIGUEL ANTONIO CARO</v>
          </cell>
          <cell r="K31">
            <v>72870769</v>
          </cell>
        </row>
        <row r="32">
          <cell r="I32">
            <v>800006541</v>
          </cell>
          <cell r="J32" t="str">
            <v>MUNICIPIO DE LA VICTORIA</v>
          </cell>
          <cell r="K32">
            <v>14725270</v>
          </cell>
        </row>
        <row r="33">
          <cell r="I33">
            <v>800006549</v>
          </cell>
          <cell r="J33" t="str">
            <v>FONDO DE SERVICIOS EDUCATIVOS</v>
          </cell>
          <cell r="K33">
            <v>125683067</v>
          </cell>
        </row>
        <row r="34">
          <cell r="I34">
            <v>800006743</v>
          </cell>
          <cell r="J34" t="str">
            <v>FONDO DE SERVICIOS EDUCATIVOS INSTITUCION EDUCATIVA ANTONIA SANTOS DOLORES TOLIMA</v>
          </cell>
          <cell r="K34">
            <v>58641752</v>
          </cell>
        </row>
        <row r="35">
          <cell r="I35">
            <v>800006889</v>
          </cell>
          <cell r="J35" t="str">
            <v>INSTITUTO AGRICOLA CAMACHO ANGARITA</v>
          </cell>
          <cell r="K35">
            <v>84191066</v>
          </cell>
        </row>
        <row r="36">
          <cell r="I36">
            <v>800007117</v>
          </cell>
          <cell r="J36" t="str">
            <v>INSTITUCION EDUCATIVA SOR JOSEFA DEL CASTILLO</v>
          </cell>
          <cell r="K36">
            <v>50212154</v>
          </cell>
        </row>
        <row r="37">
          <cell r="I37">
            <v>800007206</v>
          </cell>
          <cell r="J37" t="str">
            <v>Fondo de Servicio Educativo IED Taganga</v>
          </cell>
          <cell r="K37">
            <v>37875965</v>
          </cell>
        </row>
        <row r="38">
          <cell r="I38">
            <v>800007216</v>
          </cell>
          <cell r="J38" t="str">
            <v>INSTITUCION EDUCATIVA TECNICA CARLOS BLANCO NASSAR</v>
          </cell>
          <cell r="K38">
            <v>76290446</v>
          </cell>
        </row>
        <row r="39">
          <cell r="I39">
            <v>800007382</v>
          </cell>
          <cell r="J39" t="str">
            <v>INSTITUCIO EDUCATIVA DEPARTAMENTAL FIDEL CANO</v>
          </cell>
          <cell r="K39">
            <v>57409513</v>
          </cell>
        </row>
        <row r="40">
          <cell r="I40">
            <v>800007652</v>
          </cell>
          <cell r="J40" t="str">
            <v>MUNICIPIO DE PAMPLONA</v>
          </cell>
          <cell r="K40">
            <v>413920395</v>
          </cell>
        </row>
        <row r="41">
          <cell r="I41">
            <v>800007805</v>
          </cell>
          <cell r="J41" t="str">
            <v>FONDO DE SERVICIOS EDUCATIVOS</v>
          </cell>
          <cell r="K41">
            <v>22708531</v>
          </cell>
        </row>
        <row r="42">
          <cell r="I42">
            <v>800008042</v>
          </cell>
          <cell r="J42" t="str">
            <v>COLEGIO LUCAS CABALLERO</v>
          </cell>
          <cell r="K42">
            <v>54772206</v>
          </cell>
        </row>
        <row r="43">
          <cell r="I43">
            <v>800008056</v>
          </cell>
          <cell r="J43" t="str">
            <v>FONDO DE SERVICIOS EDUCATIVOS</v>
          </cell>
          <cell r="K43">
            <v>34071482</v>
          </cell>
        </row>
        <row r="44">
          <cell r="I44">
            <v>800008167</v>
          </cell>
          <cell r="J44" t="str">
            <v>Fondo de servicios Docentes</v>
          </cell>
          <cell r="K44">
            <v>125377258</v>
          </cell>
        </row>
        <row r="45">
          <cell r="I45">
            <v>800008208</v>
          </cell>
          <cell r="J45" t="str">
            <v>FONDO DE SERVICIOS EDUCATIVOS</v>
          </cell>
          <cell r="K45">
            <v>158281717</v>
          </cell>
        </row>
        <row r="46">
          <cell r="I46">
            <v>800008379</v>
          </cell>
          <cell r="J46" t="str">
            <v>FONDO DE SERVICIOS EDUCATIVOS</v>
          </cell>
          <cell r="K46">
            <v>29600446</v>
          </cell>
        </row>
        <row r="47">
          <cell r="I47">
            <v>800008456</v>
          </cell>
          <cell r="J47" t="str">
            <v>MUNICIPIO DE MANI</v>
          </cell>
          <cell r="K47">
            <v>129320261</v>
          </cell>
        </row>
        <row r="48">
          <cell r="I48">
            <v>800008556</v>
          </cell>
          <cell r="J48" t="str">
            <v>INSTITUCION EDUCATIVA JUAN BAUTISTA MIGANI</v>
          </cell>
          <cell r="K48">
            <v>82767994</v>
          </cell>
        </row>
        <row r="49">
          <cell r="I49">
            <v>800009590</v>
          </cell>
          <cell r="J49" t="str">
            <v>INSTITUCION EDUCATIVA DEPARTAMENTAL JOSE HUGO ENCISO</v>
          </cell>
          <cell r="K49">
            <v>21523071</v>
          </cell>
        </row>
        <row r="50">
          <cell r="I50">
            <v>800009921</v>
          </cell>
          <cell r="J50" t="str">
            <v>INSTITUCION EDUCATIVA MUNICIPAL CENTRO DE INTEGRACION POPULAR</v>
          </cell>
          <cell r="K50">
            <v>47945578</v>
          </cell>
        </row>
        <row r="51">
          <cell r="I51">
            <v>800010009</v>
          </cell>
          <cell r="J51" t="str">
            <v>FONDOS DE SERVICIOS EDUCATIVOS INSTITUCION EDUCATIVA SAN LUIS GONZAGA DE SAN LUIS TOLIMA</v>
          </cell>
          <cell r="K51">
            <v>75848210</v>
          </cell>
        </row>
        <row r="52">
          <cell r="I52">
            <v>800010350</v>
          </cell>
          <cell r="J52" t="str">
            <v>MUNICIPIO MURILLO</v>
          </cell>
          <cell r="K52">
            <v>48132840</v>
          </cell>
        </row>
        <row r="53">
          <cell r="I53">
            <v>800010389</v>
          </cell>
          <cell r="J53" t="str">
            <v>FONDO DE SERVICIOS EDUCATIVOS</v>
          </cell>
          <cell r="K53">
            <v>21986121</v>
          </cell>
        </row>
        <row r="54">
          <cell r="I54">
            <v>800010470</v>
          </cell>
          <cell r="J54" t="str">
            <v>Colegio Teniente Cruz Paredes</v>
          </cell>
          <cell r="K54">
            <v>85842002</v>
          </cell>
        </row>
        <row r="55">
          <cell r="I55">
            <v>800010624</v>
          </cell>
          <cell r="J55" t="str">
            <v>INTITUTO SAN VICENTE DE PAUL</v>
          </cell>
          <cell r="K55">
            <v>48110137</v>
          </cell>
        </row>
        <row r="56">
          <cell r="I56">
            <v>800010710</v>
          </cell>
          <cell r="J56" t="str">
            <v>FONDO DE SERVICIOS EDUCATIVOS I. E. ANTONIO NARIÑO PLANADAS TOLIMA</v>
          </cell>
          <cell r="K56">
            <v>109972533</v>
          </cell>
        </row>
        <row r="57">
          <cell r="I57">
            <v>800010818</v>
          </cell>
          <cell r="J57" t="str">
            <v>INSTITUCION EDUCATIVA ANTONIO MARIA HINCAPIE</v>
          </cell>
          <cell r="K57">
            <v>40028595</v>
          </cell>
        </row>
        <row r="58">
          <cell r="I58">
            <v>800011076</v>
          </cell>
          <cell r="J58" t="str">
            <v>FONDO DE SERVICIOS EDUCATIVOS</v>
          </cell>
          <cell r="K58">
            <v>68333495</v>
          </cell>
        </row>
        <row r="59">
          <cell r="I59">
            <v>800011145</v>
          </cell>
          <cell r="J59" t="str">
            <v>FONDO DE SERVICIOS EDUCATIVOS IED JOSE MARTI</v>
          </cell>
          <cell r="K59">
            <v>156062234</v>
          </cell>
        </row>
        <row r="60">
          <cell r="I60">
            <v>800011271</v>
          </cell>
          <cell r="J60" t="str">
            <v>MUNICIPIO DE GUATAQUI</v>
          </cell>
          <cell r="K60">
            <v>32183242</v>
          </cell>
        </row>
        <row r="61">
          <cell r="I61">
            <v>800011333</v>
          </cell>
          <cell r="J61" t="str">
            <v>INSTITUCION EDUCATIVA SAN SEBASTIAN  DE YASCUAL</v>
          </cell>
          <cell r="K61">
            <v>72078694</v>
          </cell>
        </row>
        <row r="62">
          <cell r="I62">
            <v>800011342</v>
          </cell>
          <cell r="J62" t="str">
            <v>Institucion Educativa Filadelfia</v>
          </cell>
          <cell r="K62">
            <v>51239701</v>
          </cell>
        </row>
        <row r="63">
          <cell r="I63">
            <v>800011365</v>
          </cell>
          <cell r="J63" t="str">
            <v>Institución Educativa Humberto Tafur</v>
          </cell>
          <cell r="K63">
            <v>142343449</v>
          </cell>
        </row>
        <row r="64">
          <cell r="I64">
            <v>800011385</v>
          </cell>
          <cell r="J64" t="str">
            <v>FONDO DE SERVICIOS EDUCATIVOS</v>
          </cell>
          <cell r="K64">
            <v>25153838</v>
          </cell>
        </row>
        <row r="65">
          <cell r="I65">
            <v>800011649</v>
          </cell>
          <cell r="J65" t="str">
            <v>INSTIRUCION EDUCATIVA GENERAL SANTANDER</v>
          </cell>
          <cell r="K65">
            <v>96425768</v>
          </cell>
        </row>
        <row r="66">
          <cell r="I66">
            <v>800011654</v>
          </cell>
          <cell r="J66" t="str">
            <v>FONDO DE SERVICIOS EDUCATIVOS COLEGIO FRAY</v>
          </cell>
          <cell r="K66">
            <v>47163582</v>
          </cell>
        </row>
        <row r="67">
          <cell r="I67">
            <v>800011665</v>
          </cell>
          <cell r="J67" t="str">
            <v>INSTITUCION EDUCATIVA SIMON BOLIVAR</v>
          </cell>
          <cell r="K67">
            <v>147922536</v>
          </cell>
        </row>
        <row r="68">
          <cell r="I68">
            <v>800011848</v>
          </cell>
          <cell r="J68" t="str">
            <v>INSTITUCION EDUCATIVA LA MARIELA</v>
          </cell>
          <cell r="K68">
            <v>17229307</v>
          </cell>
        </row>
        <row r="69">
          <cell r="I69">
            <v>800011981</v>
          </cell>
          <cell r="J69" t="str">
            <v>GENERAL ENRIQUE CAICEDO</v>
          </cell>
          <cell r="K69">
            <v>71765958</v>
          </cell>
        </row>
        <row r="70">
          <cell r="I70">
            <v>800012035</v>
          </cell>
          <cell r="J70" t="str">
            <v>FONDO DE SERVICIOS EDUCATIVOS IED AGROPECUARIO LA SIERRA</v>
          </cell>
          <cell r="K70">
            <v>28542959</v>
          </cell>
        </row>
        <row r="71">
          <cell r="I71">
            <v>800012105</v>
          </cell>
          <cell r="J71" t="str">
            <v>FONDO DE SERVICIOS EDUCATIVOS</v>
          </cell>
          <cell r="K71">
            <v>305658552</v>
          </cell>
        </row>
        <row r="72">
          <cell r="I72">
            <v>800012226</v>
          </cell>
          <cell r="J72" t="str">
            <v>FONDO DE SERVICIOS EDUCATIVOS</v>
          </cell>
          <cell r="K72">
            <v>51045735</v>
          </cell>
        </row>
        <row r="73">
          <cell r="I73">
            <v>800012286</v>
          </cell>
          <cell r="J73" t="str">
            <v>IED DE CAQUEZA</v>
          </cell>
          <cell r="K73">
            <v>122808416</v>
          </cell>
        </row>
        <row r="74">
          <cell r="I74">
            <v>800012346</v>
          </cell>
          <cell r="J74" t="str">
            <v>ESCUELA NORMAL SUPERIOR DE GACHETA</v>
          </cell>
          <cell r="K74">
            <v>56510357</v>
          </cell>
        </row>
        <row r="75">
          <cell r="I75">
            <v>800012461</v>
          </cell>
          <cell r="J75" t="str">
            <v>FONDO SERVICIOS EDUCATIVOS INSTITUCION EDUCATIVA TECNICA COMERCIAL CALDAS</v>
          </cell>
          <cell r="K75">
            <v>151274581</v>
          </cell>
        </row>
        <row r="76">
          <cell r="I76">
            <v>800012623</v>
          </cell>
          <cell r="J76" t="str">
            <v>FONDO DE SERVICIOS EDUCATIVOS INSTITUCION EDUCATI8VA TECNICO AGROPECUARIO LA ESMERALDA</v>
          </cell>
          <cell r="K76">
            <v>36532003</v>
          </cell>
        </row>
        <row r="77">
          <cell r="I77">
            <v>800012628</v>
          </cell>
          <cell r="J77" t="str">
            <v>MUNICIPIO DE PANQUEBA</v>
          </cell>
          <cell r="K77">
            <v>20671651</v>
          </cell>
        </row>
        <row r="78">
          <cell r="I78">
            <v>800012631</v>
          </cell>
          <cell r="J78" t="str">
            <v>MUNICIPIO DE GUACAMAYAS</v>
          </cell>
          <cell r="K78">
            <v>18726715</v>
          </cell>
        </row>
        <row r="79">
          <cell r="I79">
            <v>800012635</v>
          </cell>
          <cell r="J79" t="str">
            <v>MUNICIPIO DE TOTA</v>
          </cell>
          <cell r="K79">
            <v>75001535</v>
          </cell>
        </row>
        <row r="80">
          <cell r="I80">
            <v>800012638</v>
          </cell>
          <cell r="J80" t="str">
            <v>MUNICIPIO HATO COROZAL</v>
          </cell>
          <cell r="K80">
            <v>183139810</v>
          </cell>
        </row>
        <row r="81">
          <cell r="I81">
            <v>800012640</v>
          </cell>
          <cell r="J81" t="str">
            <v>COLEGIO INTEGRADO FRAY NEPOMUCENO RAMOS</v>
          </cell>
          <cell r="K81">
            <v>128404993</v>
          </cell>
        </row>
        <row r="82">
          <cell r="I82">
            <v>800012743</v>
          </cell>
          <cell r="J82" t="str">
            <v>FONDOS DE SERVICIOS EDUCATIVOS INSTITUCION EDUCATIVA CRISTOBAL COLON</v>
          </cell>
          <cell r="K82">
            <v>87998125</v>
          </cell>
        </row>
        <row r="83">
          <cell r="I83">
            <v>800012771</v>
          </cell>
          <cell r="J83" t="str">
            <v>ESCUELA INDUSTRIAL 20 DE JULIO</v>
          </cell>
          <cell r="K83">
            <v>169492644</v>
          </cell>
        </row>
        <row r="84">
          <cell r="I84">
            <v>800012873</v>
          </cell>
          <cell r="J84" t="str">
            <v>MUNICIPIO DE TAURAMENA</v>
          </cell>
          <cell r="K84">
            <v>209906326</v>
          </cell>
        </row>
        <row r="85">
          <cell r="I85">
            <v>800013237</v>
          </cell>
          <cell r="J85" t="str">
            <v>MUNICIPIO DE CUCUTILLA</v>
          </cell>
          <cell r="K85">
            <v>95843412</v>
          </cell>
        </row>
        <row r="86">
          <cell r="I86">
            <v>800013683</v>
          </cell>
          <cell r="J86" t="str">
            <v>MUNICIPIO DE GUATEQUE</v>
          </cell>
          <cell r="K86">
            <v>98518203</v>
          </cell>
        </row>
        <row r="87">
          <cell r="I87">
            <v>800014311</v>
          </cell>
          <cell r="J87" t="str">
            <v>INSTITUCIÓN EDUCATIVA TECNICA LEPANTO</v>
          </cell>
          <cell r="K87">
            <v>52699448</v>
          </cell>
        </row>
        <row r="88">
          <cell r="I88">
            <v>800014434</v>
          </cell>
          <cell r="J88" t="str">
            <v>MUNICIPIO CRAVO NORTE</v>
          </cell>
          <cell r="K88">
            <v>43153194</v>
          </cell>
        </row>
        <row r="89">
          <cell r="I89">
            <v>800014626</v>
          </cell>
          <cell r="J89" t="str">
            <v>INSTITUCION EDUCATIVA TECNICA NICOLAS RAMIREZ</v>
          </cell>
          <cell r="K89">
            <v>103004730</v>
          </cell>
        </row>
        <row r="90">
          <cell r="I90">
            <v>800014649</v>
          </cell>
          <cell r="J90" t="str">
            <v>FONDO SERVICIOS EDUCATIVOS PABLO SEXTO</v>
          </cell>
          <cell r="K90">
            <v>64594576</v>
          </cell>
        </row>
        <row r="91">
          <cell r="I91">
            <v>800014900</v>
          </cell>
          <cell r="J91" t="str">
            <v>INSTITUCION EDUCATIVA ZULDEMAYDA</v>
          </cell>
          <cell r="K91">
            <v>34923622</v>
          </cell>
        </row>
        <row r="92">
          <cell r="I92">
            <v>800014989</v>
          </cell>
          <cell r="J92" t="str">
            <v>MUNICIPIO DE CHIVATA</v>
          </cell>
          <cell r="K92">
            <v>27151383</v>
          </cell>
        </row>
        <row r="93">
          <cell r="I93">
            <v>800015327</v>
          </cell>
          <cell r="J93" t="str">
            <v>INSTITUCION EDUCATIVA JOSE ASUNCION SILVA</v>
          </cell>
          <cell r="K93">
            <v>68230272</v>
          </cell>
        </row>
        <row r="94">
          <cell r="I94">
            <v>800015689</v>
          </cell>
          <cell r="J94" t="str">
            <v>MUNICIPIO DE GUACHUCAL</v>
          </cell>
          <cell r="K94">
            <v>189313810</v>
          </cell>
        </row>
        <row r="95">
          <cell r="I95">
            <v>800015909</v>
          </cell>
          <cell r="J95" t="str">
            <v>MUNICIPIO DE SORACA</v>
          </cell>
          <cell r="K95">
            <v>75139022</v>
          </cell>
        </row>
        <row r="96">
          <cell r="I96">
            <v>800016033</v>
          </cell>
          <cell r="J96" t="str">
            <v>COLEGIO  INTEGRADO</v>
          </cell>
          <cell r="K96">
            <v>154474782</v>
          </cell>
        </row>
        <row r="97">
          <cell r="I97">
            <v>800016064</v>
          </cell>
          <cell r="J97" t="str">
            <v>Institución Educativa Diego Hernandez de Gallego</v>
          </cell>
          <cell r="K97">
            <v>170273136</v>
          </cell>
        </row>
        <row r="98">
          <cell r="I98">
            <v>800016088</v>
          </cell>
          <cell r="J98" t="str">
            <v>INSTITUCIÓN EDUCATIVA TECNICA LA ARADA-FONDO DE SERVICIOS EDUCATIVOS</v>
          </cell>
          <cell r="K98">
            <v>24041203</v>
          </cell>
        </row>
        <row r="99">
          <cell r="I99">
            <v>800016136</v>
          </cell>
          <cell r="J99" t="str">
            <v>IE CIUDADELA EDUCATIVA EMPRESARIAL CUYABRA</v>
          </cell>
          <cell r="K99">
            <v>60519079</v>
          </cell>
        </row>
        <row r="100">
          <cell r="I100">
            <v>800016286</v>
          </cell>
          <cell r="J100" t="str">
            <v>FONDO DE SERVICIOS DOCENTES COL MARIA AUXILIADORA</v>
          </cell>
          <cell r="K100">
            <v>40286254</v>
          </cell>
        </row>
        <row r="101">
          <cell r="I101">
            <v>800016864</v>
          </cell>
          <cell r="J101" t="str">
            <v>FONDO DE SERVICIOS EDUCATIVOS</v>
          </cell>
          <cell r="K101">
            <v>217479101</v>
          </cell>
        </row>
        <row r="102">
          <cell r="I102">
            <v>800016942</v>
          </cell>
          <cell r="J102" t="str">
            <v>FSE</v>
          </cell>
          <cell r="K102">
            <v>98347353</v>
          </cell>
        </row>
        <row r="103">
          <cell r="I103">
            <v>800016996</v>
          </cell>
          <cell r="J103" t="str">
            <v>FONDO DE SERVICIOS EDUCATIVOS</v>
          </cell>
          <cell r="K103">
            <v>34892567</v>
          </cell>
        </row>
        <row r="104">
          <cell r="I104">
            <v>800017022</v>
          </cell>
          <cell r="J104" t="str">
            <v>MUNICIPIO DE TEORAMA</v>
          </cell>
          <cell r="K104">
            <v>223362846</v>
          </cell>
        </row>
        <row r="105">
          <cell r="I105">
            <v>800017052</v>
          </cell>
          <cell r="J105" t="str">
            <v>INSTITUCION EDUCATIVA TECNICA CAMILA MOLANO</v>
          </cell>
          <cell r="K105">
            <v>55018891</v>
          </cell>
        </row>
        <row r="106">
          <cell r="I106">
            <v>800017288</v>
          </cell>
          <cell r="J106" t="str">
            <v>MUNICIPIO DE BETEITIVA</v>
          </cell>
          <cell r="K106">
            <v>23165429</v>
          </cell>
        </row>
        <row r="107">
          <cell r="I107">
            <v>800017806</v>
          </cell>
          <cell r="J107" t="str">
            <v>INSTITUCION EDUCATIVA  JOSE MARIA  OBANDO</v>
          </cell>
          <cell r="K107">
            <v>74178950</v>
          </cell>
        </row>
        <row r="108">
          <cell r="I108">
            <v>800017926</v>
          </cell>
          <cell r="J108" t="str">
            <v>F.S.E INSTITUCION EDUCATIVA SEGUNDO HENAO</v>
          </cell>
          <cell r="K108">
            <v>48788297</v>
          </cell>
        </row>
        <row r="109">
          <cell r="I109">
            <v>800018246</v>
          </cell>
          <cell r="J109" t="str">
            <v>INSTITUCION EDUCATIVA DISTRITAL JUAN EVANGELISTA GOMEZ</v>
          </cell>
          <cell r="K109">
            <v>135238293</v>
          </cell>
        </row>
        <row r="110">
          <cell r="I110">
            <v>800018650</v>
          </cell>
          <cell r="J110" t="str">
            <v>MUNICIPIO DE COLON</v>
          </cell>
          <cell r="K110">
            <v>49281190</v>
          </cell>
        </row>
        <row r="111">
          <cell r="I111">
            <v>800018689</v>
          </cell>
          <cell r="J111" t="str">
            <v>MUNICIPIO DE TIBACUY</v>
          </cell>
          <cell r="K111">
            <v>39293751</v>
          </cell>
        </row>
        <row r="112">
          <cell r="I112">
            <v>800018755</v>
          </cell>
          <cell r="J112" t="str">
            <v>FONDO DE SERVICIOS EDUCATIVOS COLEGIO HESTOR JULIO GOMEZ</v>
          </cell>
          <cell r="K112">
            <v>55645840</v>
          </cell>
        </row>
        <row r="113">
          <cell r="I113">
            <v>800018761</v>
          </cell>
          <cell r="J113" t="str">
            <v>INSTITUCION EDUCATIVA EXALUMNAS DE LA PRESENTACION</v>
          </cell>
          <cell r="K113">
            <v>102808093</v>
          </cell>
        </row>
        <row r="114">
          <cell r="I114">
            <v>800018809</v>
          </cell>
          <cell r="J114" t="str">
            <v>INS. EDUC. COL. BASICO FRANCISCO DE PAULA S.</v>
          </cell>
          <cell r="K114">
            <v>71341865</v>
          </cell>
        </row>
        <row r="115">
          <cell r="I115">
            <v>800018863</v>
          </cell>
          <cell r="J115" t="str">
            <v>Fondos de Servicio Educativos IED Madre Laura</v>
          </cell>
          <cell r="K115">
            <v>98447579</v>
          </cell>
        </row>
        <row r="116">
          <cell r="I116">
            <v>800019111</v>
          </cell>
          <cell r="J116" t="str">
            <v>MUNICIPIO DE LEIVA</v>
          </cell>
          <cell r="K116">
            <v>129575852</v>
          </cell>
        </row>
        <row r="117">
          <cell r="I117">
            <v>800019112</v>
          </cell>
          <cell r="J117" t="str">
            <v>MUNICIPIO DE LOS ANDES</v>
          </cell>
          <cell r="K117">
            <v>141049986</v>
          </cell>
        </row>
        <row r="118">
          <cell r="I118">
            <v>800019254</v>
          </cell>
          <cell r="J118" t="str">
            <v>MUNICIPIO DE SANTA LUCIA</v>
          </cell>
          <cell r="K118">
            <v>166268249</v>
          </cell>
        </row>
        <row r="119">
          <cell r="I119">
            <v>800019277</v>
          </cell>
          <cell r="J119" t="str">
            <v>MUNICIPIO DE SORA</v>
          </cell>
          <cell r="K119">
            <v>34047657</v>
          </cell>
        </row>
        <row r="120">
          <cell r="I120">
            <v>800019685</v>
          </cell>
          <cell r="J120" t="str">
            <v>MUNICIPIO DE SANTACRUZ GUACHAVES</v>
          </cell>
          <cell r="K120">
            <v>109700052</v>
          </cell>
        </row>
        <row r="121">
          <cell r="I121">
            <v>800019709</v>
          </cell>
          <cell r="J121" t="str">
            <v>MUNICIPIO DE TENZA</v>
          </cell>
          <cell r="K121">
            <v>36636810</v>
          </cell>
        </row>
        <row r="122">
          <cell r="I122">
            <v>800019816</v>
          </cell>
          <cell r="J122" t="str">
            <v>MUNICIPIO  DE COLON GENOVA NARIÑO</v>
          </cell>
          <cell r="K122">
            <v>99785252</v>
          </cell>
        </row>
        <row r="123">
          <cell r="I123">
            <v>800019846</v>
          </cell>
          <cell r="J123" t="str">
            <v>MUNICIPIO DE SACHICA</v>
          </cell>
          <cell r="K123">
            <v>37137569</v>
          </cell>
        </row>
        <row r="124">
          <cell r="I124">
            <v>800020045</v>
          </cell>
          <cell r="J124" t="str">
            <v>MUNICIPIO DE GACHANTIVA</v>
          </cell>
          <cell r="K124">
            <v>45429328</v>
          </cell>
        </row>
        <row r="125">
          <cell r="I125">
            <v>800020594</v>
          </cell>
          <cell r="J125" t="str">
            <v>IE GABRIELA MISTRAL</v>
          </cell>
          <cell r="K125">
            <v>58679338</v>
          </cell>
        </row>
        <row r="126">
          <cell r="I126">
            <v>800020733</v>
          </cell>
          <cell r="J126" t="str">
            <v>MUNICIPIO DE SANTANA</v>
          </cell>
          <cell r="K126">
            <v>78427559</v>
          </cell>
        </row>
        <row r="127">
          <cell r="I127">
            <v>800021335</v>
          </cell>
          <cell r="J127" t="str">
            <v>FONDO DE SERVICIOS EDUCATIVOS</v>
          </cell>
          <cell r="K127">
            <v>21002312</v>
          </cell>
        </row>
        <row r="128">
          <cell r="I128">
            <v>800021571</v>
          </cell>
          <cell r="J128" t="str">
            <v>INSTITUCION EDUCATIVA MALTERIA</v>
          </cell>
          <cell r="K128">
            <v>27362807</v>
          </cell>
        </row>
        <row r="129">
          <cell r="I129">
            <v>800022360</v>
          </cell>
          <cell r="J129" t="str">
            <v>INSTITUCION EDUCATIVA CHICAMOCHA</v>
          </cell>
          <cell r="K129">
            <v>57880261</v>
          </cell>
        </row>
        <row r="130">
          <cell r="I130">
            <v>800022618</v>
          </cell>
          <cell r="J130" t="str">
            <v>MUNICIPIO SAN JOSE DE LA MONTAÑA</v>
          </cell>
          <cell r="K130">
            <v>28888034</v>
          </cell>
        </row>
        <row r="131">
          <cell r="I131">
            <v>800022791</v>
          </cell>
          <cell r="J131" t="str">
            <v>MUNICIPIO DE SAN FRANCISCO</v>
          </cell>
          <cell r="K131">
            <v>55639395</v>
          </cell>
        </row>
        <row r="132">
          <cell r="I132">
            <v>800022838</v>
          </cell>
          <cell r="J132" t="str">
            <v>INSTITUCION EDUCATIVA TECNICA PABLO VI</v>
          </cell>
          <cell r="K132">
            <v>78729830</v>
          </cell>
        </row>
        <row r="133">
          <cell r="I133">
            <v>800022939</v>
          </cell>
          <cell r="J133" t="str">
            <v>INSTITUCION EDUCATIVA SAN JOSE DE ORITO</v>
          </cell>
          <cell r="K133">
            <v>231600017</v>
          </cell>
        </row>
        <row r="134">
          <cell r="I134">
            <v>800023383</v>
          </cell>
          <cell r="J134" t="str">
            <v>MUNICIPIO DE BOYACA</v>
          </cell>
          <cell r="K134">
            <v>55367704</v>
          </cell>
        </row>
        <row r="135">
          <cell r="I135">
            <v>800023951</v>
          </cell>
          <cell r="J135" t="str">
            <v>IE LA POPA FONDO DE SERVICIOS EDUCATIVOS</v>
          </cell>
          <cell r="K135">
            <v>45012199</v>
          </cell>
        </row>
        <row r="136">
          <cell r="I136">
            <v>800024418</v>
          </cell>
          <cell r="J136" t="str">
            <v>INSTITUTO  NACIONALIZADO SAN LUIS</v>
          </cell>
          <cell r="K136">
            <v>102338225</v>
          </cell>
        </row>
        <row r="137">
          <cell r="I137">
            <v>800024433</v>
          </cell>
          <cell r="J137" t="str">
            <v>INSTITUCION EDUCATIVA FORTUNATO GAVIRIA BOTERO</v>
          </cell>
          <cell r="K137">
            <v>43739222</v>
          </cell>
        </row>
        <row r="138">
          <cell r="I138">
            <v>800024492</v>
          </cell>
          <cell r="J138" t="str">
            <v>INSTITUCION EDUCATIVA CIUDAD FLORIDA</v>
          </cell>
          <cell r="K138">
            <v>146557666</v>
          </cell>
        </row>
        <row r="139">
          <cell r="I139">
            <v>800024789</v>
          </cell>
          <cell r="J139" t="str">
            <v>MUNICIPIO DE MARIPI</v>
          </cell>
          <cell r="K139">
            <v>89684588</v>
          </cell>
        </row>
        <row r="140">
          <cell r="I140">
            <v>800024815</v>
          </cell>
          <cell r="J140" t="str">
            <v>INSTITUCION EDUCATIVA ANTONIO NARIÑO</v>
          </cell>
          <cell r="K140">
            <v>55360795</v>
          </cell>
        </row>
        <row r="141">
          <cell r="I141">
            <v>800024818</v>
          </cell>
          <cell r="J141" t="str">
            <v>FONDO DE SERVICIOS EDUCATIVOS</v>
          </cell>
          <cell r="K141">
            <v>32624395</v>
          </cell>
        </row>
        <row r="142">
          <cell r="I142">
            <v>800024832</v>
          </cell>
          <cell r="J142" t="str">
            <v>INSTITUCION EDUCATIVA TECNICO JACINTO VEGA</v>
          </cell>
          <cell r="K142">
            <v>49485917</v>
          </cell>
        </row>
        <row r="143">
          <cell r="I143">
            <v>800024902</v>
          </cell>
          <cell r="J143" t="str">
            <v>INSTITUCION EDUCATIVA MUNICIPAL JOSE ANTONIO GALAN</v>
          </cell>
          <cell r="K143">
            <v>41594393</v>
          </cell>
        </row>
        <row r="144">
          <cell r="I144">
            <v>800024912</v>
          </cell>
          <cell r="J144" t="str">
            <v>LAS AMERICAS FONDO DE SERVICIOS EDUCATIVOS</v>
          </cell>
          <cell r="K144">
            <v>126152794</v>
          </cell>
        </row>
        <row r="145">
          <cell r="I145">
            <v>800024977</v>
          </cell>
          <cell r="J145" t="str">
            <v>MUNICIPIO DE TAMINANGO</v>
          </cell>
          <cell r="K145">
            <v>196090377</v>
          </cell>
        </row>
        <row r="146">
          <cell r="I146">
            <v>800025035</v>
          </cell>
          <cell r="J146" t="str">
            <v>INSTITUCION EDUCATIVA SIMON BOLIVAR</v>
          </cell>
          <cell r="K146">
            <v>42358856</v>
          </cell>
        </row>
        <row r="147">
          <cell r="I147">
            <v>800025049</v>
          </cell>
          <cell r="J147" t="str">
            <v>INSTITUCION EDUCATIVA TECNICA OLAYA HERRERA</v>
          </cell>
          <cell r="K147">
            <v>65607213</v>
          </cell>
        </row>
        <row r="148">
          <cell r="I148">
            <v>800025142</v>
          </cell>
          <cell r="J148" t="str">
            <v>INSTITUCION EDUCATIVA COLEGIO JUAN PABLO II</v>
          </cell>
          <cell r="K148">
            <v>146226405</v>
          </cell>
        </row>
        <row r="149">
          <cell r="I149">
            <v>800025227</v>
          </cell>
          <cell r="J149" t="str">
            <v>INSTITUCION EDUCATIVA ALFONSO LOPEZ PUMAREJO</v>
          </cell>
          <cell r="K149">
            <v>183629832</v>
          </cell>
        </row>
        <row r="150">
          <cell r="I150">
            <v>800025311</v>
          </cell>
          <cell r="J150" t="str">
            <v>FONDO DE SERVICIOS EDUCATIVOS INSTITUCIòN EDUCATIVA TèCNICA PEREZ Y ALDANA</v>
          </cell>
          <cell r="K150">
            <v>173384707</v>
          </cell>
        </row>
        <row r="151">
          <cell r="I151">
            <v>800025527</v>
          </cell>
          <cell r="J151" t="str">
            <v>INSTITUTO OFICIAL AGRICOLA</v>
          </cell>
          <cell r="K151">
            <v>37415749</v>
          </cell>
        </row>
        <row r="152">
          <cell r="I152">
            <v>800025608</v>
          </cell>
          <cell r="J152" t="str">
            <v>MUNICIPIO DE GARAGOA</v>
          </cell>
          <cell r="K152">
            <v>153510665</v>
          </cell>
        </row>
        <row r="153">
          <cell r="I153">
            <v>800026156</v>
          </cell>
          <cell r="J153" t="str">
            <v>MUNICIPIO DE OICATA</v>
          </cell>
          <cell r="K153">
            <v>25506985</v>
          </cell>
        </row>
        <row r="154">
          <cell r="I154">
            <v>800026264</v>
          </cell>
          <cell r="J154" t="str">
            <v>institución educativa susana trochez de vivas</v>
          </cell>
          <cell r="K154">
            <v>38446960</v>
          </cell>
        </row>
        <row r="155">
          <cell r="I155">
            <v>800026368</v>
          </cell>
          <cell r="J155" t="str">
            <v>MUNICIPIO DE FLORESTA</v>
          </cell>
          <cell r="K155">
            <v>34174154</v>
          </cell>
        </row>
        <row r="156">
          <cell r="I156">
            <v>800026384</v>
          </cell>
          <cell r="J156" t="str">
            <v>FONDO DE SERVICIOS EDUCATIVOS</v>
          </cell>
          <cell r="K156">
            <v>24464600</v>
          </cell>
        </row>
        <row r="157">
          <cell r="I157">
            <v>800026588</v>
          </cell>
          <cell r="J157" t="str">
            <v>Intitucion Educativa Departamental Nocaima</v>
          </cell>
          <cell r="K157">
            <v>40518890</v>
          </cell>
        </row>
        <row r="158">
          <cell r="I158">
            <v>800026685</v>
          </cell>
          <cell r="J158" t="str">
            <v>MUNICIPIO DE SAN JACINTO DEPARTAMENTO DE BOLIVAR</v>
          </cell>
          <cell r="K158">
            <v>489609092</v>
          </cell>
        </row>
        <row r="159">
          <cell r="I159">
            <v>800026709</v>
          </cell>
          <cell r="J159" t="str">
            <v>FONDO DE SERVIVIOS EDUCATIVOS- INSTITUCIION EDUCATIVA TECNICA MARCO FIDEL SUAREZ</v>
          </cell>
          <cell r="K159">
            <v>46967277</v>
          </cell>
        </row>
        <row r="160">
          <cell r="I160">
            <v>800026887</v>
          </cell>
          <cell r="J160" t="str">
            <v>INSTITUCION EDUCATIVA ME SSA LONDOÑO</v>
          </cell>
          <cell r="K160">
            <v>15201838</v>
          </cell>
        </row>
        <row r="161">
          <cell r="I161">
            <v>800026939</v>
          </cell>
          <cell r="J161" t="str">
            <v>INSTITUCION EDUCATIVA SAN VICENTE</v>
          </cell>
          <cell r="K161">
            <v>148535364</v>
          </cell>
        </row>
        <row r="162">
          <cell r="I162">
            <v>800027263</v>
          </cell>
          <cell r="J162" t="str">
            <v>Colegio Integrado BLANCA Duran de Padilla</v>
          </cell>
          <cell r="K162">
            <v>154051595</v>
          </cell>
        </row>
        <row r="163">
          <cell r="I163">
            <v>800027292</v>
          </cell>
          <cell r="J163" t="str">
            <v>MUNICIPIO DE TUTA</v>
          </cell>
          <cell r="K163">
            <v>90313433</v>
          </cell>
        </row>
        <row r="164">
          <cell r="I164">
            <v>800027339</v>
          </cell>
          <cell r="J164" t="str">
            <v>INSTITUCION EDUCATIVA ANTONIO NARIÑO</v>
          </cell>
          <cell r="K164">
            <v>68312036</v>
          </cell>
        </row>
        <row r="165">
          <cell r="I165">
            <v>800027398</v>
          </cell>
          <cell r="J165" t="str">
            <v>ESCUELA NACIONAL DE COMERCIO</v>
          </cell>
          <cell r="K165">
            <v>105164070</v>
          </cell>
        </row>
        <row r="166">
          <cell r="I166">
            <v>800027580</v>
          </cell>
          <cell r="J166" t="str">
            <v>INSTITUCION EDUCATIVA MANUEL ELKIN PATARROYO</v>
          </cell>
          <cell r="K166">
            <v>132072151</v>
          </cell>
        </row>
        <row r="167">
          <cell r="I167">
            <v>800027648</v>
          </cell>
          <cell r="J167" t="str">
            <v>Institución Educativa Luis Patrón Rosano</v>
          </cell>
          <cell r="K167">
            <v>156230349</v>
          </cell>
        </row>
        <row r="168">
          <cell r="I168">
            <v>800027752</v>
          </cell>
          <cell r="J168" t="str">
            <v>INSTITUTO TECNICO INDUSTRIAL FRANCISCO DE PAULA SANTANDER</v>
          </cell>
          <cell r="K168">
            <v>102585888</v>
          </cell>
        </row>
        <row r="169">
          <cell r="I169">
            <v>800027784</v>
          </cell>
          <cell r="J169" t="str">
            <v>ESCUELA NORMAL SUPERIOR DE MANIZALES</v>
          </cell>
          <cell r="K169">
            <v>147871706</v>
          </cell>
        </row>
        <row r="170">
          <cell r="I170">
            <v>800027823</v>
          </cell>
          <cell r="J170" t="str">
            <v>Institucion Educativa Ismael Contreras Meneses</v>
          </cell>
          <cell r="K170">
            <v>80462628</v>
          </cell>
        </row>
        <row r="171">
          <cell r="I171">
            <v>800028049</v>
          </cell>
          <cell r="J171" t="str">
            <v>INSTITUCION EDUCATIVA TECNICA JIMENEZ DE QUEZADA</v>
          </cell>
          <cell r="K171">
            <v>59188638</v>
          </cell>
        </row>
        <row r="172">
          <cell r="I172">
            <v>800028089</v>
          </cell>
          <cell r="J172" t="str">
            <v>FONDOS DE SERVICIOS EDUCATIVOS</v>
          </cell>
          <cell r="K172">
            <v>94096259</v>
          </cell>
        </row>
        <row r="173">
          <cell r="I173">
            <v>800028107</v>
          </cell>
          <cell r="J173" t="str">
            <v>FONDO DE SERVICIOS DOCENTES</v>
          </cell>
          <cell r="K173">
            <v>54644064</v>
          </cell>
        </row>
        <row r="174">
          <cell r="I174">
            <v>800028362</v>
          </cell>
          <cell r="J174" t="str">
            <v>FONDO DE SERVICIOS EDUCATIVOS INSTITUTO TECNICO FRANCISCO JOSE DE CALDAS</v>
          </cell>
          <cell r="K174">
            <v>50716873</v>
          </cell>
        </row>
        <row r="175">
          <cell r="I175">
            <v>800028393</v>
          </cell>
          <cell r="J175" t="str">
            <v>MUNICIPIO DE CAMPOHERMOSO</v>
          </cell>
          <cell r="K175">
            <v>34639213</v>
          </cell>
        </row>
        <row r="176">
          <cell r="I176">
            <v>800028432</v>
          </cell>
          <cell r="J176" t="str">
            <v>MUNICIPIO DE MAGANGUE   ALCALDIA MUNICIPAL</v>
          </cell>
          <cell r="K176">
            <v>42824806799</v>
          </cell>
        </row>
        <row r="177">
          <cell r="I177">
            <v>800028435</v>
          </cell>
          <cell r="J177" t="str">
            <v>institucion educata liborio mejia</v>
          </cell>
          <cell r="K177">
            <v>47287440</v>
          </cell>
        </row>
        <row r="178">
          <cell r="I178">
            <v>800028436</v>
          </cell>
          <cell r="J178" t="str">
            <v>MUNICIPIO DE TINJACA</v>
          </cell>
          <cell r="K178">
            <v>28112497</v>
          </cell>
        </row>
        <row r="179">
          <cell r="I179">
            <v>800028461</v>
          </cell>
          <cell r="J179" t="str">
            <v>MUNICIPIO DE PACHAVITA</v>
          </cell>
          <cell r="K179">
            <v>18074791</v>
          </cell>
        </row>
        <row r="180">
          <cell r="I180">
            <v>800028517</v>
          </cell>
          <cell r="J180" t="str">
            <v>MUNICIPIO DE SABOYA</v>
          </cell>
          <cell r="K180">
            <v>142569868</v>
          </cell>
        </row>
        <row r="181">
          <cell r="I181">
            <v>800028576</v>
          </cell>
          <cell r="J181" t="str">
            <v>MUNICIPIO DE SUTATENZA</v>
          </cell>
          <cell r="K181">
            <v>39449809</v>
          </cell>
        </row>
        <row r="182">
          <cell r="I182">
            <v>800028590</v>
          </cell>
          <cell r="J182" t="str">
            <v>ESCUELA NORMAL SUPERIOR DE CALDAS</v>
          </cell>
          <cell r="K182">
            <v>171281671</v>
          </cell>
        </row>
        <row r="183">
          <cell r="I183">
            <v>800028705</v>
          </cell>
          <cell r="J183" t="str">
            <v>I.E. Colegio Educacion Media de Patillal</v>
          </cell>
          <cell r="K183">
            <v>71384757</v>
          </cell>
        </row>
        <row r="184">
          <cell r="I184">
            <v>800029061</v>
          </cell>
          <cell r="J184" t="str">
            <v>INSTITUCION EDUCATIVA MARCO FIDEL SUAREZ</v>
          </cell>
          <cell r="K184">
            <v>57723281</v>
          </cell>
        </row>
        <row r="185">
          <cell r="I185">
            <v>800029202</v>
          </cell>
          <cell r="J185" t="str">
            <v>COLEGIO DEPARTAMENTAL AGROPECUARIO SANTA ROSA DE CUMBITARA</v>
          </cell>
          <cell r="K185">
            <v>52431334</v>
          </cell>
        </row>
        <row r="186">
          <cell r="I186">
            <v>800029321</v>
          </cell>
          <cell r="J186" t="str">
            <v>INSTITUCION EDUCATIVA PRESBITERO HORACIO GOMEZ GALLO</v>
          </cell>
          <cell r="K186">
            <v>65183242</v>
          </cell>
        </row>
        <row r="187">
          <cell r="I187">
            <v>800029382</v>
          </cell>
          <cell r="J187" t="str">
            <v>INSTITUCION EDUCATIVA TECNICA SUMPAZ</v>
          </cell>
          <cell r="K187">
            <v>269692537</v>
          </cell>
        </row>
        <row r="188">
          <cell r="I188">
            <v>800029386</v>
          </cell>
          <cell r="J188" t="str">
            <v>MUNICIPIO DE SANTA MARIA</v>
          </cell>
          <cell r="K188">
            <v>44265438</v>
          </cell>
        </row>
        <row r="189">
          <cell r="I189">
            <v>800029389</v>
          </cell>
          <cell r="J189" t="str">
            <v>Institucion Educativa Aguacatal</v>
          </cell>
          <cell r="K189">
            <v>23920318</v>
          </cell>
        </row>
        <row r="190">
          <cell r="I190">
            <v>800029408</v>
          </cell>
          <cell r="J190" t="str">
            <v>INSTITUCION EDUCATIVA INSTITUTO MISTRATO</v>
          </cell>
          <cell r="K190">
            <v>104242870</v>
          </cell>
        </row>
        <row r="191">
          <cell r="I191">
            <v>800029513</v>
          </cell>
          <cell r="J191" t="str">
            <v>MUNICIPIO DE QUIPAMA</v>
          </cell>
          <cell r="K191">
            <v>73309152</v>
          </cell>
        </row>
        <row r="192">
          <cell r="I192">
            <v>800029660</v>
          </cell>
          <cell r="J192" t="str">
            <v>MUNICIPIO DE MIRAFLORES</v>
          </cell>
          <cell r="K192">
            <v>82993050</v>
          </cell>
        </row>
        <row r="193">
          <cell r="I193">
            <v>800029687</v>
          </cell>
          <cell r="J193" t="str">
            <v>INSTITUCION EDUCATIVA SIMON BOLIVAR FONDO SERVICIOS EDUCATIVOS</v>
          </cell>
          <cell r="K193">
            <v>32184464</v>
          </cell>
        </row>
        <row r="194">
          <cell r="I194">
            <v>800029826</v>
          </cell>
          <cell r="J194" t="str">
            <v>MUNICIPIO DE SOMONDOCO</v>
          </cell>
          <cell r="K194">
            <v>35522872</v>
          </cell>
        </row>
        <row r="195">
          <cell r="I195">
            <v>800029838</v>
          </cell>
          <cell r="J195" t="str">
            <v>instituto tecnico industrial piloto</v>
          </cell>
          <cell r="K195">
            <v>290025851</v>
          </cell>
        </row>
        <row r="196">
          <cell r="I196">
            <v>800029884</v>
          </cell>
          <cell r="J196" t="str">
            <v>FONDO DE SERVICIOS EDUCATIVOS INSTITUCIóN EDUCATIVA NúCLEO ESCOLAR SANTA LUCíA</v>
          </cell>
          <cell r="K196">
            <v>55717443</v>
          </cell>
        </row>
        <row r="197">
          <cell r="I197">
            <v>800030000</v>
          </cell>
          <cell r="J197" t="str">
            <v>INSTITUCION EDUCATIVA FRANCISCO ANTONIO RADA</v>
          </cell>
          <cell r="K197">
            <v>117533262</v>
          </cell>
        </row>
        <row r="198">
          <cell r="I198">
            <v>800030044</v>
          </cell>
          <cell r="J198" t="str">
            <v>INSTITUCION EDUCATIVA SAN RAFAEL</v>
          </cell>
          <cell r="K198">
            <v>53722067</v>
          </cell>
        </row>
        <row r="199">
          <cell r="I199">
            <v>800030229</v>
          </cell>
          <cell r="J199" t="str">
            <v>IED ENRIQUE SANTOS MONTEJO</v>
          </cell>
          <cell r="K199">
            <v>134272613</v>
          </cell>
        </row>
        <row r="200">
          <cell r="I200">
            <v>800030455</v>
          </cell>
          <cell r="J200" t="str">
            <v>I.E. Ntra Sra del Perpetuo Socorro</v>
          </cell>
          <cell r="K200">
            <v>72418355</v>
          </cell>
        </row>
        <row r="201">
          <cell r="I201">
            <v>800030633</v>
          </cell>
          <cell r="J201" t="str">
            <v>FONDO DE SERVICIOS EDUCATIVOS INSTITUCION EDUCATIVA TECNICA INDUSTRIAL</v>
          </cell>
          <cell r="K201">
            <v>62197286</v>
          </cell>
        </row>
        <row r="202">
          <cell r="I202">
            <v>800030988</v>
          </cell>
          <cell r="J202" t="str">
            <v>MUNICIPIO DE SUTAMARCHAN</v>
          </cell>
          <cell r="K202">
            <v>46647034</v>
          </cell>
        </row>
        <row r="203">
          <cell r="I203">
            <v>800031073</v>
          </cell>
          <cell r="J203" t="str">
            <v>MUNICIPIO DE EL ESPINO</v>
          </cell>
          <cell r="K203">
            <v>32306855</v>
          </cell>
        </row>
        <row r="204">
          <cell r="I204">
            <v>800031075</v>
          </cell>
          <cell r="J204" t="str">
            <v>MUNICIPIO DE MISTRATO</v>
          </cell>
          <cell r="K204">
            <v>186750431</v>
          </cell>
        </row>
        <row r="205">
          <cell r="I205">
            <v>800031377</v>
          </cell>
          <cell r="J205" t="str">
            <v>COLEGIO INTEGRADO MADRE DE LA ESPERANZA</v>
          </cell>
          <cell r="K205">
            <v>268112376</v>
          </cell>
        </row>
        <row r="206">
          <cell r="I206">
            <v>800031434</v>
          </cell>
          <cell r="J206" t="str">
            <v>I.E. CASD.</v>
          </cell>
          <cell r="K206">
            <v>230480378</v>
          </cell>
        </row>
        <row r="207">
          <cell r="I207">
            <v>800031491</v>
          </cell>
          <cell r="J207" t="str">
            <v>COLEGIO INTEGRADO CAMACHO CAREÑO SGP</v>
          </cell>
          <cell r="K207">
            <v>27461204</v>
          </cell>
        </row>
        <row r="208">
          <cell r="I208">
            <v>800031874</v>
          </cell>
          <cell r="J208" t="str">
            <v>MUNICIPIO DE TOTORO</v>
          </cell>
          <cell r="K208">
            <v>272028897</v>
          </cell>
        </row>
        <row r="209">
          <cell r="I209">
            <v>800032044</v>
          </cell>
          <cell r="J209" t="str">
            <v>INSTITUCION EDUCATIVA INSTITUTO TECNICO MARRILLAC</v>
          </cell>
          <cell r="K209">
            <v>90117744</v>
          </cell>
        </row>
        <row r="210">
          <cell r="I210">
            <v>800032152</v>
          </cell>
          <cell r="J210" t="str">
            <v>INSTITUCION EDUCATIVA AGRICOLA</v>
          </cell>
          <cell r="K210">
            <v>56240656</v>
          </cell>
        </row>
        <row r="211">
          <cell r="I211">
            <v>800032206</v>
          </cell>
          <cell r="J211" t="str">
            <v>FONDO DE SERVICIOS EDUCATIVOS</v>
          </cell>
          <cell r="K211">
            <v>115992512</v>
          </cell>
        </row>
        <row r="212">
          <cell r="I212">
            <v>800032749</v>
          </cell>
          <cell r="J212" t="str">
            <v>LICEO NACIONAL AGUSTIN NIETO CABALLERO</v>
          </cell>
          <cell r="K212">
            <v>62344454</v>
          </cell>
        </row>
        <row r="213">
          <cell r="I213">
            <v>800033062</v>
          </cell>
          <cell r="J213" t="str">
            <v>MUNICIPIO DE NUEVO COLON</v>
          </cell>
          <cell r="K213">
            <v>45087035</v>
          </cell>
        </row>
        <row r="214">
          <cell r="I214">
            <v>800033161</v>
          </cell>
          <cell r="J214" t="str">
            <v>INSTITUCION EDUCATIVA RURAL JOSE ANTONIO GALAN</v>
          </cell>
          <cell r="K214">
            <v>39555495</v>
          </cell>
        </row>
        <row r="215">
          <cell r="I215">
            <v>800033247</v>
          </cell>
          <cell r="J215" t="str">
            <v>FONDO DE SERVICIOS EDUCATIVOS INSTITUCIóN EDUCATIVA TéCNICA TULIO VARóN</v>
          </cell>
          <cell r="K215">
            <v>42803010</v>
          </cell>
        </row>
        <row r="216">
          <cell r="I216">
            <v>800033303</v>
          </cell>
          <cell r="J216" t="str">
            <v>Institucion Educativa Guarinocito</v>
          </cell>
          <cell r="K216">
            <v>49241886</v>
          </cell>
        </row>
        <row r="217">
          <cell r="I217">
            <v>800033424</v>
          </cell>
          <cell r="J217" t="str">
            <v>INSTITUCION EDUCATIVA TECNICA LOPEZ QUEVEDO</v>
          </cell>
          <cell r="K217">
            <v>55420269</v>
          </cell>
        </row>
        <row r="218">
          <cell r="I218">
            <v>800033773</v>
          </cell>
          <cell r="J218" t="str">
            <v>FONDO DE SERVICIOS EDUCATIVOS</v>
          </cell>
          <cell r="K218">
            <v>33670231</v>
          </cell>
        </row>
        <row r="219">
          <cell r="I219">
            <v>800034237</v>
          </cell>
          <cell r="J219" t="str">
            <v>Colegio Oficial Mixto Pablo Sexto</v>
          </cell>
          <cell r="K219">
            <v>27589367</v>
          </cell>
        </row>
        <row r="220">
          <cell r="I220">
            <v>800034326</v>
          </cell>
          <cell r="J220" t="str">
            <v>INSTITUCION EDUCATIVA ZARAGOZA</v>
          </cell>
          <cell r="K220">
            <v>98476857</v>
          </cell>
        </row>
        <row r="221">
          <cell r="I221">
            <v>800034438</v>
          </cell>
          <cell r="J221" t="str">
            <v>Colegio Camilo Torres Restrepo</v>
          </cell>
          <cell r="K221">
            <v>289679283</v>
          </cell>
        </row>
        <row r="222">
          <cell r="I222">
            <v>800034476</v>
          </cell>
          <cell r="J222" t="str">
            <v>MUNICIPIO DE CHITARAQUE</v>
          </cell>
          <cell r="K222">
            <v>73041087</v>
          </cell>
        </row>
        <row r="223">
          <cell r="I223">
            <v>800034532</v>
          </cell>
          <cell r="J223" t="str">
            <v>INSTITUCION EDUACTIVA COLEGIO SANTA ROSA DE LIMA</v>
          </cell>
          <cell r="K223">
            <v>19562286</v>
          </cell>
        </row>
        <row r="224">
          <cell r="I224">
            <v>800035024</v>
          </cell>
          <cell r="J224" t="str">
            <v>MUNICIPIO DE CORDOBA</v>
          </cell>
          <cell r="K224">
            <v>217377391</v>
          </cell>
        </row>
        <row r="225">
          <cell r="I225">
            <v>800035061</v>
          </cell>
          <cell r="J225" t="str">
            <v>Institucion Educativa Juan XXIII</v>
          </cell>
          <cell r="K225">
            <v>36282865</v>
          </cell>
        </row>
        <row r="226">
          <cell r="I226">
            <v>800035482</v>
          </cell>
          <cell r="J226" t="str">
            <v>MUNICIPIO DE BELEN</v>
          </cell>
          <cell r="K226">
            <v>74813067</v>
          </cell>
        </row>
        <row r="227">
          <cell r="I227">
            <v>800035677</v>
          </cell>
          <cell r="J227" t="str">
            <v>MUNICIPIO DE SOPLAVIENTO DPTO DE BOLIVAR</v>
          </cell>
          <cell r="K227">
            <v>105356391</v>
          </cell>
        </row>
        <row r="228">
          <cell r="I228">
            <v>800036029</v>
          </cell>
          <cell r="J228" t="str">
            <v>Escuela Normal Cristo Rey</v>
          </cell>
          <cell r="K228">
            <v>148169850</v>
          </cell>
        </row>
        <row r="229">
          <cell r="I229">
            <v>800036063</v>
          </cell>
          <cell r="J229" t="str">
            <v>Institucion Educativa Rural Luis Antonio Robles de Camarones</v>
          </cell>
          <cell r="K229">
            <v>110016258</v>
          </cell>
        </row>
        <row r="230">
          <cell r="I230">
            <v>800036089</v>
          </cell>
          <cell r="J230" t="str">
            <v>INSTITUCION EDUCATIVA NUESTRA SEÑORA DE LA ANTIGUA</v>
          </cell>
          <cell r="K230">
            <v>55010456</v>
          </cell>
        </row>
        <row r="231">
          <cell r="I231">
            <v>800036345</v>
          </cell>
          <cell r="J231" t="str">
            <v>Institucion Educativa San Juan Bautista</v>
          </cell>
          <cell r="K231">
            <v>91528692</v>
          </cell>
        </row>
        <row r="232">
          <cell r="I232">
            <v>800036410</v>
          </cell>
          <cell r="J232" t="str">
            <v>INSTITUCION EDUCATIVA TECNICA FRANCISCO JULIA OLAYA</v>
          </cell>
          <cell r="K232">
            <v>67195848</v>
          </cell>
        </row>
        <row r="233">
          <cell r="I233">
            <v>800036448</v>
          </cell>
          <cell r="J233" t="str">
            <v>INSTITUCION EDUCATIVA INSTITUTO AGRICOLA</v>
          </cell>
          <cell r="K233">
            <v>68575924</v>
          </cell>
        </row>
        <row r="234">
          <cell r="I234">
            <v>800036711</v>
          </cell>
          <cell r="J234" t="str">
            <v>I.E. Ezequiel Hurtado</v>
          </cell>
          <cell r="K234">
            <v>42877514</v>
          </cell>
        </row>
        <row r="235">
          <cell r="I235">
            <v>800036903</v>
          </cell>
          <cell r="J235" t="str">
            <v>INSTITUCION EDUCATIVA DEPARTAMENTAL ANTONIO RICAURTE</v>
          </cell>
          <cell r="K235">
            <v>110322884</v>
          </cell>
        </row>
        <row r="236">
          <cell r="I236">
            <v>800036906</v>
          </cell>
          <cell r="J236" t="str">
            <v>INSTITUCION EDUCATIVA DEPARTAMENTAL</v>
          </cell>
          <cell r="K236">
            <v>25981969</v>
          </cell>
        </row>
        <row r="237">
          <cell r="I237">
            <v>800037175</v>
          </cell>
          <cell r="J237" t="str">
            <v>MUNICIPIO DE SAN JUAN NEPOMUCENO</v>
          </cell>
          <cell r="K237">
            <v>543341995</v>
          </cell>
        </row>
        <row r="238">
          <cell r="I238">
            <v>800037232</v>
          </cell>
          <cell r="J238" t="str">
            <v>MUNICIPIO DE POTOSI</v>
          </cell>
          <cell r="K238">
            <v>116844952</v>
          </cell>
        </row>
        <row r="239">
          <cell r="I239">
            <v>800037371</v>
          </cell>
          <cell r="J239" t="str">
            <v>MUNICIPIO DE ACHI DEPARTAMENTO DE BOLIVAR</v>
          </cell>
          <cell r="K239">
            <v>525042595</v>
          </cell>
        </row>
        <row r="240">
          <cell r="I240">
            <v>800037608</v>
          </cell>
          <cell r="J240" t="str">
            <v>I. E. JUAN LASSO DE LA VEGA</v>
          </cell>
          <cell r="K240">
            <v>50267030</v>
          </cell>
        </row>
        <row r="241">
          <cell r="I241">
            <v>800037737</v>
          </cell>
          <cell r="J241" t="str">
            <v>INSTITUCION EDUCATIVA LA UNION</v>
          </cell>
          <cell r="K241">
            <v>140098265</v>
          </cell>
        </row>
        <row r="242">
          <cell r="I242">
            <v>800038435</v>
          </cell>
          <cell r="J242" t="str">
            <v>Institucion Educativa San Antonio de Arma</v>
          </cell>
          <cell r="K242">
            <v>32715395</v>
          </cell>
        </row>
        <row r="243">
          <cell r="I243">
            <v>800039213</v>
          </cell>
          <cell r="J243" t="str">
            <v>MUNICIPIO DE SANTA ROSA DE VITERBO</v>
          </cell>
          <cell r="K243">
            <v>93463496</v>
          </cell>
        </row>
        <row r="244">
          <cell r="I244">
            <v>800039277</v>
          </cell>
          <cell r="J244" t="str">
            <v>INSTITUCION EDUCATIVA ALBERTO MENDOZA MAYOR</v>
          </cell>
          <cell r="K244">
            <v>155208470</v>
          </cell>
        </row>
        <row r="245">
          <cell r="I245">
            <v>800039781</v>
          </cell>
          <cell r="J245" t="str">
            <v>INSTITUCION EDUCATIVA CERVANTES</v>
          </cell>
          <cell r="K245">
            <v>34711128</v>
          </cell>
        </row>
        <row r="246">
          <cell r="I246">
            <v>800039803</v>
          </cell>
          <cell r="J246" t="str">
            <v>MUNICIPIO DE EL ZULIA</v>
          </cell>
          <cell r="K246">
            <v>272926577</v>
          </cell>
        </row>
        <row r="247">
          <cell r="I247">
            <v>800040030</v>
          </cell>
          <cell r="J247" t="str">
            <v>INSTITUCION EDUCATIVA JUAN JOSE NEIRA</v>
          </cell>
          <cell r="K247">
            <v>41014342</v>
          </cell>
        </row>
        <row r="248">
          <cell r="I248">
            <v>800040228</v>
          </cell>
          <cell r="J248" t="str">
            <v>INSTITUCION EDUCATIVA DEPARTAMENTAL CACIQUE ANAMAY</v>
          </cell>
          <cell r="K248">
            <v>21636633</v>
          </cell>
        </row>
        <row r="249">
          <cell r="I249">
            <v>800040556</v>
          </cell>
          <cell r="J249" t="str">
            <v>I.E. MANUEL ANGEL ANACHURY</v>
          </cell>
          <cell r="K249">
            <v>127322566</v>
          </cell>
        </row>
        <row r="250">
          <cell r="I250">
            <v>800040630</v>
          </cell>
          <cell r="J250" t="str">
            <v>INSTITUCIÓN EDUCATIVA TECNICA AGROPECUARIA SAN RAFAEL</v>
          </cell>
          <cell r="K250">
            <v>123235265</v>
          </cell>
        </row>
        <row r="251">
          <cell r="I251">
            <v>800040707</v>
          </cell>
          <cell r="J251" t="str">
            <v>Colegio Agropecuario los Fundadores</v>
          </cell>
          <cell r="K251">
            <v>75514790</v>
          </cell>
        </row>
        <row r="252">
          <cell r="I252">
            <v>800042845</v>
          </cell>
          <cell r="J252" t="str">
            <v>INSTITUCION EDUCATIVA TECNICA LOS ANDES</v>
          </cell>
          <cell r="K252">
            <v>67753490</v>
          </cell>
        </row>
        <row r="253">
          <cell r="I253">
            <v>800042974</v>
          </cell>
          <cell r="J253" t="str">
            <v>MUNICIPIO DE PINILLOS DPTO DE BOLIVAR</v>
          </cell>
          <cell r="K253">
            <v>530796133</v>
          </cell>
        </row>
        <row r="254">
          <cell r="I254">
            <v>800043472</v>
          </cell>
          <cell r="J254" t="str">
            <v>Fondo de Servicios Docentes Técnico de Comercio</v>
          </cell>
          <cell r="K254">
            <v>229524842</v>
          </cell>
        </row>
        <row r="255">
          <cell r="I255">
            <v>800043486</v>
          </cell>
          <cell r="J255" t="str">
            <v>MUNICIPIO DE SAN MARTIN DE LOBA DPTO DE BOLIVAR</v>
          </cell>
          <cell r="K255">
            <v>307145601</v>
          </cell>
        </row>
        <row r="256">
          <cell r="I256">
            <v>800043820</v>
          </cell>
          <cell r="J256" t="str">
            <v>FONDOS DE SERVICIOS EDUCATIVOS INSTITUCION EDUCATIVA NUESTRA SEÑORA DE BELEN</v>
          </cell>
          <cell r="K256">
            <v>77077940</v>
          </cell>
        </row>
        <row r="257">
          <cell r="I257">
            <v>800044113</v>
          </cell>
          <cell r="J257" t="str">
            <v>MUNICIPIO DE LOS PATIOS</v>
          </cell>
          <cell r="K257">
            <v>438238122</v>
          </cell>
        </row>
        <row r="258">
          <cell r="I258">
            <v>800044727</v>
          </cell>
          <cell r="J258" t="str">
            <v>INSTITUTO TECNICO AGRICOLA</v>
          </cell>
          <cell r="K258">
            <v>75685208</v>
          </cell>
        </row>
        <row r="259">
          <cell r="I259">
            <v>800044998</v>
          </cell>
          <cell r="J259" t="str">
            <v>INSTITUCION EDUCATIVA FRANCISCO DE PAULA SANTANDER</v>
          </cell>
          <cell r="K259">
            <v>97141583</v>
          </cell>
        </row>
        <row r="260">
          <cell r="I260">
            <v>800045015</v>
          </cell>
          <cell r="J260" t="str">
            <v>IED COLEGIO CEDID GUILLERMO CANO ISAZA</v>
          </cell>
          <cell r="K260">
            <v>174563988</v>
          </cell>
        </row>
        <row r="261">
          <cell r="I261">
            <v>800045078</v>
          </cell>
          <cell r="J261" t="str">
            <v>institucion educativa Santa Clara</v>
          </cell>
          <cell r="K261">
            <v>138289960</v>
          </cell>
        </row>
        <row r="262">
          <cell r="I262">
            <v>800045581</v>
          </cell>
          <cell r="J262" t="str">
            <v>FONDO DE SERVICIOS EDUCATIVOS</v>
          </cell>
          <cell r="K262">
            <v>22310621</v>
          </cell>
        </row>
        <row r="263">
          <cell r="I263">
            <v>800045612</v>
          </cell>
          <cell r="J263" t="str">
            <v>FONDO DE FOMENTO SERVICIOS DOCENTES INSTITUCION EDUCATIVA NUESTRO SEÑOR DEL RIO DE CHILES</v>
          </cell>
          <cell r="K263">
            <v>72282747</v>
          </cell>
        </row>
        <row r="264">
          <cell r="I264">
            <v>800045645</v>
          </cell>
          <cell r="J264" t="str">
            <v>EL SALITRE</v>
          </cell>
          <cell r="K264">
            <v>15619804</v>
          </cell>
        </row>
        <row r="265">
          <cell r="I265">
            <v>800045947</v>
          </cell>
          <cell r="J265" t="str">
            <v>I.E. Media de Aguas Blancas</v>
          </cell>
          <cell r="K265">
            <v>99570276</v>
          </cell>
        </row>
        <row r="266">
          <cell r="I266">
            <v>800045957</v>
          </cell>
          <cell r="J266" t="str">
            <v>INSTITUCION EDUCATIVA EL PORTAL DE LA MONO</v>
          </cell>
          <cell r="K266">
            <v>24533334</v>
          </cell>
        </row>
        <row r="267">
          <cell r="I267">
            <v>800046008</v>
          </cell>
          <cell r="J267" t="str">
            <v>INSTITUCION EDUCATIVA TECNICA SAN BARTOLOME</v>
          </cell>
          <cell r="K267">
            <v>23156973</v>
          </cell>
        </row>
        <row r="268">
          <cell r="I268">
            <v>800046335</v>
          </cell>
          <cell r="J268" t="str">
            <v>Institucion Educativa Jose Eusebio Caro</v>
          </cell>
          <cell r="K268">
            <v>199759773</v>
          </cell>
        </row>
        <row r="269">
          <cell r="I269">
            <v>800046802</v>
          </cell>
          <cell r="J269" t="str">
            <v>concentracion de desarrollo rural el marfil</v>
          </cell>
          <cell r="K269">
            <v>51746377</v>
          </cell>
        </row>
        <row r="270">
          <cell r="I270">
            <v>800046942</v>
          </cell>
          <cell r="J270" t="str">
            <v>INSTITUCION EDUCATIVA DEPARTAMENTAL INSTITUTO AGRICOLA</v>
          </cell>
          <cell r="K270">
            <v>29929155</v>
          </cell>
        </row>
        <row r="271">
          <cell r="I271">
            <v>800049017</v>
          </cell>
          <cell r="J271" t="str">
            <v>MUNICIPIO DE SANTA ROSA DEL SUR DE BOLIVAR</v>
          </cell>
          <cell r="K271">
            <v>458418639</v>
          </cell>
        </row>
        <row r="272">
          <cell r="I272">
            <v>800049508</v>
          </cell>
          <cell r="J272" t="str">
            <v>MUNICIPIO DE PAEZ</v>
          </cell>
          <cell r="K272">
            <v>31336508</v>
          </cell>
        </row>
        <row r="273">
          <cell r="I273">
            <v>800049826</v>
          </cell>
          <cell r="J273" t="str">
            <v>MUNICIPIO DE GALERAS</v>
          </cell>
          <cell r="K273">
            <v>264713169</v>
          </cell>
        </row>
        <row r="274">
          <cell r="I274">
            <v>800050062</v>
          </cell>
          <cell r="J274" t="str">
            <v>FONDO DE SERVICIOS EDUCATIVOSS I.E JUAN PABLO I</v>
          </cell>
          <cell r="K274">
            <v>56269383</v>
          </cell>
        </row>
        <row r="275">
          <cell r="I275">
            <v>800050394</v>
          </cell>
          <cell r="J275" t="str">
            <v>INSTITUCION EDUCATIVA RIO VERDE BAJO</v>
          </cell>
          <cell r="K275">
            <v>17864761</v>
          </cell>
        </row>
        <row r="276">
          <cell r="I276">
            <v>800050407</v>
          </cell>
          <cell r="J276" t="str">
            <v>MUNICIPIO DE VALPARAISO</v>
          </cell>
          <cell r="K276">
            <v>120638413</v>
          </cell>
        </row>
        <row r="277">
          <cell r="I277">
            <v>800050425</v>
          </cell>
          <cell r="J277" t="str">
            <v>INSTITUCION EDUCATIVA LA LINDA</v>
          </cell>
          <cell r="K277">
            <v>51626063</v>
          </cell>
        </row>
        <row r="278">
          <cell r="I278">
            <v>800050791</v>
          </cell>
          <cell r="J278" t="str">
            <v>MUNICIPIO DE SATIVANORTE</v>
          </cell>
          <cell r="K278">
            <v>25286184</v>
          </cell>
        </row>
        <row r="279">
          <cell r="I279">
            <v>800050998</v>
          </cell>
          <cell r="J279" t="str">
            <v>INSTITUTO EDUCATIVO CAMILO TORRES RESTREPO</v>
          </cell>
          <cell r="K279">
            <v>147570453</v>
          </cell>
        </row>
        <row r="280">
          <cell r="I280">
            <v>800051168</v>
          </cell>
          <cell r="J280" t="str">
            <v>MUNICIPIO LOPEZ DE MICAY</v>
          </cell>
          <cell r="K280">
            <v>345014383</v>
          </cell>
        </row>
        <row r="281">
          <cell r="I281">
            <v>800051324</v>
          </cell>
          <cell r="J281" t="str">
            <v>FONDO DE SERVICIOS EDUCATIVOS</v>
          </cell>
          <cell r="K281">
            <v>18903331</v>
          </cell>
        </row>
        <row r="282">
          <cell r="I282">
            <v>800051469</v>
          </cell>
          <cell r="J282" t="str">
            <v>INSTITUCION EDUCATIVA COMBIA</v>
          </cell>
          <cell r="K282">
            <v>62905465</v>
          </cell>
        </row>
        <row r="283">
          <cell r="I283">
            <v>800052584</v>
          </cell>
          <cell r="J283" t="str">
            <v>IED SAN ANTONIO</v>
          </cell>
          <cell r="K283">
            <v>21132131</v>
          </cell>
        </row>
        <row r="284">
          <cell r="I284">
            <v>800053449</v>
          </cell>
          <cell r="J284" t="str">
            <v>COLEGIO TECNICO AGROINDUSTRIAL CUSAGUI</v>
          </cell>
          <cell r="K284">
            <v>13334427</v>
          </cell>
        </row>
        <row r="285">
          <cell r="I285">
            <v>800053552</v>
          </cell>
          <cell r="J285" t="str">
            <v>MUNICIPIO DE TUBARA</v>
          </cell>
          <cell r="K285">
            <v>98730464</v>
          </cell>
        </row>
        <row r="286">
          <cell r="I286">
            <v>800053942</v>
          </cell>
          <cell r="J286" t="str">
            <v>INSTITUTO TECNICO JOSE MIGUEL SILVA PLAZAS</v>
          </cell>
          <cell r="K286">
            <v>58439973</v>
          </cell>
        </row>
        <row r="287">
          <cell r="I287">
            <v>800054249</v>
          </cell>
          <cell r="J287" t="str">
            <v>MUNICIPIO DE VILLAGARZON</v>
          </cell>
          <cell r="K287">
            <v>258904212</v>
          </cell>
        </row>
        <row r="288">
          <cell r="I288">
            <v>800054272</v>
          </cell>
          <cell r="J288" t="str">
            <v>INSTITUCION EDUCATIVA MANUEL RODRIGUEZ TORICES DE SAN DIEGO</v>
          </cell>
          <cell r="K288">
            <v>123722738</v>
          </cell>
        </row>
        <row r="289">
          <cell r="I289">
            <v>800054276</v>
          </cell>
          <cell r="J289" t="str">
            <v>Institucion Educativa Supia</v>
          </cell>
          <cell r="K289">
            <v>99426055</v>
          </cell>
        </row>
        <row r="290">
          <cell r="I290">
            <v>800054483</v>
          </cell>
          <cell r="J290" t="str">
            <v>INSTITUCION EDUCATIVA LOS FUNDADORES</v>
          </cell>
          <cell r="K290">
            <v>122923226</v>
          </cell>
        </row>
        <row r="291">
          <cell r="I291">
            <v>800054678</v>
          </cell>
          <cell r="J291" t="str">
            <v>FSE</v>
          </cell>
          <cell r="K291">
            <v>189326749</v>
          </cell>
        </row>
        <row r="292">
          <cell r="I292">
            <v>800055469</v>
          </cell>
          <cell r="J292" t="str">
            <v>INSTITUCION EDUCATIVA AGROPECUARIA MONTERREDONDO</v>
          </cell>
          <cell r="K292">
            <v>45584328</v>
          </cell>
        </row>
        <row r="293">
          <cell r="I293">
            <v>800055536</v>
          </cell>
          <cell r="J293" t="str">
            <v>FONDO DE SERVICIOS EDUCATIVOS DEL COLEGIO MUNICIPAL CRISTOBAL COLON</v>
          </cell>
          <cell r="K293">
            <v>34779430</v>
          </cell>
        </row>
        <row r="294">
          <cell r="I294">
            <v>800056056</v>
          </cell>
          <cell r="J294" t="str">
            <v>COLEGIO INTEGRADO LA GRANJA</v>
          </cell>
          <cell r="K294">
            <v>26704864</v>
          </cell>
        </row>
        <row r="295">
          <cell r="I295">
            <v>800056581</v>
          </cell>
          <cell r="J295" t="str">
            <v>COLEGIO LA CANDELARIA FONDO SERV</v>
          </cell>
          <cell r="K295">
            <v>31869552</v>
          </cell>
        </row>
        <row r="296">
          <cell r="I296">
            <v>800057459</v>
          </cell>
          <cell r="J296" t="str">
            <v>CONCENTRACION DE DESARROLLO RURAL JOSE ANTONIO GALAN</v>
          </cell>
          <cell r="K296">
            <v>47906796</v>
          </cell>
        </row>
        <row r="297">
          <cell r="I297">
            <v>800058047</v>
          </cell>
          <cell r="J297" t="str">
            <v>INSTITUCION EDUCATIVA MUNICIPAL TECNICA COMERCIAL SANTA RITA</v>
          </cell>
          <cell r="K297">
            <v>137066066</v>
          </cell>
        </row>
        <row r="298">
          <cell r="I298">
            <v>800058059</v>
          </cell>
          <cell r="J298" t="str">
            <v>FDO SERV EDUCT INST TEC CM E.S.</v>
          </cell>
          <cell r="K298">
            <v>18969966</v>
          </cell>
        </row>
        <row r="299">
          <cell r="I299">
            <v>800058601</v>
          </cell>
          <cell r="J299" t="str">
            <v>INSTITUCION EDUCATIVA CIUDAD SANTIAGO</v>
          </cell>
          <cell r="K299">
            <v>59858149</v>
          </cell>
        </row>
        <row r="300">
          <cell r="I300">
            <v>800058603</v>
          </cell>
          <cell r="J300" t="str">
            <v>INSTITUCION EDUCATIVA ENRIQUE OLAYA HERRERA</v>
          </cell>
          <cell r="K300">
            <v>55626962</v>
          </cell>
        </row>
        <row r="301">
          <cell r="I301">
            <v>800059037</v>
          </cell>
          <cell r="J301" t="str">
            <v>INSTITUCION EDUCATIVA PARROQUIAL</v>
          </cell>
          <cell r="K301">
            <v>53462010</v>
          </cell>
        </row>
        <row r="302">
          <cell r="I302">
            <v>800059405</v>
          </cell>
          <cell r="J302" t="str">
            <v>MUNICIPIO DE URUMITA</v>
          </cell>
          <cell r="K302">
            <v>134431073</v>
          </cell>
        </row>
        <row r="303">
          <cell r="I303">
            <v>800059454</v>
          </cell>
          <cell r="J303" t="str">
            <v>FONDO DOCENTES</v>
          </cell>
          <cell r="K303">
            <v>40410970</v>
          </cell>
        </row>
        <row r="304">
          <cell r="I304">
            <v>800060022</v>
          </cell>
          <cell r="J304" t="str">
            <v>INSTITUCION EDUCATIVA MUNICIPAL  DEL ENCANO</v>
          </cell>
          <cell r="K304">
            <v>82743434</v>
          </cell>
        </row>
        <row r="305">
          <cell r="I305">
            <v>800060244</v>
          </cell>
          <cell r="J305" t="str">
            <v>INSTITUCION EDUCATIVA INSTITUTO AGRICOLA</v>
          </cell>
          <cell r="K305">
            <v>147982419</v>
          </cell>
        </row>
        <row r="306">
          <cell r="I306">
            <v>800060302</v>
          </cell>
          <cell r="J306" t="str">
            <v>INSTITUCION EDUCATIVA SAN PEDRO ALEJANDRINO GRATUIDAD</v>
          </cell>
          <cell r="K306">
            <v>48969608</v>
          </cell>
        </row>
        <row r="307">
          <cell r="I307">
            <v>800060525</v>
          </cell>
          <cell r="J307" t="str">
            <v>MUNICIPIO DE PUERTO PARRA</v>
          </cell>
          <cell r="K307">
            <v>88962692</v>
          </cell>
        </row>
        <row r="308">
          <cell r="I308">
            <v>800061083</v>
          </cell>
          <cell r="J308" t="str">
            <v>INSTITUCION EDUCATIVA PEDRO DE ADRADA</v>
          </cell>
          <cell r="K308">
            <v>29605809</v>
          </cell>
        </row>
        <row r="309">
          <cell r="I309">
            <v>800062255</v>
          </cell>
          <cell r="J309" t="str">
            <v>MUNICIPIO DE TOGUI</v>
          </cell>
          <cell r="K309">
            <v>54215427</v>
          </cell>
        </row>
        <row r="310">
          <cell r="I310">
            <v>800062427</v>
          </cell>
          <cell r="J310" t="str">
            <v>UNIDAD EDUCATIVA TECNICO FRANCISCO JOSE DE CALDAS</v>
          </cell>
          <cell r="K310">
            <v>165695744</v>
          </cell>
        </row>
        <row r="311">
          <cell r="I311">
            <v>800062600</v>
          </cell>
          <cell r="J311" t="str">
            <v>COLEGIO JUAN CRISTOBAL MARTINEZ</v>
          </cell>
          <cell r="K311">
            <v>237206711</v>
          </cell>
        </row>
        <row r="312">
          <cell r="I312">
            <v>800062602</v>
          </cell>
          <cell r="J312" t="str">
            <v>fondo de servicio educativo institucion educativa inza</v>
          </cell>
          <cell r="K312">
            <v>33933861</v>
          </cell>
        </row>
        <row r="313">
          <cell r="I313">
            <v>800063010</v>
          </cell>
          <cell r="J313" t="str">
            <v>INSTITUCION EDUCATIVA GABRIEL GARCIA MARQUEZ</v>
          </cell>
          <cell r="K313">
            <v>114862288</v>
          </cell>
        </row>
        <row r="314">
          <cell r="I314">
            <v>800063123</v>
          </cell>
          <cell r="J314" t="str">
            <v>INSTITUCION EDUCATIVA SAN JOSE DEL TELEMBI</v>
          </cell>
          <cell r="K314">
            <v>101180428</v>
          </cell>
        </row>
        <row r="315">
          <cell r="I315">
            <v>800063128</v>
          </cell>
          <cell r="J315" t="str">
            <v>I.E. NARANJAL</v>
          </cell>
          <cell r="K315">
            <v>36279898</v>
          </cell>
        </row>
        <row r="316">
          <cell r="I316">
            <v>800063281</v>
          </cell>
          <cell r="J316" t="str">
            <v>INSTITUCION EDUCATIVA BASICA Y MEDIA TECNICA JOSE ANTONIO PAEZ FONDO DE SERVICIO EDUCATIVO</v>
          </cell>
          <cell r="K316">
            <v>44206296</v>
          </cell>
        </row>
        <row r="317">
          <cell r="I317">
            <v>800063791</v>
          </cell>
          <cell r="J317" t="str">
            <v>MUNICIPIO DE ARCABUCO</v>
          </cell>
          <cell r="K317">
            <v>49580734</v>
          </cell>
        </row>
        <row r="318">
          <cell r="I318">
            <v>800063881</v>
          </cell>
          <cell r="J318" t="str">
            <v>INSTITUCION EDUCATIVA TECNICA PIO XII</v>
          </cell>
          <cell r="K318">
            <v>96740034</v>
          </cell>
        </row>
        <row r="319">
          <cell r="I319">
            <v>800063954</v>
          </cell>
          <cell r="J319" t="str">
            <v>FONDOS DE SERVICIOS EDUCATIVOS</v>
          </cell>
          <cell r="K319">
            <v>20879879</v>
          </cell>
        </row>
        <row r="320">
          <cell r="I320">
            <v>800065411</v>
          </cell>
          <cell r="J320" t="str">
            <v>MUNICIPIO DE PAYA</v>
          </cell>
          <cell r="K320">
            <v>41455673</v>
          </cell>
        </row>
        <row r="321">
          <cell r="I321">
            <v>800065474</v>
          </cell>
          <cell r="J321" t="str">
            <v>MUNICIPIO DE MOÑITOS</v>
          </cell>
          <cell r="K321">
            <v>523311089</v>
          </cell>
        </row>
        <row r="322">
          <cell r="I322">
            <v>800065593</v>
          </cell>
          <cell r="J322" t="str">
            <v>MUNICIPIO PAJARITO</v>
          </cell>
          <cell r="K322">
            <v>23617139</v>
          </cell>
        </row>
        <row r="323">
          <cell r="I323">
            <v>800065599</v>
          </cell>
          <cell r="J323" t="str">
            <v>FONDO DE SERVICIOS EDUCATIVOS COLEGIO SERGIO ARIZA</v>
          </cell>
          <cell r="K323">
            <v>28791285</v>
          </cell>
        </row>
        <row r="324">
          <cell r="I324">
            <v>800066389</v>
          </cell>
          <cell r="J324" t="str">
            <v>MUNICIPIO DE PISBA</v>
          </cell>
          <cell r="K324">
            <v>25658129</v>
          </cell>
        </row>
        <row r="325">
          <cell r="I325">
            <v>800067068</v>
          </cell>
          <cell r="J325" t="str">
            <v>Centro Educativo El Llano</v>
          </cell>
          <cell r="K325">
            <v>16686569</v>
          </cell>
        </row>
        <row r="326">
          <cell r="I326">
            <v>800067231</v>
          </cell>
          <cell r="J326" t="str">
            <v>ESCUELA NORMAL SUPERIOR LEONOR ALVAREZ PINZON FDO SERVICIOS EDUCATIVOS</v>
          </cell>
          <cell r="K326">
            <v>173589502</v>
          </cell>
        </row>
        <row r="327">
          <cell r="I327">
            <v>800067233</v>
          </cell>
          <cell r="J327" t="str">
            <v>INSTITUCION EDUCATIVA TECNICA  ALEJANDRO DE HUMBOLDT</v>
          </cell>
          <cell r="K327">
            <v>89404472</v>
          </cell>
        </row>
        <row r="328">
          <cell r="I328">
            <v>800067452</v>
          </cell>
          <cell r="J328" t="str">
            <v>MUNICIPIO DE MILAN</v>
          </cell>
          <cell r="K328">
            <v>192687971</v>
          </cell>
        </row>
        <row r="329">
          <cell r="I329">
            <v>800068157</v>
          </cell>
          <cell r="J329" t="str">
            <v>INSTITUCION EDUCATIVA DEPARTAMENTAL SAN JOSE DE SITIO NUEVO</v>
          </cell>
          <cell r="K329">
            <v>271301680</v>
          </cell>
        </row>
        <row r="330">
          <cell r="I330">
            <v>800068158</v>
          </cell>
          <cell r="J330" t="str">
            <v>INSTITUCION EDUCATIVA SIMON BOLIVAR</v>
          </cell>
          <cell r="K330">
            <v>57297128</v>
          </cell>
        </row>
        <row r="331">
          <cell r="I331">
            <v>800068431</v>
          </cell>
          <cell r="J331" t="str">
            <v>INSTITUCION EDUCATIVA BASICA Y MEDIA SAN ANTONIO</v>
          </cell>
          <cell r="K331">
            <v>150942913</v>
          </cell>
        </row>
        <row r="332">
          <cell r="I332">
            <v>800068439</v>
          </cell>
          <cell r="J332" t="str">
            <v>INSTITUCION EDUCATIVA GERARDO VALENCIA CANO - FOSE</v>
          </cell>
          <cell r="K332">
            <v>29269253</v>
          </cell>
        </row>
        <row r="333">
          <cell r="I333">
            <v>800068506</v>
          </cell>
          <cell r="J333" t="str">
            <v>INSTITUCION EDUCATIVA ISMAEL SANTOFIMIO TRUJILLO - GRATUIDAD</v>
          </cell>
          <cell r="K333">
            <v>97224328</v>
          </cell>
        </row>
        <row r="334">
          <cell r="I334">
            <v>800068675</v>
          </cell>
          <cell r="J334" t="str">
            <v>FONDO DE SERVICIOS EDUCATIVOS</v>
          </cell>
          <cell r="K334">
            <v>20288580</v>
          </cell>
        </row>
        <row r="335">
          <cell r="I335">
            <v>800068760</v>
          </cell>
          <cell r="J335" t="str">
            <v>INSTITUCION EDUCATIVA DEPARTAMENTAL LICEO ARIGUANI</v>
          </cell>
          <cell r="K335">
            <v>204151683</v>
          </cell>
        </row>
        <row r="336">
          <cell r="I336">
            <v>800068773</v>
          </cell>
          <cell r="J336" t="str">
            <v>INSTITUCION EDUCATIVA DEPARTAMENTAL PIJIÑO DEL CARMEN</v>
          </cell>
          <cell r="K336">
            <v>106347786</v>
          </cell>
        </row>
        <row r="337">
          <cell r="I337">
            <v>800069378</v>
          </cell>
          <cell r="J337" t="str">
            <v>FONDO DE SERVICIO DOCENTE INSTITUCION EDUCATIVA DEPARTAMENTAL DE SALAMINA</v>
          </cell>
          <cell r="K337">
            <v>114432265</v>
          </cell>
        </row>
        <row r="338">
          <cell r="I338">
            <v>800069901</v>
          </cell>
          <cell r="J338" t="str">
            <v>MUNICIPIO DE JUAN DE ACOSTA</v>
          </cell>
          <cell r="K338">
            <v>140400456</v>
          </cell>
        </row>
        <row r="339">
          <cell r="I339">
            <v>800070251</v>
          </cell>
          <cell r="J339" t="str">
            <v>INSTITUCION EDUCATIVA DE PROMOCION SOCIAL</v>
          </cell>
          <cell r="K339">
            <v>60194598</v>
          </cell>
        </row>
        <row r="340">
          <cell r="I340">
            <v>800070375</v>
          </cell>
          <cell r="J340" t="str">
            <v>MUNICIPIO DE BOJAYA</v>
          </cell>
          <cell r="K340">
            <v>376668159</v>
          </cell>
        </row>
        <row r="341">
          <cell r="I341">
            <v>800070519</v>
          </cell>
          <cell r="J341" t="str">
            <v>INSTITUCION EDUCATIVA RURAL AGROPECUARIA DE MINGUEO</v>
          </cell>
          <cell r="K341">
            <v>217140594</v>
          </cell>
        </row>
        <row r="342">
          <cell r="I342">
            <v>800070682</v>
          </cell>
          <cell r="J342" t="str">
            <v>MUNICIPIO DE TIBU</v>
          </cell>
          <cell r="K342">
            <v>738621709</v>
          </cell>
        </row>
        <row r="343">
          <cell r="I343">
            <v>800070715</v>
          </cell>
          <cell r="J343" t="str">
            <v>CUENTA ESPECIAL MAGISTERIO NACIONALIZADA COLEGIO ALFONSO LOPEZ PUMAREJO DE URIBIA</v>
          </cell>
          <cell r="K343">
            <v>116208695</v>
          </cell>
        </row>
        <row r="344">
          <cell r="I344">
            <v>800070892</v>
          </cell>
          <cell r="J344" t="str">
            <v>INSTITUCION EDUCATIVA DISTRITAL RODRIGO GALVAN DE LA BASTIDAS</v>
          </cell>
          <cell r="K344">
            <v>165699969</v>
          </cell>
        </row>
        <row r="345">
          <cell r="I345">
            <v>800070932</v>
          </cell>
          <cell r="J345" t="str">
            <v>INSTITUCION EDUCATIVA DEPARTAMENTAL SAGRADO CORAZON DE JESUS</v>
          </cell>
          <cell r="K345">
            <v>102485451</v>
          </cell>
        </row>
        <row r="346">
          <cell r="I346">
            <v>800071934</v>
          </cell>
          <cell r="J346" t="str">
            <v>MUNICIPIO DE CHIBOLO MAGDALENA</v>
          </cell>
          <cell r="K346">
            <v>375741394</v>
          </cell>
        </row>
        <row r="347">
          <cell r="I347">
            <v>800072525</v>
          </cell>
          <cell r="J347" t="str">
            <v>INSTITUCION EDUCATIVA TECNICA INDUSTRIAL  ANTONIO RICAURTE</v>
          </cell>
          <cell r="K347">
            <v>83578193</v>
          </cell>
        </row>
        <row r="348">
          <cell r="I348">
            <v>800072602</v>
          </cell>
          <cell r="J348" t="str">
            <v>INSTITUCION EDUCATIVA DEPARTAMENTAL AGRICOLA</v>
          </cell>
          <cell r="K348">
            <v>118729647</v>
          </cell>
        </row>
        <row r="349">
          <cell r="I349">
            <v>800072810</v>
          </cell>
          <cell r="J349" t="str">
            <v>I.E. SAN ALFONSO</v>
          </cell>
          <cell r="K349">
            <v>18236894</v>
          </cell>
        </row>
        <row r="350">
          <cell r="I350">
            <v>800073504</v>
          </cell>
          <cell r="J350" t="str">
            <v>Intitucion Educativa Deptal La Magdalena</v>
          </cell>
          <cell r="K350">
            <v>48964065</v>
          </cell>
        </row>
        <row r="351">
          <cell r="I351">
            <v>800074120</v>
          </cell>
          <cell r="J351" t="str">
            <v>MUNICIPIO DE PARATEBUENO</v>
          </cell>
          <cell r="K351">
            <v>84536361</v>
          </cell>
        </row>
        <row r="352">
          <cell r="I352">
            <v>800074418</v>
          </cell>
          <cell r="J352" t="str">
            <v>FONDO DE SERVICIOS EDUCATIVOS INSTITUCIÒN EDUCATIVA TÈCNICA COLOMBO ALEMAN SCALAS</v>
          </cell>
          <cell r="K352">
            <v>83652960</v>
          </cell>
        </row>
        <row r="353">
          <cell r="I353">
            <v>800074859</v>
          </cell>
          <cell r="J353" t="str">
            <v>MUNICIPIO DE CHISCAS</v>
          </cell>
          <cell r="K353">
            <v>53434997</v>
          </cell>
        </row>
        <row r="354">
          <cell r="I354">
            <v>800075231</v>
          </cell>
          <cell r="J354" t="str">
            <v>MUNICIPIO DE SAN ANDRES DE SOTAVENTO</v>
          </cell>
          <cell r="K354">
            <v>946943578</v>
          </cell>
        </row>
        <row r="355">
          <cell r="I355">
            <v>800075433</v>
          </cell>
          <cell r="J355" t="str">
            <v>INSTITUCION EDUCATIVA DISTRITAL POLICARPA SALAVARRIETA</v>
          </cell>
          <cell r="K355">
            <v>98525816</v>
          </cell>
        </row>
        <row r="356">
          <cell r="I356">
            <v>800075537</v>
          </cell>
          <cell r="J356" t="str">
            <v>MUNICIPIO DE SAN CARLOS</v>
          </cell>
          <cell r="K356">
            <v>363556228</v>
          </cell>
        </row>
        <row r="357">
          <cell r="I357">
            <v>800076133</v>
          </cell>
          <cell r="J357" t="str">
            <v>Fondo de servicio Educativo de Pileta</v>
          </cell>
          <cell r="K357">
            <v>12209974</v>
          </cell>
        </row>
        <row r="358">
          <cell r="I358">
            <v>800076393</v>
          </cell>
          <cell r="J358" t="str">
            <v>institucion educativa manuel j.del castillo</v>
          </cell>
          <cell r="K358">
            <v>193774039</v>
          </cell>
        </row>
        <row r="359">
          <cell r="I359">
            <v>800077159</v>
          </cell>
          <cell r="J359" t="str">
            <v>INEM CARLOS ARTURO TORRES</v>
          </cell>
          <cell r="K359">
            <v>156324755</v>
          </cell>
        </row>
        <row r="360">
          <cell r="I360">
            <v>800077545</v>
          </cell>
          <cell r="J360" t="str">
            <v>MUNICIPIO DE AQUITANIA</v>
          </cell>
          <cell r="K360">
            <v>160261444</v>
          </cell>
        </row>
        <row r="361">
          <cell r="I361">
            <v>800077565</v>
          </cell>
          <cell r="J361" t="str">
            <v>ITA fondo de servicios docente luis nelson cuellar</v>
          </cell>
          <cell r="K361">
            <v>59962723</v>
          </cell>
        </row>
        <row r="362">
          <cell r="I362">
            <v>800077656</v>
          </cell>
          <cell r="J362" t="str">
            <v>INSTITUCION EDUCATIVA AGROPECUARIA ALEJANDRO GOMEZ MUÑOZ</v>
          </cell>
          <cell r="K362">
            <v>32066275</v>
          </cell>
        </row>
        <row r="363">
          <cell r="I363">
            <v>800077808</v>
          </cell>
          <cell r="J363" t="str">
            <v>MUNICIPIO DE MUZO BOYACA</v>
          </cell>
          <cell r="K363">
            <v>104234158</v>
          </cell>
        </row>
        <row r="364">
          <cell r="I364">
            <v>800078161</v>
          </cell>
          <cell r="J364" t="str">
            <v>INSTITUCION EDUCATIVA SAN JOSE DEL MORRO</v>
          </cell>
          <cell r="K364">
            <v>26292762</v>
          </cell>
        </row>
        <row r="365">
          <cell r="I365">
            <v>800078203</v>
          </cell>
          <cell r="J365" t="str">
            <v>FONDOS DOC.COLEGIO FRANCISCO JOSE DE CALDAS</v>
          </cell>
          <cell r="K365">
            <v>185869446</v>
          </cell>
        </row>
        <row r="366">
          <cell r="I366">
            <v>800078387</v>
          </cell>
          <cell r="J366" t="str">
            <v>Institucion Educativa Tecnica Alfonso Lopez</v>
          </cell>
          <cell r="K366">
            <v>143435034</v>
          </cell>
        </row>
        <row r="367">
          <cell r="I367">
            <v>800079137</v>
          </cell>
          <cell r="J367" t="str">
            <v>FONDO DE SERVICIOS EDUCATIVOS</v>
          </cell>
          <cell r="K367">
            <v>88514006</v>
          </cell>
        </row>
        <row r="368">
          <cell r="I368">
            <v>800079162</v>
          </cell>
          <cell r="J368" t="str">
            <v>MUNICIPIO DE PURISIMA</v>
          </cell>
          <cell r="K368">
            <v>229911066</v>
          </cell>
        </row>
        <row r="369">
          <cell r="I369">
            <v>800079233</v>
          </cell>
          <cell r="J369" t="str">
            <v>COLEGIO ALFONSO LOPEZ</v>
          </cell>
          <cell r="K369">
            <v>38585496</v>
          </cell>
        </row>
        <row r="370">
          <cell r="I370">
            <v>800079467</v>
          </cell>
          <cell r="J370" t="str">
            <v>INSTITUCION EDUCATIVA MUNICIPAL HERALDO ROMERO SANCHEZ</v>
          </cell>
          <cell r="K370">
            <v>78964662</v>
          </cell>
        </row>
        <row r="371">
          <cell r="I371">
            <v>800079517</v>
          </cell>
          <cell r="J371" t="str">
            <v>INSTITUCION EDUCATIVA DON ALONSO</v>
          </cell>
          <cell r="K371">
            <v>30387788</v>
          </cell>
        </row>
        <row r="372">
          <cell r="I372">
            <v>800079653</v>
          </cell>
          <cell r="J372" t="str">
            <v>ESCUELA NORMAL SUPERIOR DE JUNIN</v>
          </cell>
          <cell r="K372">
            <v>44165088</v>
          </cell>
        </row>
        <row r="373">
          <cell r="I373">
            <v>800079926</v>
          </cell>
          <cell r="J373" t="str">
            <v>RAFAEL URIBE URIBE</v>
          </cell>
          <cell r="K373">
            <v>71694862</v>
          </cell>
        </row>
        <row r="374">
          <cell r="I374">
            <v>800080076</v>
          </cell>
          <cell r="J374" t="str">
            <v>INSTITUCION EDUCATIVA SAN JOSE</v>
          </cell>
          <cell r="K374">
            <v>70228155</v>
          </cell>
        </row>
        <row r="375">
          <cell r="I375">
            <v>800080860</v>
          </cell>
          <cell r="J375" t="str">
            <v>INSTITUCION EDUCATIVA MARCOS FIDEL SUAREZ</v>
          </cell>
          <cell r="K375">
            <v>77967495</v>
          </cell>
        </row>
        <row r="376">
          <cell r="I376">
            <v>800081167</v>
          </cell>
          <cell r="J376" t="str">
            <v>INSTITUCION EDUCATIVA ALTOZANO</v>
          </cell>
          <cell r="K376">
            <v>51394325</v>
          </cell>
        </row>
        <row r="377">
          <cell r="I377">
            <v>800082051</v>
          </cell>
          <cell r="J377" t="str">
            <v>NUESTRA SEÑORA DE LA SALUD</v>
          </cell>
          <cell r="K377">
            <v>43394065</v>
          </cell>
        </row>
        <row r="378">
          <cell r="I378">
            <v>800082378</v>
          </cell>
          <cell r="J378" t="str">
            <v>LICEO COMERCIAL AQUILINO BEDOYA SGP</v>
          </cell>
          <cell r="K378">
            <v>86732736</v>
          </cell>
        </row>
        <row r="379">
          <cell r="I379">
            <v>800083233</v>
          </cell>
          <cell r="J379" t="str">
            <v>MUNICIPIO DE SAN JOSE DE PARE</v>
          </cell>
          <cell r="K379">
            <v>52619427</v>
          </cell>
        </row>
        <row r="380">
          <cell r="I380">
            <v>800083362</v>
          </cell>
          <cell r="J380" t="str">
            <v>INSTITUTO TECNICO AGRICOLA RAFAEL ORTIZ GONZALEZ</v>
          </cell>
          <cell r="K380">
            <v>33029784</v>
          </cell>
        </row>
        <row r="381">
          <cell r="I381">
            <v>800083672</v>
          </cell>
          <cell r="J381" t="str">
            <v>MUNICIPIO DE GUALMATAN</v>
          </cell>
          <cell r="K381">
            <v>63542962</v>
          </cell>
        </row>
        <row r="382">
          <cell r="I382">
            <v>800084378</v>
          </cell>
          <cell r="J382" t="str">
            <v>MUNICIPIO DE GUAPI</v>
          </cell>
          <cell r="K382">
            <v>762240787</v>
          </cell>
        </row>
        <row r="383">
          <cell r="I383">
            <v>800085991</v>
          </cell>
          <cell r="J383" t="str">
            <v>INSTITUCION EDUCATIVA COLEGIO GUILLERMO CANO ISAZA</v>
          </cell>
          <cell r="K383">
            <v>37320929</v>
          </cell>
        </row>
        <row r="384">
          <cell r="I384">
            <v>800086017</v>
          </cell>
          <cell r="J384" t="str">
            <v>MUNICIPIO DE CHAMEZA</v>
          </cell>
          <cell r="K384">
            <v>19498591</v>
          </cell>
        </row>
        <row r="385">
          <cell r="I385">
            <v>800086822</v>
          </cell>
          <cell r="J385" t="str">
            <v>Insitucion Educativa Cristo Rey</v>
          </cell>
          <cell r="K385">
            <v>70448664</v>
          </cell>
        </row>
        <row r="386">
          <cell r="I386">
            <v>800086966</v>
          </cell>
          <cell r="J386" t="str">
            <v>IE JORGE ELIECER GAITAN MARIPI</v>
          </cell>
          <cell r="K386">
            <v>57365427</v>
          </cell>
        </row>
        <row r="387">
          <cell r="I387">
            <v>800087079</v>
          </cell>
          <cell r="J387" t="str">
            <v>I.E. INSTITUTO TECNICO AGROPECUARIO DE CANDELILLAS</v>
          </cell>
          <cell r="K387">
            <v>178161848</v>
          </cell>
        </row>
        <row r="388">
          <cell r="I388">
            <v>800087709</v>
          </cell>
          <cell r="J388" t="str">
            <v>INSTITUCION EDUCATIVA COLEGIO JOSE MARIA SILVA SALAZAR DE BUENAVISTA</v>
          </cell>
          <cell r="K388">
            <v>57837605</v>
          </cell>
        </row>
        <row r="389">
          <cell r="I389">
            <v>800088031</v>
          </cell>
          <cell r="J389" t="str">
            <v>INSTITUCION EDUCATIVA DE  JUAN ARIAS</v>
          </cell>
          <cell r="K389">
            <v>104617624</v>
          </cell>
        </row>
        <row r="390">
          <cell r="I390">
            <v>800088861</v>
          </cell>
          <cell r="J390" t="str">
            <v>FONDO DE SERVICIOS DOCENTE LICEO GIOVANI MONTINI</v>
          </cell>
          <cell r="K390">
            <v>51049738</v>
          </cell>
        </row>
        <row r="391">
          <cell r="I391">
            <v>800089760</v>
          </cell>
          <cell r="J391" t="str">
            <v>ESCUELA NORMAL SUPERIOR SADY TOBON CALLE</v>
          </cell>
          <cell r="K391">
            <v>65799888</v>
          </cell>
        </row>
        <row r="392">
          <cell r="I392">
            <v>800089798</v>
          </cell>
          <cell r="J392" t="str">
            <v>INSTITUCION EDUCATIVA INMACULADA LIOAN</v>
          </cell>
          <cell r="K392">
            <v>60308671</v>
          </cell>
        </row>
        <row r="393">
          <cell r="I393">
            <v>800090043</v>
          </cell>
          <cell r="J393" t="str">
            <v>INSTITUCION EDUCATIVA TECNICA INDUSTRIAL Y MINERA</v>
          </cell>
          <cell r="K393">
            <v>52572774</v>
          </cell>
        </row>
        <row r="394">
          <cell r="I394">
            <v>800090099</v>
          </cell>
          <cell r="J394" t="str">
            <v>Instituto Tecnico Comercial Jose Eugenio Martinez</v>
          </cell>
          <cell r="K394">
            <v>225856808</v>
          </cell>
        </row>
        <row r="395">
          <cell r="I395">
            <v>800090833</v>
          </cell>
          <cell r="J395" t="str">
            <v>MUNICIPIO DE VITERBO</v>
          </cell>
          <cell r="K395">
            <v>144533326</v>
          </cell>
        </row>
        <row r="396">
          <cell r="I396">
            <v>800091594</v>
          </cell>
          <cell r="J396" t="str">
            <v>DEPARTAMENTO DEL CAQUETA</v>
          </cell>
          <cell r="K396">
            <v>97916411240</v>
          </cell>
        </row>
        <row r="397">
          <cell r="I397">
            <v>800091749</v>
          </cell>
          <cell r="J397" t="str">
            <v>INSTITUCION EDUCATIVA TÉCNICA PLINIO MENDOZA NEIRA</v>
          </cell>
          <cell r="K397">
            <v>82439238</v>
          </cell>
        </row>
        <row r="398">
          <cell r="I398">
            <v>800092007</v>
          </cell>
          <cell r="J398" t="str">
            <v>I.E. LAS MERCEDES</v>
          </cell>
          <cell r="K398">
            <v>71732491</v>
          </cell>
        </row>
        <row r="399">
          <cell r="I399">
            <v>800092116</v>
          </cell>
          <cell r="J399" t="str">
            <v>COLEGIO FRANCISCO DE PAULA SANTANDE</v>
          </cell>
          <cell r="K399">
            <v>96133973</v>
          </cell>
        </row>
        <row r="400">
          <cell r="I400">
            <v>800092127</v>
          </cell>
          <cell r="J400" t="str">
            <v>Institucion Educativa Politecnico Alvaro Gonzalez Santana</v>
          </cell>
          <cell r="K400">
            <v>269423359</v>
          </cell>
        </row>
        <row r="401">
          <cell r="I401">
            <v>800092360</v>
          </cell>
          <cell r="J401" t="str">
            <v>IE NORMAL SUPERIOR DEL PUTUMAYO - FONDO DE SERV EDUCATIVOS</v>
          </cell>
          <cell r="K401">
            <v>74862908</v>
          </cell>
        </row>
        <row r="402">
          <cell r="I402">
            <v>800092592</v>
          </cell>
          <cell r="J402" t="str">
            <v>FONDOS EDUCATIVOS CIUDAD DE PASTO</v>
          </cell>
          <cell r="K402">
            <v>401735692</v>
          </cell>
        </row>
        <row r="403">
          <cell r="I403">
            <v>800092673</v>
          </cell>
          <cell r="J403" t="str">
            <v>Institucion Educativa Jorge Eliecer Gaitan</v>
          </cell>
          <cell r="K403">
            <v>71410449</v>
          </cell>
        </row>
        <row r="404">
          <cell r="I404">
            <v>800092788</v>
          </cell>
          <cell r="J404" t="str">
            <v>MUNICIPIO DEL MOLINO</v>
          </cell>
          <cell r="K404">
            <v>55078002</v>
          </cell>
        </row>
        <row r="405">
          <cell r="I405">
            <v>800092907</v>
          </cell>
          <cell r="J405" t="str">
            <v>INSTITUCION EDUCATIVA TECNICO SUPERIOR</v>
          </cell>
          <cell r="K405">
            <v>196981750</v>
          </cell>
        </row>
        <row r="406">
          <cell r="I406">
            <v>800092983</v>
          </cell>
          <cell r="J406" t="str">
            <v>INSTITUCION EDUCATIVA SANTA CATALINA LABOURE</v>
          </cell>
          <cell r="K406">
            <v>64522759</v>
          </cell>
        </row>
        <row r="407">
          <cell r="I407">
            <v>800093091</v>
          </cell>
          <cell r="J407" t="str">
            <v>Institucion Educativa Unidad Basica Manuela Beltran</v>
          </cell>
          <cell r="K407">
            <v>87729547</v>
          </cell>
        </row>
        <row r="408">
          <cell r="I408">
            <v>800093386</v>
          </cell>
          <cell r="J408" t="str">
            <v>MUNICIPIO   DE  ARBELAEZ</v>
          </cell>
          <cell r="K408">
            <v>113378349</v>
          </cell>
        </row>
        <row r="409">
          <cell r="I409">
            <v>800093437</v>
          </cell>
          <cell r="J409" t="str">
            <v>MUNICIPIO DE SAN BERNARDO</v>
          </cell>
          <cell r="K409">
            <v>103488070</v>
          </cell>
        </row>
        <row r="410">
          <cell r="I410">
            <v>800093439</v>
          </cell>
          <cell r="J410" t="str">
            <v>MUNICIPIO DE TOCAIMA</v>
          </cell>
          <cell r="K410">
            <v>133634879</v>
          </cell>
        </row>
        <row r="411">
          <cell r="I411">
            <v>800093734</v>
          </cell>
          <cell r="J411" t="str">
            <v>FONDO DE SERVICIOS EDUCATIVOS INSTITUCION EDUCATIVA INEM MANUEL MURILLO TORO</v>
          </cell>
          <cell r="K411">
            <v>165485755</v>
          </cell>
        </row>
        <row r="412">
          <cell r="I412">
            <v>800094067</v>
          </cell>
          <cell r="J412" t="str">
            <v>DEPARTAMENTO DEL VICHADA</v>
          </cell>
          <cell r="K412">
            <v>25786319313</v>
          </cell>
        </row>
        <row r="413">
          <cell r="I413">
            <v>800094164</v>
          </cell>
          <cell r="J413" t="str">
            <v>DEPARTAMENTO DEL PUTUMAYO</v>
          </cell>
          <cell r="K413">
            <v>130833333007</v>
          </cell>
        </row>
        <row r="414">
          <cell r="I414">
            <v>800094329</v>
          </cell>
          <cell r="J414" t="str">
            <v>INSTITUCION EDUCATIVA DE GALERAS</v>
          </cell>
          <cell r="K414">
            <v>138494125</v>
          </cell>
        </row>
        <row r="415">
          <cell r="I415">
            <v>800094378</v>
          </cell>
          <cell r="J415" t="str">
            <v>MUNICIPIO DE USIACURI</v>
          </cell>
          <cell r="K415">
            <v>86760394</v>
          </cell>
        </row>
        <row r="416">
          <cell r="I416">
            <v>800094386</v>
          </cell>
          <cell r="J416" t="str">
            <v>MUNICIPIO DE PUERTO COLOMBIA</v>
          </cell>
          <cell r="K416">
            <v>213236583</v>
          </cell>
        </row>
        <row r="417">
          <cell r="I417">
            <v>800094449</v>
          </cell>
          <cell r="J417" t="str">
            <v>MUNICIPIO DE PALMAR DE VARELA</v>
          </cell>
          <cell r="K417">
            <v>251435471</v>
          </cell>
        </row>
        <row r="418">
          <cell r="I418">
            <v>800094462</v>
          </cell>
          <cell r="J418" t="str">
            <v>MUNICIPIO DE CAMPO DE LA CRUZ</v>
          </cell>
          <cell r="K418">
            <v>323187977</v>
          </cell>
        </row>
        <row r="419">
          <cell r="I419">
            <v>800094466</v>
          </cell>
          <cell r="J419" t="str">
            <v>MUNICIPIO DE CANDELARIA</v>
          </cell>
          <cell r="K419">
            <v>248782513</v>
          </cell>
        </row>
        <row r="420">
          <cell r="I420">
            <v>800094508</v>
          </cell>
          <cell r="J420" t="str">
            <v>Fondo de Servicios Educativos I.E. San Antonio de Padua</v>
          </cell>
          <cell r="K420">
            <v>114620897</v>
          </cell>
        </row>
        <row r="421">
          <cell r="I421">
            <v>800094622</v>
          </cell>
          <cell r="J421" t="str">
            <v>MUNICIPIO DE BOJACA</v>
          </cell>
          <cell r="K421">
            <v>69893096</v>
          </cell>
        </row>
        <row r="422">
          <cell r="I422">
            <v>800094701</v>
          </cell>
          <cell r="J422" t="str">
            <v>MUNICIPIO DE GUAYABETAL</v>
          </cell>
          <cell r="K422">
            <v>52066910</v>
          </cell>
        </row>
        <row r="423">
          <cell r="I423">
            <v>800094704</v>
          </cell>
          <cell r="J423" t="str">
            <v>MUNICIPIO DE GUTIERREZ</v>
          </cell>
          <cell r="K423">
            <v>41885417</v>
          </cell>
        </row>
        <row r="424">
          <cell r="I424">
            <v>800094711</v>
          </cell>
          <cell r="J424" t="str">
            <v>MUNICIPIO MANTA CUNDINAMARCA</v>
          </cell>
          <cell r="K424">
            <v>37604987</v>
          </cell>
        </row>
        <row r="425">
          <cell r="I425">
            <v>800094713</v>
          </cell>
          <cell r="J425" t="str">
            <v>MUNICIPIO DE NIMAIMA</v>
          </cell>
          <cell r="K425">
            <v>35685300</v>
          </cell>
        </row>
        <row r="426">
          <cell r="I426">
            <v>800094716</v>
          </cell>
          <cell r="J426" t="str">
            <v>MUNICIPIO DE QUETAME</v>
          </cell>
          <cell r="K426">
            <v>61894861</v>
          </cell>
        </row>
        <row r="427">
          <cell r="I427">
            <v>800094751</v>
          </cell>
          <cell r="J427" t="str">
            <v>MUNICIPIO DE SAN CAYETANO</v>
          </cell>
          <cell r="K427">
            <v>48973750</v>
          </cell>
        </row>
        <row r="428">
          <cell r="I428">
            <v>800094752</v>
          </cell>
          <cell r="J428" t="str">
            <v>MUNICIPIO DE SASAIMA</v>
          </cell>
          <cell r="K428">
            <v>109013002</v>
          </cell>
        </row>
        <row r="429">
          <cell r="I429">
            <v>800094755</v>
          </cell>
          <cell r="J429" t="str">
            <v>MUNICIPIO DE SOACHA</v>
          </cell>
          <cell r="K429">
            <v>85276313224</v>
          </cell>
        </row>
        <row r="430">
          <cell r="I430">
            <v>800094776</v>
          </cell>
          <cell r="J430" t="str">
            <v>MUNICIPIO DE YACOPI</v>
          </cell>
          <cell r="K430">
            <v>191280502</v>
          </cell>
        </row>
        <row r="431">
          <cell r="I431">
            <v>800094778</v>
          </cell>
          <cell r="J431" t="str">
            <v>MUNICIPIO DE ZIPACON</v>
          </cell>
          <cell r="K431">
            <v>43373785</v>
          </cell>
        </row>
        <row r="432">
          <cell r="I432">
            <v>800094782</v>
          </cell>
          <cell r="J432" t="str">
            <v>MUNICIPIO DE TIBIRITA</v>
          </cell>
          <cell r="K432">
            <v>23844191</v>
          </cell>
        </row>
        <row r="433">
          <cell r="I433">
            <v>800094786</v>
          </cell>
          <cell r="J433" t="str">
            <v>I.E Jose María Vivas Balcazar</v>
          </cell>
          <cell r="K433">
            <v>152603289</v>
          </cell>
        </row>
        <row r="434">
          <cell r="I434">
            <v>800094844</v>
          </cell>
          <cell r="J434" t="str">
            <v>MUNICIPIO  DE SABANALARGA ATLANTICO</v>
          </cell>
          <cell r="K434">
            <v>801490557</v>
          </cell>
        </row>
        <row r="435">
          <cell r="I435">
            <v>800095074</v>
          </cell>
          <cell r="J435" t="str">
            <v>INSTITUTO TECNICO INDUSTRIAL DE TIBASOSA</v>
          </cell>
          <cell r="K435">
            <v>99916517</v>
          </cell>
        </row>
        <row r="436">
          <cell r="I436">
            <v>800095117</v>
          </cell>
          <cell r="J436" t="str">
            <v>TRIA.GRAL.DE LA REP. COLEGIO SANTA ANA</v>
          </cell>
          <cell r="K436">
            <v>126410400</v>
          </cell>
        </row>
        <row r="437">
          <cell r="I437">
            <v>800095174</v>
          </cell>
          <cell r="J437" t="str">
            <v>MUNICIPIO DE TENJO</v>
          </cell>
          <cell r="K437">
            <v>123467197</v>
          </cell>
        </row>
        <row r="438">
          <cell r="I438">
            <v>800095277</v>
          </cell>
          <cell r="J438" t="str">
            <v>Colegio Humberto Gomez Nigrinis</v>
          </cell>
          <cell r="K438">
            <v>137767573</v>
          </cell>
        </row>
        <row r="439">
          <cell r="I439">
            <v>800095461</v>
          </cell>
          <cell r="J439" t="str">
            <v>MUNICIPIO DE RISARALDA</v>
          </cell>
          <cell r="K439">
            <v>104517567</v>
          </cell>
        </row>
        <row r="440">
          <cell r="I440">
            <v>800095466</v>
          </cell>
          <cell r="J440" t="str">
            <v>MUNICIPIO DE MARIA LABAJA</v>
          </cell>
          <cell r="K440">
            <v>723534028</v>
          </cell>
        </row>
        <row r="441">
          <cell r="I441">
            <v>800095511</v>
          </cell>
          <cell r="J441" t="str">
            <v>MUNICIPIO DE MARGARITA</v>
          </cell>
          <cell r="K441">
            <v>172208729</v>
          </cell>
        </row>
        <row r="442">
          <cell r="I442">
            <v>800095514</v>
          </cell>
          <cell r="J442" t="str">
            <v>MUNICIPIO DE MAHATES</v>
          </cell>
          <cell r="K442">
            <v>346648687</v>
          </cell>
        </row>
        <row r="443">
          <cell r="I443">
            <v>800095530</v>
          </cell>
          <cell r="J443" t="str">
            <v>MUNICIPIO DE TALAIGUA NUEVO</v>
          </cell>
          <cell r="K443">
            <v>226596272</v>
          </cell>
        </row>
        <row r="444">
          <cell r="I444">
            <v>800095568</v>
          </cell>
          <cell r="J444" t="str">
            <v>MUNICIPIO DE UBAQUE</v>
          </cell>
          <cell r="K444">
            <v>58837562</v>
          </cell>
        </row>
        <row r="445">
          <cell r="I445">
            <v>800095589</v>
          </cell>
          <cell r="J445" t="str">
            <v>MUNICIPIO DE BAJO BAUDO</v>
          </cell>
          <cell r="K445">
            <v>362697461</v>
          </cell>
        </row>
        <row r="446">
          <cell r="I446">
            <v>800095613</v>
          </cell>
          <cell r="J446" t="str">
            <v>MUNICIPIO DE SIPI</v>
          </cell>
          <cell r="K446">
            <v>53530533</v>
          </cell>
        </row>
        <row r="447">
          <cell r="I447">
            <v>800095728</v>
          </cell>
          <cell r="J447" t="str">
            <v>MUNICIPIO DE FLORENCIA</v>
          </cell>
          <cell r="K447">
            <v>48353152837</v>
          </cell>
        </row>
        <row r="448">
          <cell r="I448">
            <v>800095734</v>
          </cell>
          <cell r="J448" t="str">
            <v>MUNICIPIO DE BELEN DE LOS ANDAQUIES</v>
          </cell>
          <cell r="K448">
            <v>134221717</v>
          </cell>
        </row>
        <row r="449">
          <cell r="I449">
            <v>800095754</v>
          </cell>
          <cell r="J449" t="str">
            <v>MUNICIPIO CARTAGENA DEL CHAIRA</v>
          </cell>
          <cell r="K449">
            <v>478368289</v>
          </cell>
        </row>
        <row r="450">
          <cell r="I450">
            <v>800095757</v>
          </cell>
          <cell r="J450" t="str">
            <v>MUNICIPIO DE CURILLO</v>
          </cell>
          <cell r="K450">
            <v>137076093</v>
          </cell>
        </row>
        <row r="451">
          <cell r="I451">
            <v>800095760</v>
          </cell>
          <cell r="J451" t="str">
            <v>MUNICIPIO EL DONCELLO</v>
          </cell>
          <cell r="K451">
            <v>237309968</v>
          </cell>
        </row>
        <row r="452">
          <cell r="I452">
            <v>800095763</v>
          </cell>
          <cell r="J452" t="str">
            <v>MUNICIPIO DE EL PAUJIL</v>
          </cell>
          <cell r="K452">
            <v>182180523</v>
          </cell>
        </row>
        <row r="453">
          <cell r="I453">
            <v>800095764</v>
          </cell>
          <cell r="J453" t="str">
            <v>INSTITUCION EDUCATIVA COMERCIAL CIUDAD DE CALI</v>
          </cell>
          <cell r="K453">
            <v>104271859</v>
          </cell>
        </row>
        <row r="454">
          <cell r="I454">
            <v>800095770</v>
          </cell>
          <cell r="J454" t="str">
            <v>MUNICIPIO DE LA MONTAÑITA CAQUETA</v>
          </cell>
          <cell r="K454">
            <v>281434293</v>
          </cell>
        </row>
        <row r="455">
          <cell r="I455">
            <v>800095773</v>
          </cell>
          <cell r="J455" t="str">
            <v>MUNICIPIO DE MORELIA</v>
          </cell>
          <cell r="K455">
            <v>42412496</v>
          </cell>
        </row>
        <row r="456">
          <cell r="I456">
            <v>800095775</v>
          </cell>
          <cell r="J456" t="str">
            <v>MUNICIPIO DE PUERTO RICO</v>
          </cell>
          <cell r="K456">
            <v>465570133</v>
          </cell>
        </row>
        <row r="457">
          <cell r="I457">
            <v>800095782</v>
          </cell>
          <cell r="J457" t="str">
            <v>MUNICIPIO DE SAN JOSE DEL FRAGUA</v>
          </cell>
          <cell r="K457">
            <v>185141635</v>
          </cell>
        </row>
        <row r="458">
          <cell r="I458">
            <v>800095785</v>
          </cell>
          <cell r="J458" t="str">
            <v>MUNICIPIO DE SAN VICENTE DEL CAGUAN</v>
          </cell>
          <cell r="K458">
            <v>748600265</v>
          </cell>
        </row>
        <row r="459">
          <cell r="I459">
            <v>800095786</v>
          </cell>
          <cell r="J459" t="str">
            <v>MUNICIPIO DE SOLANO</v>
          </cell>
          <cell r="K459">
            <v>225227289</v>
          </cell>
        </row>
        <row r="460">
          <cell r="I460">
            <v>800095788</v>
          </cell>
          <cell r="J460" t="str">
            <v>MUNICIPIO DE SOLITA</v>
          </cell>
          <cell r="K460">
            <v>103656987</v>
          </cell>
        </row>
        <row r="461">
          <cell r="I461">
            <v>800095961</v>
          </cell>
          <cell r="J461" t="str">
            <v>MUNICIPIO DE BOLIVAR</v>
          </cell>
          <cell r="K461">
            <v>433745284</v>
          </cell>
        </row>
        <row r="462">
          <cell r="I462">
            <v>800095978</v>
          </cell>
          <cell r="J462" t="str">
            <v>MUNICIPIO DE PADILLA</v>
          </cell>
          <cell r="K462">
            <v>94043453</v>
          </cell>
        </row>
        <row r="463">
          <cell r="I463">
            <v>800095983</v>
          </cell>
          <cell r="J463" t="str">
            <v>MUNICIPIO DE ROSAS</v>
          </cell>
          <cell r="K463">
            <v>115508932</v>
          </cell>
        </row>
        <row r="464">
          <cell r="I464">
            <v>800095984</v>
          </cell>
          <cell r="J464" t="str">
            <v>MUNICIPIO DE SANTA ROSA</v>
          </cell>
          <cell r="K464">
            <v>84949858</v>
          </cell>
        </row>
        <row r="465">
          <cell r="I465">
            <v>800096058</v>
          </cell>
          <cell r="J465" t="str">
            <v>INSTITUCION EDUCATIVA DEPARTAMENTAL GABRIEL GARCIA MARQUEZ</v>
          </cell>
          <cell r="K465">
            <v>84649227</v>
          </cell>
        </row>
        <row r="466">
          <cell r="I466">
            <v>800096162</v>
          </cell>
          <cell r="J466" t="str">
            <v>I.E General Francisco de Paula Santander</v>
          </cell>
          <cell r="K466">
            <v>136714975</v>
          </cell>
        </row>
        <row r="467">
          <cell r="I467">
            <v>800096558</v>
          </cell>
          <cell r="J467" t="str">
            <v>MUNICIPIO DE AGUSTIN CODAZZI</v>
          </cell>
          <cell r="K467">
            <v>776316856</v>
          </cell>
        </row>
        <row r="468">
          <cell r="I468">
            <v>800096561</v>
          </cell>
          <cell r="J468" t="str">
            <v>MUNICIPIO DE AGUACHICA</v>
          </cell>
          <cell r="K468">
            <v>1060290000</v>
          </cell>
        </row>
        <row r="469">
          <cell r="I469">
            <v>800096576</v>
          </cell>
          <cell r="J469" t="str">
            <v>MUNICIPIO DE BECERRIL</v>
          </cell>
          <cell r="K469">
            <v>288506414</v>
          </cell>
        </row>
        <row r="470">
          <cell r="I470">
            <v>800096580</v>
          </cell>
          <cell r="J470" t="str">
            <v>MUNICIPIO DE CURUMANI</v>
          </cell>
          <cell r="K470">
            <v>458131583</v>
          </cell>
        </row>
        <row r="471">
          <cell r="I471">
            <v>800096585</v>
          </cell>
          <cell r="J471" t="str">
            <v>MUNICIPIO DE CHIRIGUANA</v>
          </cell>
          <cell r="K471">
            <v>363250349</v>
          </cell>
        </row>
        <row r="472">
          <cell r="I472">
            <v>800096587</v>
          </cell>
          <cell r="J472" t="str">
            <v>MUNICIPIO EL COPEY</v>
          </cell>
          <cell r="K472">
            <v>400734103</v>
          </cell>
        </row>
        <row r="473">
          <cell r="I473">
            <v>800096592</v>
          </cell>
          <cell r="J473" t="str">
            <v>MUNICIPIO DE EL PASO</v>
          </cell>
          <cell r="K473">
            <v>649403944</v>
          </cell>
        </row>
        <row r="474">
          <cell r="I474">
            <v>800096595</v>
          </cell>
          <cell r="J474" t="str">
            <v>MUNICIPIO DE GAMARRA</v>
          </cell>
          <cell r="K474">
            <v>140592991</v>
          </cell>
        </row>
        <row r="475">
          <cell r="I475">
            <v>800096597</v>
          </cell>
          <cell r="J475" t="str">
            <v>MUNICIPIO DE GONZALEZ</v>
          </cell>
          <cell r="K475">
            <v>65144191</v>
          </cell>
        </row>
        <row r="476">
          <cell r="I476">
            <v>800096599</v>
          </cell>
          <cell r="J476" t="str">
            <v>MUNICIPIO LA GLORIA</v>
          </cell>
          <cell r="K476">
            <v>204666469</v>
          </cell>
        </row>
        <row r="477">
          <cell r="I477">
            <v>800096605</v>
          </cell>
          <cell r="J477" t="str">
            <v>MUNICIPIO DE LA PAZ</v>
          </cell>
          <cell r="K477">
            <v>303466982</v>
          </cell>
        </row>
        <row r="478">
          <cell r="I478">
            <v>800096610</v>
          </cell>
          <cell r="J478" t="str">
            <v>MUNICIPIO DE PAILITAS</v>
          </cell>
          <cell r="K478">
            <v>222263986</v>
          </cell>
        </row>
        <row r="479">
          <cell r="I479">
            <v>800096613</v>
          </cell>
          <cell r="J479" t="str">
            <v>MUNICIPIO DE PELAYA</v>
          </cell>
          <cell r="K479">
            <v>277488617</v>
          </cell>
        </row>
        <row r="480">
          <cell r="I480">
            <v>800096619</v>
          </cell>
          <cell r="J480" t="str">
            <v>MUNICIPIO DE SAN ALBERTO</v>
          </cell>
          <cell r="K480">
            <v>222132414</v>
          </cell>
        </row>
        <row r="481">
          <cell r="I481">
            <v>800096623</v>
          </cell>
          <cell r="J481" t="str">
            <v>MUNICIPIO DE SAN DIEGO</v>
          </cell>
          <cell r="K481">
            <v>206320800</v>
          </cell>
        </row>
        <row r="482">
          <cell r="I482">
            <v>800096626</v>
          </cell>
          <cell r="J482" t="str">
            <v>MUNICIPIO DE TAMALAMEQUE</v>
          </cell>
          <cell r="K482">
            <v>300456891</v>
          </cell>
        </row>
        <row r="483">
          <cell r="I483">
            <v>800096642</v>
          </cell>
          <cell r="J483" t="str">
            <v>COL LUIS GABRIEL CASTRO</v>
          </cell>
          <cell r="K483">
            <v>224993280</v>
          </cell>
        </row>
        <row r="484">
          <cell r="I484">
            <v>800096697</v>
          </cell>
          <cell r="J484" t="str">
            <v>Institucion Educativa Tecnico Agropecuario</v>
          </cell>
          <cell r="K484">
            <v>62088336</v>
          </cell>
        </row>
        <row r="485">
          <cell r="I485">
            <v>800096734</v>
          </cell>
          <cell r="J485" t="str">
            <v>MUNICIPIO DE MONTERIA</v>
          </cell>
          <cell r="K485">
            <v>126293150713</v>
          </cell>
        </row>
        <row r="486">
          <cell r="I486">
            <v>800096737</v>
          </cell>
          <cell r="J486" t="str">
            <v>MUNICIPIO DE AYAPEL</v>
          </cell>
          <cell r="K486">
            <v>822276301</v>
          </cell>
        </row>
        <row r="487">
          <cell r="I487">
            <v>800096739</v>
          </cell>
          <cell r="J487" t="str">
            <v>MUNICIPIO DE BUENAVISTA</v>
          </cell>
          <cell r="K487">
            <v>362831658</v>
          </cell>
        </row>
        <row r="488">
          <cell r="I488">
            <v>800096740</v>
          </cell>
          <cell r="J488" t="str">
            <v>MUNICIPIO DE CANALETE</v>
          </cell>
          <cell r="K488">
            <v>406983325</v>
          </cell>
        </row>
        <row r="489">
          <cell r="I489">
            <v>800096744</v>
          </cell>
          <cell r="J489" t="str">
            <v>MUNICIPIO DE CERETE</v>
          </cell>
          <cell r="K489">
            <v>1010446864</v>
          </cell>
        </row>
        <row r="490">
          <cell r="I490">
            <v>800096746</v>
          </cell>
          <cell r="J490" t="str">
            <v>MUNICIPIO DE CIENAGA DE ORO</v>
          </cell>
          <cell r="K490">
            <v>862492484</v>
          </cell>
        </row>
        <row r="491">
          <cell r="I491">
            <v>800096750</v>
          </cell>
          <cell r="J491" t="str">
            <v>MUNICIPIO DE CHIMA</v>
          </cell>
          <cell r="K491">
            <v>214570552</v>
          </cell>
        </row>
        <row r="492">
          <cell r="I492">
            <v>800096753</v>
          </cell>
          <cell r="J492" t="str">
            <v>MUNICIPIO DE CHINU</v>
          </cell>
          <cell r="K492">
            <v>553506268</v>
          </cell>
        </row>
        <row r="493">
          <cell r="I493">
            <v>800096758</v>
          </cell>
          <cell r="J493" t="str">
            <v>MUNICIPIO DE LORICA</v>
          </cell>
          <cell r="K493">
            <v>47899041458</v>
          </cell>
        </row>
        <row r="494">
          <cell r="I494">
            <v>800096761</v>
          </cell>
          <cell r="J494" t="str">
            <v>MUNICIPIO DE LOS CORDOBAS</v>
          </cell>
          <cell r="K494">
            <v>357933373</v>
          </cell>
        </row>
        <row r="495">
          <cell r="I495">
            <v>800096762</v>
          </cell>
          <cell r="J495" t="str">
            <v>MUNICIPIO DE MOMIL</v>
          </cell>
          <cell r="K495">
            <v>243825897</v>
          </cell>
        </row>
        <row r="496">
          <cell r="I496">
            <v>800096763</v>
          </cell>
          <cell r="J496" t="str">
            <v>MUNICIPIO DE MONTELIBANO</v>
          </cell>
          <cell r="K496">
            <v>911399524</v>
          </cell>
        </row>
        <row r="497">
          <cell r="I497">
            <v>800096765</v>
          </cell>
          <cell r="J497" t="str">
            <v>MUNICIPIO DE PLANETA RICA</v>
          </cell>
          <cell r="K497">
            <v>942396560</v>
          </cell>
        </row>
        <row r="498">
          <cell r="I498">
            <v>800096770</v>
          </cell>
          <cell r="J498" t="str">
            <v>MUNICIPIO DE PUERTO ESCONDIDO</v>
          </cell>
          <cell r="K498">
            <v>493322452</v>
          </cell>
        </row>
        <row r="499">
          <cell r="I499">
            <v>800096772</v>
          </cell>
          <cell r="J499" t="str">
            <v>MUNICIPIO DE PUERTO LIBERTADOR</v>
          </cell>
          <cell r="K499">
            <v>666271452</v>
          </cell>
        </row>
        <row r="500">
          <cell r="I500">
            <v>800096777</v>
          </cell>
          <cell r="J500" t="str">
            <v>MUNICIPIO DE SAHAGUN</v>
          </cell>
          <cell r="K500">
            <v>35758012785</v>
          </cell>
        </row>
        <row r="501">
          <cell r="I501">
            <v>800096781</v>
          </cell>
          <cell r="J501" t="str">
            <v>MUNICIPIO DE SAN ANTERO</v>
          </cell>
          <cell r="K501">
            <v>483162883</v>
          </cell>
        </row>
        <row r="502">
          <cell r="I502">
            <v>800096804</v>
          </cell>
          <cell r="J502" t="str">
            <v>MUNICIPIO DE SAN BERNARDO DEL VIENTO</v>
          </cell>
          <cell r="K502">
            <v>524560883</v>
          </cell>
        </row>
        <row r="503">
          <cell r="I503">
            <v>800096805</v>
          </cell>
          <cell r="J503" t="str">
            <v>MUNICIPIO DE SAN PELAYO</v>
          </cell>
          <cell r="K503">
            <v>580582212</v>
          </cell>
        </row>
        <row r="504">
          <cell r="I504">
            <v>800096807</v>
          </cell>
          <cell r="J504" t="str">
            <v>MUNICIPIO DE TIERRALTA</v>
          </cell>
          <cell r="K504">
            <v>1784504624</v>
          </cell>
        </row>
        <row r="505">
          <cell r="I505">
            <v>800096808</v>
          </cell>
          <cell r="J505" t="str">
            <v>MUNICIPIO DE VALENCIA</v>
          </cell>
          <cell r="K505">
            <v>697771865</v>
          </cell>
        </row>
        <row r="506">
          <cell r="I506">
            <v>800097029</v>
          </cell>
          <cell r="J506" t="str">
            <v>FONDO DE SERVICIOS EDUCATIVOS</v>
          </cell>
          <cell r="K506">
            <v>59258943</v>
          </cell>
        </row>
        <row r="507">
          <cell r="I507">
            <v>800097038</v>
          </cell>
          <cell r="J507" t="str">
            <v>INSTITUCION EDUCATIVA TECNICA SANTA CRUZ DE MOTAVITA</v>
          </cell>
          <cell r="K507">
            <v>40887674</v>
          </cell>
        </row>
        <row r="508">
          <cell r="I508">
            <v>800097098</v>
          </cell>
          <cell r="J508" t="str">
            <v>MUNICIPIO  DE  ISNOS</v>
          </cell>
          <cell r="K508">
            <v>248438792</v>
          </cell>
        </row>
        <row r="509">
          <cell r="I509">
            <v>800097176</v>
          </cell>
          <cell r="J509" t="str">
            <v>MUNICIPIO DE TESALIA</v>
          </cell>
          <cell r="K509">
            <v>90781663</v>
          </cell>
        </row>
        <row r="510">
          <cell r="I510">
            <v>800097490</v>
          </cell>
          <cell r="J510" t="str">
            <v>IE FEMENINA  DE ENSEÑANZA MEDIA Y PROFESIONAL</v>
          </cell>
          <cell r="K510">
            <v>178503593</v>
          </cell>
        </row>
        <row r="511">
          <cell r="I511">
            <v>800097725</v>
          </cell>
          <cell r="J511" t="str">
            <v>Agustin Nieto Caballero</v>
          </cell>
          <cell r="K511">
            <v>168429367</v>
          </cell>
        </row>
        <row r="512">
          <cell r="I512">
            <v>800097814</v>
          </cell>
          <cell r="J512" t="str">
            <v>I.E Jose María Saavedra Galindo</v>
          </cell>
          <cell r="K512">
            <v>73926657</v>
          </cell>
        </row>
        <row r="513">
          <cell r="I513">
            <v>800098071</v>
          </cell>
          <cell r="J513" t="str">
            <v>ESCUELA NORMAL SUPERIOR DE QUIBDO</v>
          </cell>
          <cell r="K513">
            <v>193555270</v>
          </cell>
        </row>
        <row r="514">
          <cell r="I514">
            <v>800098147</v>
          </cell>
          <cell r="J514" t="str">
            <v>COLEGIO SAN CARLOS</v>
          </cell>
          <cell r="K514">
            <v>91243447</v>
          </cell>
        </row>
        <row r="515">
          <cell r="I515">
            <v>800098190</v>
          </cell>
          <cell r="J515" t="str">
            <v>MUNICIPIO DE CASTILLA LA NUEVA</v>
          </cell>
          <cell r="K515">
            <v>105816942</v>
          </cell>
        </row>
        <row r="516">
          <cell r="I516">
            <v>800098193</v>
          </cell>
          <cell r="J516" t="str">
            <v>MUNICIPIO DE GUAMAL</v>
          </cell>
          <cell r="K516">
            <v>97166496</v>
          </cell>
        </row>
        <row r="517">
          <cell r="I517">
            <v>800098199</v>
          </cell>
          <cell r="J517" t="str">
            <v>MUNICIPIO DE RESTREPO</v>
          </cell>
          <cell r="K517">
            <v>115504011</v>
          </cell>
        </row>
        <row r="518">
          <cell r="I518">
            <v>800098203</v>
          </cell>
          <cell r="J518" t="str">
            <v>MUNICIPIO DE SAN CARLOS DE GUAROA</v>
          </cell>
          <cell r="K518">
            <v>112932701</v>
          </cell>
        </row>
        <row r="519">
          <cell r="I519">
            <v>800098205</v>
          </cell>
          <cell r="J519" t="str">
            <v>MUNICIPIO DE SAN JUAN DE ARAMA</v>
          </cell>
          <cell r="K519">
            <v>78278312</v>
          </cell>
        </row>
        <row r="520">
          <cell r="I520">
            <v>800098623</v>
          </cell>
          <cell r="J520" t="str">
            <v>INSTITUCION EDUCATIVA DISTRITAL LAUREANO GOMEZ</v>
          </cell>
          <cell r="K520">
            <v>200828369</v>
          </cell>
        </row>
        <row r="521">
          <cell r="I521">
            <v>800098911</v>
          </cell>
          <cell r="J521" t="str">
            <v>MUNICIPIO DE VALLEDUPAR</v>
          </cell>
          <cell r="K521">
            <v>111117733610</v>
          </cell>
        </row>
        <row r="522">
          <cell r="I522">
            <v>800099052</v>
          </cell>
          <cell r="J522" t="str">
            <v>MUNICIPIO DE ALDANA</v>
          </cell>
          <cell r="K522">
            <v>69932107</v>
          </cell>
        </row>
        <row r="523">
          <cell r="I523">
            <v>800099058</v>
          </cell>
          <cell r="J523" t="str">
            <v>MUNICIPIO DE ARBOLEDA</v>
          </cell>
          <cell r="K523">
            <v>119163492</v>
          </cell>
        </row>
        <row r="524">
          <cell r="I524">
            <v>800099061</v>
          </cell>
          <cell r="J524" t="str">
            <v>MUNICIPIO DE BARBACOAS</v>
          </cell>
          <cell r="K524">
            <v>894540451</v>
          </cell>
        </row>
        <row r="525">
          <cell r="I525">
            <v>800099062</v>
          </cell>
          <cell r="J525" t="str">
            <v>MUNICIPIO DE BUESACO</v>
          </cell>
          <cell r="K525">
            <v>208762498</v>
          </cell>
        </row>
        <row r="526">
          <cell r="I526">
            <v>800099064</v>
          </cell>
          <cell r="J526" t="str">
            <v>MUNICIPIO DE CONTADERO</v>
          </cell>
          <cell r="K526">
            <v>58634786</v>
          </cell>
        </row>
        <row r="527">
          <cell r="I527">
            <v>800099066</v>
          </cell>
          <cell r="J527" t="str">
            <v>MUNICIPIO DE CUMBAL</v>
          </cell>
          <cell r="K527">
            <v>364796005</v>
          </cell>
        </row>
        <row r="528">
          <cell r="I528">
            <v>800099070</v>
          </cell>
          <cell r="J528" t="str">
            <v>MUNICIPIO DE CUASPUD</v>
          </cell>
          <cell r="K528">
            <v>74781959</v>
          </cell>
        </row>
        <row r="529">
          <cell r="I529">
            <v>800099076</v>
          </cell>
          <cell r="J529" t="str">
            <v>MUNICIPIO EL CHARCO</v>
          </cell>
          <cell r="K529">
            <v>665717920</v>
          </cell>
        </row>
        <row r="530">
          <cell r="I530">
            <v>800099079</v>
          </cell>
          <cell r="J530" t="str">
            <v>MUNICIPIO EL ROSARIO</v>
          </cell>
          <cell r="K530">
            <v>128167284</v>
          </cell>
        </row>
        <row r="531">
          <cell r="I531">
            <v>800099080</v>
          </cell>
          <cell r="J531" t="str">
            <v>MUNICIPIO EL TABLON</v>
          </cell>
          <cell r="K531">
            <v>165191670</v>
          </cell>
        </row>
        <row r="532">
          <cell r="I532">
            <v>800099084</v>
          </cell>
          <cell r="J532" t="str">
            <v>MUNICIPIO EL TAMBO</v>
          </cell>
          <cell r="K532">
            <v>151051656</v>
          </cell>
        </row>
        <row r="533">
          <cell r="I533">
            <v>800099085</v>
          </cell>
          <cell r="J533" t="str">
            <v>MUNICIPIO DE  FRANCISCO PIZARRO</v>
          </cell>
          <cell r="K533">
            <v>160313790</v>
          </cell>
        </row>
        <row r="534">
          <cell r="I534">
            <v>800099090</v>
          </cell>
          <cell r="J534" t="str">
            <v>MUNICIPIO DE GUAITARILLA</v>
          </cell>
          <cell r="K534">
            <v>144138771</v>
          </cell>
        </row>
        <row r="535">
          <cell r="I535">
            <v>800099092</v>
          </cell>
          <cell r="J535" t="str">
            <v>MUNICIPIO DE ILES</v>
          </cell>
          <cell r="K535">
            <v>100644915</v>
          </cell>
        </row>
        <row r="536">
          <cell r="I536">
            <v>800099095</v>
          </cell>
          <cell r="J536" t="str">
            <v>MUNICIPIO DE IPIALES</v>
          </cell>
          <cell r="K536">
            <v>35369157509</v>
          </cell>
        </row>
        <row r="537">
          <cell r="I537">
            <v>800099098</v>
          </cell>
          <cell r="J537" t="str">
            <v>MUNICIPIO DE LA CRUZ</v>
          </cell>
          <cell r="K537">
            <v>241803618</v>
          </cell>
        </row>
        <row r="538">
          <cell r="I538">
            <v>800099100</v>
          </cell>
          <cell r="J538" t="str">
            <v>MUNICIPIO DE LA FLORIDA</v>
          </cell>
          <cell r="K538">
            <v>122773182</v>
          </cell>
        </row>
        <row r="539">
          <cell r="I539">
            <v>800099102</v>
          </cell>
          <cell r="J539" t="str">
            <v>MUNICIPIO  LA UNION</v>
          </cell>
          <cell r="K539">
            <v>236528600</v>
          </cell>
        </row>
        <row r="540">
          <cell r="I540">
            <v>800099105</v>
          </cell>
          <cell r="J540" t="str">
            <v>MUNICIPIO DE LINARES</v>
          </cell>
          <cell r="K540">
            <v>117297103</v>
          </cell>
        </row>
        <row r="541">
          <cell r="I541">
            <v>800099106</v>
          </cell>
          <cell r="J541" t="str">
            <v>MUNICIPIO MAGUIPAYAN</v>
          </cell>
          <cell r="K541">
            <v>283740093</v>
          </cell>
        </row>
        <row r="542">
          <cell r="I542">
            <v>800099108</v>
          </cell>
          <cell r="J542" t="str">
            <v>MUNICIPIO DE MALLAMA</v>
          </cell>
          <cell r="K542">
            <v>87340827</v>
          </cell>
        </row>
        <row r="543">
          <cell r="I543">
            <v>800099111</v>
          </cell>
          <cell r="J543" t="str">
            <v>MUNICIPIO DE MOSQUERA</v>
          </cell>
          <cell r="K543">
            <v>180838014</v>
          </cell>
        </row>
        <row r="544">
          <cell r="I544">
            <v>800099113</v>
          </cell>
          <cell r="J544" t="str">
            <v>MUNICIPIO DE OLAYA DE HERRERA</v>
          </cell>
          <cell r="K544">
            <v>515485719</v>
          </cell>
        </row>
        <row r="545">
          <cell r="I545">
            <v>800099115</v>
          </cell>
          <cell r="J545" t="str">
            <v>MUNICIPIO DE OSPINA</v>
          </cell>
          <cell r="K545">
            <v>67863152</v>
          </cell>
        </row>
        <row r="546">
          <cell r="I546">
            <v>800099118</v>
          </cell>
          <cell r="J546" t="str">
            <v>MUNICIPIO DE PUERRES</v>
          </cell>
          <cell r="K546">
            <v>87521945</v>
          </cell>
        </row>
        <row r="547">
          <cell r="I547">
            <v>800099122</v>
          </cell>
          <cell r="J547" t="str">
            <v>MUNICIPIO DE PUPIALES</v>
          </cell>
          <cell r="K547">
            <v>177612113</v>
          </cell>
        </row>
        <row r="548">
          <cell r="I548">
            <v>800099127</v>
          </cell>
          <cell r="J548" t="str">
            <v>MUNICIPIO DE RICAURTE</v>
          </cell>
          <cell r="K548">
            <v>325506685</v>
          </cell>
        </row>
        <row r="549">
          <cell r="I549">
            <v>800099132</v>
          </cell>
          <cell r="J549" t="str">
            <v>MUNICIPIO DE ROBERTO PAYAN</v>
          </cell>
          <cell r="K549">
            <v>319320498</v>
          </cell>
        </row>
        <row r="550">
          <cell r="I550">
            <v>800099136</v>
          </cell>
          <cell r="J550" t="str">
            <v>MUNICIPIO DE SAMANIEGO</v>
          </cell>
          <cell r="K550">
            <v>338408189</v>
          </cell>
        </row>
        <row r="551">
          <cell r="I551">
            <v>800099138</v>
          </cell>
          <cell r="J551" t="str">
            <v>MUNICIPIO DE SANDONA</v>
          </cell>
          <cell r="K551">
            <v>180176493</v>
          </cell>
        </row>
        <row r="552">
          <cell r="I552">
            <v>800099142</v>
          </cell>
          <cell r="J552" t="str">
            <v>MUNICIPIO DE SAN LORENZO</v>
          </cell>
          <cell r="K552">
            <v>204067815</v>
          </cell>
        </row>
        <row r="553">
          <cell r="I553">
            <v>800099143</v>
          </cell>
          <cell r="J553" t="str">
            <v>MUNICIPIO DE SAN PABLO</v>
          </cell>
          <cell r="K553">
            <v>148954162</v>
          </cell>
        </row>
        <row r="554">
          <cell r="I554">
            <v>800099147</v>
          </cell>
          <cell r="J554" t="str">
            <v>MUNICIPIO DE SANTA BARBARA</v>
          </cell>
          <cell r="K554">
            <v>351225567</v>
          </cell>
        </row>
        <row r="555">
          <cell r="I555">
            <v>800099149</v>
          </cell>
          <cell r="J555" t="str">
            <v>MUNICIPIO   DE SAPUYES</v>
          </cell>
          <cell r="K555">
            <v>56403137</v>
          </cell>
        </row>
        <row r="556">
          <cell r="I556">
            <v>800099151</v>
          </cell>
          <cell r="J556" t="str">
            <v>MUNICIPIO DE TANGUA</v>
          </cell>
          <cell r="K556">
            <v>89484052</v>
          </cell>
        </row>
        <row r="557">
          <cell r="I557">
            <v>800099152</v>
          </cell>
          <cell r="J557" t="str">
            <v>MUNICIPIO DE TUQUERRES</v>
          </cell>
          <cell r="K557">
            <v>410965646</v>
          </cell>
        </row>
        <row r="558">
          <cell r="I558">
            <v>800099153</v>
          </cell>
          <cell r="J558" t="str">
            <v>MUNICIPIO DE YACUANQUER</v>
          </cell>
          <cell r="K558">
            <v>119498974</v>
          </cell>
        </row>
        <row r="559">
          <cell r="I559">
            <v>800099196</v>
          </cell>
          <cell r="J559" t="str">
            <v>MUNICIPIO DE CUBARA</v>
          </cell>
          <cell r="K559">
            <v>73508582</v>
          </cell>
        </row>
        <row r="560">
          <cell r="I560">
            <v>800099199</v>
          </cell>
          <cell r="J560" t="str">
            <v>MUNICIPIO DE BELEN</v>
          </cell>
          <cell r="K560">
            <v>80259753</v>
          </cell>
        </row>
        <row r="561">
          <cell r="I561">
            <v>800099202</v>
          </cell>
          <cell r="J561" t="str">
            <v>MUNICIPIO DE GUICAN</v>
          </cell>
          <cell r="K561">
            <v>51569616</v>
          </cell>
        </row>
        <row r="562">
          <cell r="I562">
            <v>800099206</v>
          </cell>
          <cell r="J562" t="str">
            <v>MUNICIPIO DE LABRANZAGRANDE</v>
          </cell>
          <cell r="K562">
            <v>47358206</v>
          </cell>
        </row>
        <row r="563">
          <cell r="I563">
            <v>800099210</v>
          </cell>
          <cell r="J563" t="str">
            <v>MUNICIPIO DE SOCHA</v>
          </cell>
          <cell r="K563">
            <v>71240393</v>
          </cell>
        </row>
        <row r="564">
          <cell r="I564">
            <v>800099223</v>
          </cell>
          <cell r="J564" t="str">
            <v>MUNICIPIO DE BARRANCAS</v>
          </cell>
          <cell r="K564">
            <v>383171523</v>
          </cell>
        </row>
        <row r="565">
          <cell r="I565">
            <v>800099234</v>
          </cell>
          <cell r="J565" t="str">
            <v>MUNICIPIO DE CACOTA</v>
          </cell>
          <cell r="K565">
            <v>27173160</v>
          </cell>
        </row>
        <row r="566">
          <cell r="I566">
            <v>800099236</v>
          </cell>
          <cell r="J566" t="str">
            <v>MUNICIPIO DE CONVENCION</v>
          </cell>
          <cell r="K566">
            <v>255977211</v>
          </cell>
        </row>
        <row r="567">
          <cell r="I567">
            <v>800099237</v>
          </cell>
          <cell r="J567" t="str">
            <v>MUNICIPIO DE DURANIA</v>
          </cell>
          <cell r="K567">
            <v>40561787</v>
          </cell>
        </row>
        <row r="568">
          <cell r="I568">
            <v>800099238</v>
          </cell>
          <cell r="J568" t="str">
            <v>MUNICIPIO EL CARMEN</v>
          </cell>
          <cell r="K568">
            <v>195918548</v>
          </cell>
        </row>
        <row r="569">
          <cell r="I569">
            <v>800099241</v>
          </cell>
          <cell r="J569" t="str">
            <v>MUNICIPIO DE HACARI</v>
          </cell>
          <cell r="K569">
            <v>191365440</v>
          </cell>
        </row>
        <row r="570">
          <cell r="I570">
            <v>800099251</v>
          </cell>
          <cell r="J570" t="str">
            <v>MUNICIPIO DE RAGONVALIA</v>
          </cell>
          <cell r="K570">
            <v>45957268</v>
          </cell>
        </row>
        <row r="571">
          <cell r="I571">
            <v>800099260</v>
          </cell>
          <cell r="J571" t="str">
            <v>MUNICIPIO SAN CALIXTO</v>
          </cell>
          <cell r="K571">
            <v>185994711</v>
          </cell>
        </row>
        <row r="572">
          <cell r="I572">
            <v>800099262</v>
          </cell>
          <cell r="J572" t="str">
            <v>MUNICIPIO DE SANTIAGO</v>
          </cell>
          <cell r="K572">
            <v>32813543</v>
          </cell>
        </row>
        <row r="573">
          <cell r="I573">
            <v>800099310</v>
          </cell>
          <cell r="J573" t="str">
            <v>MUNICIPIO DE DOSQUEBRADAS</v>
          </cell>
          <cell r="K573">
            <v>36997191325</v>
          </cell>
        </row>
        <row r="574">
          <cell r="I574">
            <v>800099317</v>
          </cell>
          <cell r="J574" t="str">
            <v>MUNICIPIO DE MARSELLA</v>
          </cell>
          <cell r="K574">
            <v>183950991</v>
          </cell>
        </row>
        <row r="575">
          <cell r="I575">
            <v>800099390</v>
          </cell>
          <cell r="J575" t="str">
            <v>MUNICIPIO DE BERBEO</v>
          </cell>
          <cell r="K575">
            <v>18388398</v>
          </cell>
        </row>
        <row r="576">
          <cell r="I576">
            <v>800099402</v>
          </cell>
          <cell r="J576" t="str">
            <v>INSTITUCION EDUCATIVA SAN MARCOS</v>
          </cell>
          <cell r="K576">
            <v>239819644</v>
          </cell>
        </row>
        <row r="577">
          <cell r="I577">
            <v>800099425</v>
          </cell>
          <cell r="J577" t="str">
            <v>MUNICIPIO DE NUNCHIA</v>
          </cell>
          <cell r="K577">
            <v>130359565</v>
          </cell>
        </row>
        <row r="578">
          <cell r="I578">
            <v>800099429</v>
          </cell>
          <cell r="J578" t="str">
            <v>MUNICIPIO DE PORE</v>
          </cell>
          <cell r="K578">
            <v>146249075</v>
          </cell>
        </row>
        <row r="579">
          <cell r="I579">
            <v>800099431</v>
          </cell>
          <cell r="J579" t="str">
            <v>MUNICIPIO  DE TAMARA</v>
          </cell>
          <cell r="K579">
            <v>128455880</v>
          </cell>
        </row>
        <row r="580">
          <cell r="I580">
            <v>800099441</v>
          </cell>
          <cell r="J580" t="str">
            <v>MUNICIPIO DE SATIVASUR</v>
          </cell>
          <cell r="K580">
            <v>11989285</v>
          </cell>
        </row>
        <row r="581">
          <cell r="I581">
            <v>800099455</v>
          </cell>
          <cell r="J581" t="str">
            <v>MUNICIPIO DE ALBANIA</v>
          </cell>
          <cell r="K581">
            <v>43373988</v>
          </cell>
        </row>
        <row r="582">
          <cell r="I582">
            <v>800099489</v>
          </cell>
          <cell r="J582" t="str">
            <v>MUNICIPIO DE CURITI</v>
          </cell>
          <cell r="K582">
            <v>119238903</v>
          </cell>
        </row>
        <row r="583">
          <cell r="I583">
            <v>800099631</v>
          </cell>
          <cell r="J583" t="str">
            <v>MUNICIPIO DE UMBITA</v>
          </cell>
          <cell r="K583">
            <v>82063380</v>
          </cell>
        </row>
        <row r="584">
          <cell r="I584">
            <v>800099639</v>
          </cell>
          <cell r="J584" t="str">
            <v>MUNICIPIO DE TUNUNGUA</v>
          </cell>
          <cell r="K584">
            <v>17402686</v>
          </cell>
        </row>
        <row r="585">
          <cell r="I585">
            <v>800099642</v>
          </cell>
          <cell r="J585" t="str">
            <v>MUNICIPIO DE TOCA</v>
          </cell>
          <cell r="K585">
            <v>109284392</v>
          </cell>
        </row>
        <row r="586">
          <cell r="I586">
            <v>800099651</v>
          </cell>
          <cell r="J586" t="str">
            <v>MUNICIPIO DE SANTA SOFIA</v>
          </cell>
          <cell r="K586">
            <v>23757209</v>
          </cell>
        </row>
        <row r="587">
          <cell r="I587">
            <v>800099662</v>
          </cell>
          <cell r="J587" t="str">
            <v>MUNICIPIO DE MONIQUIRA</v>
          </cell>
          <cell r="K587">
            <v>213479791</v>
          </cell>
        </row>
        <row r="588">
          <cell r="I588">
            <v>800099665</v>
          </cell>
          <cell r="J588" t="str">
            <v>MUNICIPIO DE LACAPILLA</v>
          </cell>
          <cell r="K588">
            <v>21925785</v>
          </cell>
        </row>
        <row r="589">
          <cell r="I589">
            <v>800099691</v>
          </cell>
          <cell r="J589" t="str">
            <v>MUNICIPIO DE GAMBITA</v>
          </cell>
          <cell r="K589">
            <v>41471780</v>
          </cell>
        </row>
        <row r="590">
          <cell r="I590">
            <v>800099694</v>
          </cell>
          <cell r="J590" t="str">
            <v>MUNICIPIO DE GUADALUPE</v>
          </cell>
          <cell r="K590">
            <v>54585349</v>
          </cell>
        </row>
        <row r="591">
          <cell r="I591">
            <v>800099708</v>
          </cell>
          <cell r="J591" t="str">
            <v>INSTITUCION EDUCATIVA DEPATAMENTAL INSTITUTO TECNICO INDUSTRIAL  DE FACATATIVA</v>
          </cell>
          <cell r="K591">
            <v>189959365</v>
          </cell>
        </row>
        <row r="592">
          <cell r="I592">
            <v>800099714</v>
          </cell>
          <cell r="J592" t="str">
            <v>MUNICIPIO DE BUSBANZA</v>
          </cell>
          <cell r="K592">
            <v>6080396</v>
          </cell>
        </row>
        <row r="593">
          <cell r="I593">
            <v>800099721</v>
          </cell>
          <cell r="J593" t="str">
            <v>MUNICIPIO DE BRICEÑO</v>
          </cell>
          <cell r="K593">
            <v>26215903</v>
          </cell>
        </row>
        <row r="594">
          <cell r="I594">
            <v>800099723</v>
          </cell>
          <cell r="J594" t="str">
            <v>MUNICIPIO DE CHIQUIZA</v>
          </cell>
          <cell r="K594">
            <v>56604730</v>
          </cell>
        </row>
        <row r="595">
          <cell r="I595">
            <v>800099769</v>
          </cell>
          <cell r="J595" t="str">
            <v>INSTITUCION EDUCATIVA TECNICO COMERCIAL HERNANDO NAVIA VARON</v>
          </cell>
          <cell r="K595">
            <v>158253228</v>
          </cell>
        </row>
        <row r="596">
          <cell r="I596">
            <v>800099819</v>
          </cell>
          <cell r="J596" t="str">
            <v>MUNICIPIO DE PARAMO</v>
          </cell>
          <cell r="K596">
            <v>30199057</v>
          </cell>
        </row>
        <row r="597">
          <cell r="I597">
            <v>800099824</v>
          </cell>
          <cell r="J597" t="str">
            <v>MUNICIPIO DE SAN GIL</v>
          </cell>
          <cell r="K597">
            <v>372518384</v>
          </cell>
        </row>
        <row r="598">
          <cell r="I598">
            <v>800099829</v>
          </cell>
          <cell r="J598" t="str">
            <v>MUNICIPIO DE SAN VICENTE DE CHUCURI</v>
          </cell>
          <cell r="K598">
            <v>304887261</v>
          </cell>
        </row>
        <row r="599">
          <cell r="I599">
            <v>800099832</v>
          </cell>
          <cell r="J599" t="str">
            <v>MUNICIPIO DE SANTA HELENA DEL OPON</v>
          </cell>
          <cell r="K599">
            <v>43092588</v>
          </cell>
        </row>
        <row r="600">
          <cell r="I600">
            <v>800100048</v>
          </cell>
          <cell r="J600" t="str">
            <v>MUNICIPIO DE AMBALEMA</v>
          </cell>
          <cell r="K600">
            <v>78169560</v>
          </cell>
        </row>
        <row r="601">
          <cell r="I601">
            <v>800100049</v>
          </cell>
          <cell r="J601" t="str">
            <v>MUNICIPIO DE ATACO</v>
          </cell>
          <cell r="K601">
            <v>336429737</v>
          </cell>
        </row>
        <row r="602">
          <cell r="I602">
            <v>800100050</v>
          </cell>
          <cell r="J602" t="str">
            <v>MUNICIPIO CARMEN DE APICALA</v>
          </cell>
          <cell r="K602">
            <v>72131038</v>
          </cell>
        </row>
        <row r="603">
          <cell r="I603">
            <v>800100051</v>
          </cell>
          <cell r="J603" t="str">
            <v>MUNICIPIO DE COELLO</v>
          </cell>
          <cell r="K603">
            <v>87765069</v>
          </cell>
        </row>
        <row r="604">
          <cell r="I604">
            <v>800100052</v>
          </cell>
          <cell r="J604" t="str">
            <v>MUNICIPIO DE CUNDAY</v>
          </cell>
          <cell r="K604">
            <v>97661900</v>
          </cell>
        </row>
        <row r="605">
          <cell r="I605">
            <v>800100053</v>
          </cell>
          <cell r="J605" t="str">
            <v>MUNICIPIO DE CHAPARRAL</v>
          </cell>
          <cell r="K605">
            <v>524706308</v>
          </cell>
        </row>
        <row r="606">
          <cell r="I606">
            <v>800100054</v>
          </cell>
          <cell r="J606" t="str">
            <v>MUNICIPIO DE FALAN</v>
          </cell>
          <cell r="K606">
            <v>82922994</v>
          </cell>
        </row>
        <row r="607">
          <cell r="I607">
            <v>800100055</v>
          </cell>
          <cell r="J607" t="str">
            <v>MUNICIPIO DE FLANDES</v>
          </cell>
          <cell r="K607">
            <v>216516097</v>
          </cell>
        </row>
        <row r="608">
          <cell r="I608">
            <v>800100057</v>
          </cell>
          <cell r="J608" t="str">
            <v>MUNICIPIO DE HERVEO</v>
          </cell>
          <cell r="K608">
            <v>73255847</v>
          </cell>
        </row>
        <row r="609">
          <cell r="I609">
            <v>800100058</v>
          </cell>
          <cell r="J609" t="str">
            <v>MUNICIPIO DE HONDA</v>
          </cell>
          <cell r="K609">
            <v>239808128</v>
          </cell>
        </row>
        <row r="610">
          <cell r="I610">
            <v>800100059</v>
          </cell>
          <cell r="J610" t="str">
            <v>MUNICIPIO DE ICONONZO</v>
          </cell>
          <cell r="K610">
            <v>126216342</v>
          </cell>
        </row>
        <row r="611">
          <cell r="I611">
            <v>800100061</v>
          </cell>
          <cell r="J611" t="str">
            <v>MUNICIPIO LIBANO</v>
          </cell>
          <cell r="K611">
            <v>383711244</v>
          </cell>
        </row>
        <row r="612">
          <cell r="I612">
            <v>800100134</v>
          </cell>
          <cell r="J612" t="str">
            <v>MUNICIPIO DE NATAGAIMA</v>
          </cell>
          <cell r="K612">
            <v>189706076</v>
          </cell>
        </row>
        <row r="613">
          <cell r="I613">
            <v>800100136</v>
          </cell>
          <cell r="J613" t="str">
            <v>MUNICIPIO DE PIEDRAS</v>
          </cell>
          <cell r="K613">
            <v>48680597</v>
          </cell>
        </row>
        <row r="614">
          <cell r="I614">
            <v>800100137</v>
          </cell>
          <cell r="J614" t="str">
            <v>MUNICIPIO DE PLANADAS</v>
          </cell>
          <cell r="K614">
            <v>414713047</v>
          </cell>
        </row>
        <row r="615">
          <cell r="I615">
            <v>800100138</v>
          </cell>
          <cell r="J615" t="str">
            <v>MUNICIPIO DE ROVIRA</v>
          </cell>
          <cell r="K615">
            <v>286811868</v>
          </cell>
        </row>
        <row r="616">
          <cell r="I616">
            <v>800100140</v>
          </cell>
          <cell r="J616" t="str">
            <v>MUNICIPIO DE SALDAÑA</v>
          </cell>
          <cell r="K616">
            <v>126783293</v>
          </cell>
        </row>
        <row r="617">
          <cell r="I617">
            <v>800100141</v>
          </cell>
          <cell r="J617" t="str">
            <v>MUNICIPIO DE SAN ANTONIO TOLIMA</v>
          </cell>
          <cell r="K617">
            <v>167453076</v>
          </cell>
        </row>
        <row r="618">
          <cell r="I618">
            <v>800100143</v>
          </cell>
          <cell r="J618" t="str">
            <v>MUNICIPIO DE VALLE DE SAN JUAN</v>
          </cell>
          <cell r="K618">
            <v>56180334</v>
          </cell>
        </row>
        <row r="619">
          <cell r="I619">
            <v>800100144</v>
          </cell>
          <cell r="J619" t="str">
            <v>MUNICIPIO DE VENADILLO</v>
          </cell>
          <cell r="K619">
            <v>131473818</v>
          </cell>
        </row>
        <row r="620">
          <cell r="I620">
            <v>800100145</v>
          </cell>
          <cell r="J620" t="str">
            <v>MUNICIPIO DE VILLAHERMOSA</v>
          </cell>
          <cell r="K620">
            <v>103477241</v>
          </cell>
        </row>
        <row r="621">
          <cell r="I621">
            <v>800100147</v>
          </cell>
          <cell r="J621" t="str">
            <v>MUNICIPIO VILLARRICA</v>
          </cell>
          <cell r="K621">
            <v>56694687</v>
          </cell>
        </row>
        <row r="622">
          <cell r="I622">
            <v>800100515</v>
          </cell>
          <cell r="J622" t="str">
            <v>MUNICIPIO DE EL CAIRO</v>
          </cell>
          <cell r="K622">
            <v>74804744</v>
          </cell>
        </row>
        <row r="623">
          <cell r="I623">
            <v>800100518</v>
          </cell>
          <cell r="J623" t="str">
            <v>MUNICIPIO DE EL AGUILA</v>
          </cell>
          <cell r="K623">
            <v>90055084</v>
          </cell>
        </row>
        <row r="624">
          <cell r="I624">
            <v>800100519</v>
          </cell>
          <cell r="J624" t="str">
            <v>MUNICIPIO DE FLORIDA</v>
          </cell>
          <cell r="K624">
            <v>473266129</v>
          </cell>
        </row>
        <row r="625">
          <cell r="I625">
            <v>800100520</v>
          </cell>
          <cell r="J625" t="str">
            <v>MUNICIPIO DE GINEBRA</v>
          </cell>
          <cell r="K625">
            <v>152757101</v>
          </cell>
        </row>
        <row r="626">
          <cell r="I626">
            <v>800100521</v>
          </cell>
          <cell r="J626" t="str">
            <v>MUNICIPIO DE LA CUMBRE</v>
          </cell>
          <cell r="K626">
            <v>105207781</v>
          </cell>
        </row>
        <row r="627">
          <cell r="I627">
            <v>800100524</v>
          </cell>
          <cell r="J627" t="str">
            <v>MUNICIPIO DE LA VICTORIA</v>
          </cell>
          <cell r="K627">
            <v>136601129</v>
          </cell>
        </row>
        <row r="628">
          <cell r="I628">
            <v>800100526</v>
          </cell>
          <cell r="J628" t="str">
            <v>MUNICIPIO DE SAN PEDRO</v>
          </cell>
          <cell r="K628">
            <v>148041929</v>
          </cell>
        </row>
        <row r="629">
          <cell r="I629">
            <v>800100527</v>
          </cell>
          <cell r="J629" t="str">
            <v>MUNICIPIO DE SEVILLA</v>
          </cell>
          <cell r="K629">
            <v>413418173</v>
          </cell>
        </row>
        <row r="630">
          <cell r="I630">
            <v>800100529</v>
          </cell>
          <cell r="J630" t="str">
            <v>MUNICIPIO DE ULLOA</v>
          </cell>
          <cell r="K630">
            <v>46531261</v>
          </cell>
        </row>
        <row r="631">
          <cell r="I631">
            <v>800100531</v>
          </cell>
          <cell r="J631" t="str">
            <v>MUNICIPIO DE YOTOCO</v>
          </cell>
          <cell r="K631">
            <v>161463323</v>
          </cell>
        </row>
        <row r="632">
          <cell r="I632">
            <v>800100532</v>
          </cell>
          <cell r="J632" t="str">
            <v>MUNICIPIO DE ANSERMANUEVO</v>
          </cell>
          <cell r="K632">
            <v>160436591</v>
          </cell>
        </row>
        <row r="633">
          <cell r="I633">
            <v>800100533</v>
          </cell>
          <cell r="J633" t="str">
            <v>MUNICIPIO DE EL CERRITO</v>
          </cell>
          <cell r="K633">
            <v>388817737</v>
          </cell>
        </row>
        <row r="634">
          <cell r="I634">
            <v>800100695</v>
          </cell>
          <cell r="J634" t="str">
            <v>FONDOS INSTITUCION  EDUCATIVA TECNICA SUSANA GUILLEMIN</v>
          </cell>
          <cell r="K634">
            <v>77511898</v>
          </cell>
        </row>
        <row r="635">
          <cell r="I635">
            <v>800100747</v>
          </cell>
          <cell r="J635" t="str">
            <v>MUNICIPIO DE SINCE</v>
          </cell>
          <cell r="K635">
            <v>325549301</v>
          </cell>
        </row>
        <row r="636">
          <cell r="I636">
            <v>800100751</v>
          </cell>
          <cell r="J636" t="str">
            <v>MUNICIPIO DE TOLUVIEJO</v>
          </cell>
          <cell r="K636">
            <v>267769915</v>
          </cell>
        </row>
        <row r="637">
          <cell r="I637">
            <v>800101019</v>
          </cell>
          <cell r="J637" t="str">
            <v>Colegio Jorge Eliecer Gaitan</v>
          </cell>
          <cell r="K637">
            <v>39603633</v>
          </cell>
        </row>
        <row r="638">
          <cell r="I638">
            <v>800101222</v>
          </cell>
          <cell r="J638" t="str">
            <v>INSTITUCION EDUCATIVA LEOPOLDO PIZARRO GONZALEZ</v>
          </cell>
          <cell r="K638">
            <v>112710236</v>
          </cell>
        </row>
        <row r="639">
          <cell r="I639">
            <v>800102083</v>
          </cell>
          <cell r="J639" t="str">
            <v>colegio cedid san pablo bosa</v>
          </cell>
          <cell r="K639">
            <v>302867412</v>
          </cell>
        </row>
        <row r="640">
          <cell r="I640">
            <v>800102084</v>
          </cell>
          <cell r="J640" t="str">
            <v>COLEGIO ADOLFO HOYOS OCAMPO</v>
          </cell>
          <cell r="K640">
            <v>34549218</v>
          </cell>
        </row>
        <row r="641">
          <cell r="I641">
            <v>800102458</v>
          </cell>
          <cell r="J641" t="str">
            <v>FONDO DE SERVICIOS EDUCATIVOS COLEGIO LUCAS CABALLERO CALDERON</v>
          </cell>
          <cell r="K641">
            <v>52747027</v>
          </cell>
        </row>
        <row r="642">
          <cell r="I642">
            <v>800102504</v>
          </cell>
          <cell r="J642" t="str">
            <v>MUNICIPIO DE ARAUCA</v>
          </cell>
          <cell r="K642">
            <v>716114868</v>
          </cell>
        </row>
        <row r="643">
          <cell r="I643">
            <v>800102519</v>
          </cell>
          <cell r="J643" t="str">
            <v>I.E Guillermo Valencia</v>
          </cell>
          <cell r="K643">
            <v>31333760</v>
          </cell>
        </row>
        <row r="644">
          <cell r="I644">
            <v>800102593</v>
          </cell>
          <cell r="J644" t="str">
            <v>INSTITUCION EDUCATIVA TECNICA NUESTRA SEÑORA DEL ROSARIO</v>
          </cell>
          <cell r="K644">
            <v>87261349</v>
          </cell>
        </row>
        <row r="645">
          <cell r="I645">
            <v>800102741</v>
          </cell>
          <cell r="J645" t="str">
            <v>IED ZIPACON</v>
          </cell>
          <cell r="K645">
            <v>40788495</v>
          </cell>
        </row>
        <row r="646">
          <cell r="I646">
            <v>800102798</v>
          </cell>
          <cell r="J646" t="str">
            <v>MUNICIPIO DE PUERTO RONDON</v>
          </cell>
          <cell r="K646">
            <v>43660974</v>
          </cell>
        </row>
        <row r="647">
          <cell r="I647">
            <v>800102799</v>
          </cell>
          <cell r="J647" t="str">
            <v>MUNICIPIO DE SARAVENA</v>
          </cell>
          <cell r="K647">
            <v>508931437</v>
          </cell>
        </row>
        <row r="648">
          <cell r="I648">
            <v>800102801</v>
          </cell>
          <cell r="J648" t="str">
            <v>MUNICIPIO DE TAME</v>
          </cell>
          <cell r="K648">
            <v>1146745824</v>
          </cell>
        </row>
        <row r="649">
          <cell r="I649">
            <v>800102838</v>
          </cell>
          <cell r="J649" t="str">
            <v>DEPARTAMENTO DEL ARAUCA</v>
          </cell>
          <cell r="K649">
            <v>86253824670</v>
          </cell>
        </row>
        <row r="650">
          <cell r="I650">
            <v>800102844</v>
          </cell>
          <cell r="J650" t="str">
            <v>institucion educativa tecnica comercial de ponedera</v>
          </cell>
          <cell r="K650">
            <v>120832940</v>
          </cell>
        </row>
        <row r="651">
          <cell r="I651">
            <v>800102891</v>
          </cell>
          <cell r="J651" t="str">
            <v>MUNICIPIO DE MOCOA</v>
          </cell>
          <cell r="K651">
            <v>392084616</v>
          </cell>
        </row>
        <row r="652">
          <cell r="I652">
            <v>800102896</v>
          </cell>
          <cell r="J652" t="str">
            <v>MUNICIPIO DE ORITO</v>
          </cell>
          <cell r="K652">
            <v>573902021</v>
          </cell>
        </row>
        <row r="653">
          <cell r="I653">
            <v>800102903</v>
          </cell>
          <cell r="J653" t="str">
            <v>MUNICIPIO DE SAN FRANSISCO</v>
          </cell>
          <cell r="K653">
            <v>56596400</v>
          </cell>
        </row>
        <row r="654">
          <cell r="I654">
            <v>800102906</v>
          </cell>
          <cell r="J654" t="str">
            <v>MUNICIPIO DE SANTIAGO</v>
          </cell>
          <cell r="K654">
            <v>92223929</v>
          </cell>
        </row>
        <row r="655">
          <cell r="I655">
            <v>800102912</v>
          </cell>
          <cell r="J655" t="str">
            <v>MUNICIPIO VALLE DEL GUAMUEZ</v>
          </cell>
          <cell r="K655">
            <v>487707920</v>
          </cell>
        </row>
        <row r="656">
          <cell r="I656">
            <v>800102921</v>
          </cell>
          <cell r="J656" t="str">
            <v>COLEGIO DEPARTAMENTAL ALONSO RONQUILLO</v>
          </cell>
          <cell r="K656">
            <v>91671707</v>
          </cell>
        </row>
        <row r="657">
          <cell r="I657">
            <v>800103021</v>
          </cell>
          <cell r="J657" t="str">
            <v>MUNICIPIO DE PROVIDENCIA</v>
          </cell>
          <cell r="K657">
            <v>41613586</v>
          </cell>
        </row>
        <row r="658">
          <cell r="I658">
            <v>800103161</v>
          </cell>
          <cell r="J658" t="str">
            <v>MUNICIPIO DE PUERTO NARIÑO</v>
          </cell>
          <cell r="K658">
            <v>116957764</v>
          </cell>
        </row>
        <row r="659">
          <cell r="I659">
            <v>800103180</v>
          </cell>
          <cell r="J659" t="str">
            <v>MUNICIPIO DE SAN JOSE DEL GUAVIARE</v>
          </cell>
          <cell r="K659">
            <v>647158169</v>
          </cell>
        </row>
        <row r="660">
          <cell r="I660">
            <v>800103187</v>
          </cell>
          <cell r="J660" t="str">
            <v>INSTITUCION EDUCATIVA HECTOR JULIO RANGEL QUINTERO</v>
          </cell>
          <cell r="K660">
            <v>43928445</v>
          </cell>
        </row>
        <row r="661">
          <cell r="I661">
            <v>800103196</v>
          </cell>
          <cell r="J661" t="str">
            <v>DEPARTAMENTO DEL GUAVIARE</v>
          </cell>
          <cell r="K661">
            <v>34587002786</v>
          </cell>
        </row>
        <row r="662">
          <cell r="I662">
            <v>800103198</v>
          </cell>
          <cell r="J662" t="str">
            <v>MUNICIPIO DE MIRAFLORES</v>
          </cell>
          <cell r="K662">
            <v>81895807</v>
          </cell>
        </row>
        <row r="663">
          <cell r="I663">
            <v>800103318</v>
          </cell>
          <cell r="J663" t="str">
            <v>MUNICIPIO DE SANTA ROSALIA</v>
          </cell>
          <cell r="K663">
            <v>62559147</v>
          </cell>
        </row>
        <row r="664">
          <cell r="I664">
            <v>800103407</v>
          </cell>
          <cell r="J664" t="str">
            <v>INSTITUCION EDUCATIVA DEPARTAMENTAL LA CALERA</v>
          </cell>
          <cell r="K664">
            <v>120340409</v>
          </cell>
        </row>
        <row r="665">
          <cell r="I665">
            <v>800103657</v>
          </cell>
          <cell r="J665" t="str">
            <v>MUNICIPIO DE LA SALINA</v>
          </cell>
          <cell r="K665">
            <v>17907029</v>
          </cell>
        </row>
        <row r="666">
          <cell r="I666">
            <v>800103659</v>
          </cell>
          <cell r="J666" t="str">
            <v>MUNICIPIO DE PAZ DE ARIPORO</v>
          </cell>
          <cell r="K666">
            <v>446502735</v>
          </cell>
        </row>
        <row r="667">
          <cell r="I667">
            <v>800103661</v>
          </cell>
          <cell r="J667" t="str">
            <v>MUNICIPIO DE RECETOR</v>
          </cell>
          <cell r="K667">
            <v>15924601</v>
          </cell>
        </row>
        <row r="668">
          <cell r="I668">
            <v>800103663</v>
          </cell>
          <cell r="J668" t="str">
            <v>MUNICIPIO DE SACAMA</v>
          </cell>
          <cell r="K668">
            <v>20109397</v>
          </cell>
        </row>
        <row r="669">
          <cell r="I669">
            <v>800103670</v>
          </cell>
          <cell r="J669" t="str">
            <v>INSTITUCION EDUCATIVA ORIENTAL FEMENINO</v>
          </cell>
          <cell r="K669">
            <v>102788140</v>
          </cell>
        </row>
        <row r="670">
          <cell r="I670">
            <v>800103720</v>
          </cell>
          <cell r="J670" t="str">
            <v>ALCALDIA DE SAN LUIS DE PALENQUE</v>
          </cell>
          <cell r="K670">
            <v>91146797</v>
          </cell>
        </row>
        <row r="671">
          <cell r="I671">
            <v>800103774</v>
          </cell>
          <cell r="J671" t="str">
            <v>INSTITUCION EDUCATIVA LAS LAJAS</v>
          </cell>
          <cell r="K671">
            <v>53299978</v>
          </cell>
        </row>
        <row r="672">
          <cell r="I672">
            <v>800103781</v>
          </cell>
          <cell r="J672" t="str">
            <v>CONCENTRACION GABRIELA MISTRAL</v>
          </cell>
          <cell r="K672">
            <v>68637214</v>
          </cell>
        </row>
        <row r="673">
          <cell r="I673">
            <v>800103913</v>
          </cell>
          <cell r="J673" t="str">
            <v>DEPARTAMENTO DEL HUILA</v>
          </cell>
          <cell r="K673">
            <v>204892972618</v>
          </cell>
        </row>
        <row r="674">
          <cell r="I674">
            <v>800103920</v>
          </cell>
          <cell r="J674" t="str">
            <v>GOBERNACION DEL MAGDALENA</v>
          </cell>
          <cell r="K674">
            <v>290210982373</v>
          </cell>
        </row>
        <row r="675">
          <cell r="I675">
            <v>800103923</v>
          </cell>
          <cell r="J675" t="str">
            <v>DEPARTAMENTO DE NARIÑO</v>
          </cell>
          <cell r="K675">
            <v>314641331950</v>
          </cell>
        </row>
        <row r="676">
          <cell r="I676">
            <v>800103927</v>
          </cell>
          <cell r="J676" t="str">
            <v>DEPARTAMENTO NORTE DE SANTANDER</v>
          </cell>
          <cell r="K676">
            <v>235867678035</v>
          </cell>
        </row>
        <row r="677">
          <cell r="I677">
            <v>800103935</v>
          </cell>
          <cell r="J677" t="str">
            <v>DEPARTAMENTO DE CORDOBA</v>
          </cell>
          <cell r="K677">
            <v>353858090952</v>
          </cell>
        </row>
        <row r="678">
          <cell r="I678">
            <v>800104054</v>
          </cell>
          <cell r="J678" t="str">
            <v>INSTITUCION EDUCATIVA TECNICA  ANTONIO NARIÑO</v>
          </cell>
          <cell r="K678">
            <v>24289265</v>
          </cell>
        </row>
        <row r="679">
          <cell r="I679">
            <v>800104060</v>
          </cell>
          <cell r="J679" t="str">
            <v>MUNICIPIO DE CONCEPCION</v>
          </cell>
          <cell r="K679">
            <v>43619191</v>
          </cell>
        </row>
        <row r="680">
          <cell r="I680">
            <v>800104062</v>
          </cell>
          <cell r="J680" t="str">
            <v>MUNICIPIO DE SINCELEJO</v>
          </cell>
          <cell r="K680">
            <v>79306588468</v>
          </cell>
        </row>
        <row r="681">
          <cell r="I681">
            <v>800104174</v>
          </cell>
          <cell r="J681" t="str">
            <v>FONDO DE SERVICIOS EDUCATIVOS</v>
          </cell>
          <cell r="K681">
            <v>37164318</v>
          </cell>
        </row>
        <row r="682">
          <cell r="I682">
            <v>800104221</v>
          </cell>
          <cell r="J682" t="str">
            <v>INSTITUCION EDUCATIVA JOSE MEJIA URIBE</v>
          </cell>
          <cell r="K682">
            <v>35832331</v>
          </cell>
        </row>
        <row r="683">
          <cell r="I683">
            <v>800104342</v>
          </cell>
          <cell r="J683" t="str">
            <v>FONDO  DE  SERVICIOS  EDUCATIVOS  PARA  LA   APLICACIÓN  DE  LA  POLITICA DE  GRATUIDAD   EN  LA   EDUCACION PREESCOLAR, BASICA PRIMARIA,  BASICA  SECUNDARIA  Y  MEDIA</v>
          </cell>
          <cell r="K683">
            <v>147545903</v>
          </cell>
        </row>
        <row r="684">
          <cell r="I684">
            <v>800104396</v>
          </cell>
          <cell r="J684" t="str">
            <v>I.E. Jorge Isaac</v>
          </cell>
          <cell r="K684">
            <v>508873100</v>
          </cell>
        </row>
        <row r="685">
          <cell r="I685">
            <v>800104784</v>
          </cell>
          <cell r="J685" t="str">
            <v>INSTITUCION EDUCATIVA TECNICA RAFAEL URIBE</v>
          </cell>
          <cell r="K685">
            <v>60504424</v>
          </cell>
        </row>
        <row r="686">
          <cell r="I686">
            <v>800105345</v>
          </cell>
          <cell r="J686" t="str">
            <v>INSTITUCION EDUCATIVA DISTRITAL AQUILEO PARRA</v>
          </cell>
          <cell r="K686">
            <v>178186957</v>
          </cell>
        </row>
        <row r="687">
          <cell r="I687">
            <v>800106115</v>
          </cell>
          <cell r="J687" t="str">
            <v>Institución Educativa Ignacio Gil Sanabria</v>
          </cell>
          <cell r="K687">
            <v>100733960</v>
          </cell>
        </row>
        <row r="688">
          <cell r="I688">
            <v>800106262</v>
          </cell>
          <cell r="J688" t="str">
            <v>INSTITUCION EDUCATIVA RURAL NUESTRA SENORA DEL PILAR</v>
          </cell>
          <cell r="K688">
            <v>84399339</v>
          </cell>
        </row>
        <row r="689">
          <cell r="I689">
            <v>800106381</v>
          </cell>
          <cell r="J689" t="str">
            <v>INSTITUCION EDUCATIVA LEOPOLDO LOPEZ ALVAREZ</v>
          </cell>
          <cell r="K689">
            <v>30616612</v>
          </cell>
        </row>
        <row r="690">
          <cell r="I690">
            <v>800106989</v>
          </cell>
          <cell r="J690" t="str">
            <v>INSTITUCION EDUCATIVA LOS ANDES</v>
          </cell>
          <cell r="K690">
            <v>76501994</v>
          </cell>
        </row>
        <row r="691">
          <cell r="I691">
            <v>800107199</v>
          </cell>
          <cell r="J691" t="str">
            <v>FONDO DE SERVICIOS EDUCATIVOS</v>
          </cell>
          <cell r="K691">
            <v>38014824</v>
          </cell>
        </row>
        <row r="692">
          <cell r="I692">
            <v>800107280</v>
          </cell>
          <cell r="J692" t="str">
            <v>INSTITUCION EDUCATIVA MAMA BWE REOJACHE</v>
          </cell>
          <cell r="K692">
            <v>47304818</v>
          </cell>
        </row>
        <row r="693">
          <cell r="I693">
            <v>800107306</v>
          </cell>
          <cell r="J693" t="str">
            <v>CENTRO REGIONAL DEBILINGUISMO Y MEDIOS</v>
          </cell>
          <cell r="K693">
            <v>102786966</v>
          </cell>
        </row>
        <row r="694">
          <cell r="I694">
            <v>800107672</v>
          </cell>
          <cell r="J694" t="str">
            <v>I.E. FAUSTINO ARIAS REINEL</v>
          </cell>
          <cell r="K694">
            <v>172217822</v>
          </cell>
        </row>
        <row r="695">
          <cell r="I695">
            <v>800107833</v>
          </cell>
          <cell r="J695" t="str">
            <v>FONDO DE SERVICIOS EDUCATIVOS</v>
          </cell>
          <cell r="K695">
            <v>10842940</v>
          </cell>
        </row>
        <row r="696">
          <cell r="I696">
            <v>800107836</v>
          </cell>
          <cell r="J696" t="str">
            <v>I.E. JOAQUIN GARCIA BORRERO</v>
          </cell>
          <cell r="K696">
            <v>18601999</v>
          </cell>
        </row>
        <row r="697">
          <cell r="I697">
            <v>800108292</v>
          </cell>
          <cell r="J697" t="str">
            <v>ced dario echandia fondo de serv.doc.</v>
          </cell>
          <cell r="K697">
            <v>150773370</v>
          </cell>
        </row>
        <row r="698">
          <cell r="I698">
            <v>800108310</v>
          </cell>
          <cell r="J698" t="str">
            <v>INSTITUCION EDUCATIVA AGROPECUARIA SIMON BOLIVAR</v>
          </cell>
          <cell r="K698">
            <v>17669327</v>
          </cell>
        </row>
        <row r="699">
          <cell r="I699">
            <v>800108364</v>
          </cell>
          <cell r="J699" t="str">
            <v>Institución Educativa Nuestra Señora De Morca</v>
          </cell>
          <cell r="K699">
            <v>32654589</v>
          </cell>
        </row>
        <row r="700">
          <cell r="I700">
            <v>800108475</v>
          </cell>
          <cell r="J700" t="str">
            <v>INSTITUCION EDUCATIVA TECNICA FELIX TIBERIO GUZMAN</v>
          </cell>
          <cell r="K700">
            <v>170651864</v>
          </cell>
        </row>
        <row r="701">
          <cell r="I701">
            <v>800108492</v>
          </cell>
          <cell r="J701" t="str">
            <v>INSTITUCIÓN EDUCATICA TECNICA AGROPECUARIA SAN RAFAEL</v>
          </cell>
          <cell r="K701">
            <v>25486181</v>
          </cell>
        </row>
        <row r="702">
          <cell r="I702">
            <v>800108683</v>
          </cell>
          <cell r="J702" t="str">
            <v>MUNICIPIO DE LA JAGUA DE IBIRICO</v>
          </cell>
          <cell r="K702">
            <v>571086635</v>
          </cell>
        </row>
        <row r="703">
          <cell r="I703">
            <v>800108931</v>
          </cell>
          <cell r="J703" t="str">
            <v>I.E. Tecnico de Comercio Santa Cecilia</v>
          </cell>
          <cell r="K703">
            <v>206759903</v>
          </cell>
        </row>
        <row r="704">
          <cell r="I704">
            <v>800109316</v>
          </cell>
          <cell r="J704" t="str">
            <v>INSTITUCION EDUCATIVA AGROPECUARIA EL REMOLINO</v>
          </cell>
          <cell r="K704">
            <v>38774471</v>
          </cell>
        </row>
        <row r="705">
          <cell r="I705">
            <v>800109787</v>
          </cell>
          <cell r="J705" t="str">
            <v>INSTITUCION EDUCATIVA SANTA MARIA-FONDOS DE SERVICIOS</v>
          </cell>
          <cell r="K705">
            <v>46947646</v>
          </cell>
        </row>
        <row r="706">
          <cell r="I706">
            <v>800110400</v>
          </cell>
          <cell r="J706" t="str">
            <v>NUESTRA SEÑORA DEL ROSARIO</v>
          </cell>
          <cell r="K706">
            <v>21541275</v>
          </cell>
        </row>
        <row r="707">
          <cell r="I707">
            <v>800111386</v>
          </cell>
          <cell r="J707" t="str">
            <v>COL DEP. NACIONALIZADO</v>
          </cell>
          <cell r="K707">
            <v>251891856</v>
          </cell>
        </row>
        <row r="708">
          <cell r="I708">
            <v>800111710</v>
          </cell>
          <cell r="J708" t="str">
            <v>COL ALIRIO VERGEL PACHECO</v>
          </cell>
          <cell r="K708">
            <v>51165471</v>
          </cell>
        </row>
        <row r="709">
          <cell r="I709">
            <v>800112968</v>
          </cell>
          <cell r="J709" t="str">
            <v>INSTITUTO UNIVERSITARIO DE CALDAS</v>
          </cell>
          <cell r="K709">
            <v>193704668</v>
          </cell>
        </row>
        <row r="710">
          <cell r="I710">
            <v>800113200</v>
          </cell>
          <cell r="J710" t="str">
            <v>FONDO DE SERVICIOS EDUCATIVOS</v>
          </cell>
          <cell r="K710">
            <v>53889824</v>
          </cell>
        </row>
        <row r="711">
          <cell r="I711">
            <v>800113285</v>
          </cell>
          <cell r="J711" t="str">
            <v>Fondo de Servicios Educativos</v>
          </cell>
          <cell r="K711">
            <v>93949244</v>
          </cell>
        </row>
        <row r="712">
          <cell r="I712">
            <v>800113389</v>
          </cell>
          <cell r="J712" t="str">
            <v>MUNICIPIO DE IBAGUE</v>
          </cell>
          <cell r="K712">
            <v>118142939869</v>
          </cell>
        </row>
        <row r="713">
          <cell r="I713">
            <v>800113672</v>
          </cell>
          <cell r="J713" t="str">
            <v>GOBIERNO DEPARTAMENTAL DEL TOLIMA</v>
          </cell>
          <cell r="K713">
            <v>279190213401</v>
          </cell>
        </row>
        <row r="714">
          <cell r="I714">
            <v>800113725</v>
          </cell>
          <cell r="J714" t="str">
            <v>I.E. OTONIEL ROJAS CORREA</v>
          </cell>
          <cell r="K714">
            <v>46546920</v>
          </cell>
        </row>
        <row r="715">
          <cell r="I715">
            <v>800115401</v>
          </cell>
          <cell r="J715" t="str">
            <v>Institucion Educativa Colegio Departamental Juan Rozo</v>
          </cell>
          <cell r="K715">
            <v>141818446</v>
          </cell>
        </row>
        <row r="716">
          <cell r="I716">
            <v>800115569</v>
          </cell>
          <cell r="J716" t="str">
            <v>FONDO DE SERVICIO EDUCATIVO COL PBRO DANIEL JORDAN</v>
          </cell>
          <cell r="K716">
            <v>74649278</v>
          </cell>
        </row>
        <row r="717">
          <cell r="I717">
            <v>800115970</v>
          </cell>
          <cell r="J717" t="str">
            <v>INSTITUCION EDUCATIVA MUNICIPAL ARTEMIO MENDOZA CARVAJAL</v>
          </cell>
          <cell r="K717">
            <v>140224482</v>
          </cell>
        </row>
        <row r="718">
          <cell r="I718">
            <v>800116284</v>
          </cell>
          <cell r="J718" t="str">
            <v>MUNICIPIO  DE SANTO TOMAS</v>
          </cell>
          <cell r="K718">
            <v>198658670</v>
          </cell>
        </row>
        <row r="719">
          <cell r="I719">
            <v>800116939</v>
          </cell>
          <cell r="J719" t="str">
            <v>INSTITUTO TECNICO AGROPECUARIO LUIS GUILLERMO ROJAS BARRERA</v>
          </cell>
          <cell r="K719">
            <v>22425385</v>
          </cell>
        </row>
        <row r="720">
          <cell r="I720">
            <v>800117000</v>
          </cell>
          <cell r="J720" t="str">
            <v>FONDO DE SERVICIOS EDUCATIVOS IED DIVINO MAESTRO</v>
          </cell>
          <cell r="K720">
            <v>177636635</v>
          </cell>
        </row>
        <row r="721">
          <cell r="I721">
            <v>800118518</v>
          </cell>
          <cell r="J721" t="str">
            <v>INSTITUCION EDUCATIVA PANAMERICANO PUENTE BOYACA</v>
          </cell>
          <cell r="K721">
            <v>70822607</v>
          </cell>
        </row>
        <row r="722">
          <cell r="I722">
            <v>800118767</v>
          </cell>
          <cell r="J722" t="str">
            <v>IED PROVINCIA DE QUEBEC</v>
          </cell>
          <cell r="K722">
            <v>72721289</v>
          </cell>
        </row>
        <row r="723">
          <cell r="I723">
            <v>800119137</v>
          </cell>
          <cell r="J723" t="str">
            <v>INSTITUCION EDUCATIVA SAN MARCOS</v>
          </cell>
          <cell r="K723">
            <v>88827138</v>
          </cell>
        </row>
        <row r="724">
          <cell r="I724">
            <v>800119213</v>
          </cell>
          <cell r="J724" t="str">
            <v>INSTITUCION EDUCATIVA TECNICA DE LA BOQUILLA</v>
          </cell>
          <cell r="K724">
            <v>196840473</v>
          </cell>
        </row>
        <row r="725">
          <cell r="I725">
            <v>800120171</v>
          </cell>
          <cell r="J725" t="str">
            <v>INSTITUCION EDUCATIVA DE SORA</v>
          </cell>
          <cell r="K725">
            <v>46277223</v>
          </cell>
        </row>
        <row r="726">
          <cell r="I726">
            <v>800120207</v>
          </cell>
          <cell r="J726" t="str">
            <v>INSTITUTO TECNICO AGROPECUARIO DE CHIVATA</v>
          </cell>
          <cell r="K726">
            <v>38628342</v>
          </cell>
        </row>
        <row r="727">
          <cell r="I727">
            <v>800121084</v>
          </cell>
          <cell r="J727" t="str">
            <v>INSTITUCION EDUCATIVA ALBANIA</v>
          </cell>
          <cell r="K727">
            <v>44955510</v>
          </cell>
        </row>
        <row r="728">
          <cell r="I728">
            <v>800121394</v>
          </cell>
          <cell r="J728" t="str">
            <v>INSTITUTO DE ENSEÑANZA MEDIA SIMON ALVAREZ</v>
          </cell>
          <cell r="K728">
            <v>36975473</v>
          </cell>
        </row>
        <row r="729">
          <cell r="I729">
            <v>800122019</v>
          </cell>
          <cell r="J729" t="str">
            <v>INSTITUTO EDUCATIVO LUIS CARLOS GALAN SARMIENTO - FONDOS EDUCATIVOS</v>
          </cell>
          <cell r="K729">
            <v>107457788</v>
          </cell>
        </row>
        <row r="730">
          <cell r="I730">
            <v>800122064</v>
          </cell>
          <cell r="J730" t="str">
            <v>INSTITUCION EDUCATIVA AGROTECNICO</v>
          </cell>
          <cell r="K730">
            <v>39688840</v>
          </cell>
        </row>
        <row r="731">
          <cell r="I731">
            <v>800122676</v>
          </cell>
          <cell r="J731" t="str">
            <v>Institución Educativa de Fortalecillas</v>
          </cell>
          <cell r="K731">
            <v>53916432</v>
          </cell>
        </row>
        <row r="732">
          <cell r="I732">
            <v>800124197</v>
          </cell>
          <cell r="J732" t="str">
            <v>INSTITUCION EDUCATIVA TECNICO NACINALIZADO DD PAUNA</v>
          </cell>
          <cell r="K732">
            <v>60437743</v>
          </cell>
        </row>
        <row r="733">
          <cell r="I733">
            <v>800124332</v>
          </cell>
          <cell r="J733" t="str">
            <v>INST EDUCATIVA DOS RIOS</v>
          </cell>
          <cell r="K733">
            <v>15908520</v>
          </cell>
        </row>
        <row r="734">
          <cell r="I734">
            <v>800124367</v>
          </cell>
          <cell r="J734" t="str">
            <v>INSTITUCIóN EDUCATIVA LA FLORIDA</v>
          </cell>
          <cell r="K734">
            <v>43661830</v>
          </cell>
        </row>
        <row r="735">
          <cell r="I735">
            <v>800124701</v>
          </cell>
          <cell r="J735" t="str">
            <v>FONDO DE SERVICIOS EDUCATIVOS</v>
          </cell>
          <cell r="K735">
            <v>16239937</v>
          </cell>
        </row>
        <row r="736">
          <cell r="I736">
            <v>800124851</v>
          </cell>
          <cell r="J736" t="str">
            <v>COLEGIO DTAL. NUERTRA S. G.</v>
          </cell>
          <cell r="K736">
            <v>108897741</v>
          </cell>
        </row>
        <row r="737">
          <cell r="I737">
            <v>800125192</v>
          </cell>
          <cell r="J737" t="str">
            <v>ASOC PADRE FLIA COLG ALEJANDRO</v>
          </cell>
          <cell r="K737">
            <v>105299774</v>
          </cell>
        </row>
        <row r="738">
          <cell r="I738">
            <v>800125212</v>
          </cell>
          <cell r="J738" t="str">
            <v>INSTITUCION EDUCATIVA SIMON BOLIVAR</v>
          </cell>
          <cell r="K738">
            <v>55644055</v>
          </cell>
        </row>
        <row r="739">
          <cell r="I739">
            <v>800125306</v>
          </cell>
          <cell r="J739" t="str">
            <v>COLEGIO TECNICO COMERCIAL SERVICIOS EDUCATIVOS</v>
          </cell>
          <cell r="K739">
            <v>99582345</v>
          </cell>
        </row>
        <row r="740">
          <cell r="I740">
            <v>800125310</v>
          </cell>
          <cell r="J740" t="str">
            <v>Institucion Educativa Nuestra Señora del Carmen</v>
          </cell>
          <cell r="K740">
            <v>201949643</v>
          </cell>
        </row>
        <row r="741">
          <cell r="I741">
            <v>800125903</v>
          </cell>
          <cell r="J741" t="str">
            <v>COLEGIO DISTRITAL CARLOS ARANGO VELEZ</v>
          </cell>
          <cell r="K741">
            <v>125763736</v>
          </cell>
        </row>
        <row r="742">
          <cell r="I742">
            <v>800125932</v>
          </cell>
          <cell r="J742" t="str">
            <v>Institucion Educativa el Trebol</v>
          </cell>
          <cell r="K742">
            <v>43670568</v>
          </cell>
        </row>
        <row r="743">
          <cell r="I743">
            <v>800126116</v>
          </cell>
          <cell r="J743" t="str">
            <v>INSTITUCION EDUCATIVA COLEGIO GUILLERMO NIÑO MEDINA</v>
          </cell>
          <cell r="K743">
            <v>114926121</v>
          </cell>
        </row>
        <row r="744">
          <cell r="I744">
            <v>800126345</v>
          </cell>
          <cell r="J744" t="str">
            <v>FONDOS ESPECIALES INSTITUCION EDUCATIVA NUESTRA SEÑORA DE LAS MERCEDES</v>
          </cell>
          <cell r="K744">
            <v>27615620</v>
          </cell>
        </row>
        <row r="745">
          <cell r="I745">
            <v>800126528</v>
          </cell>
          <cell r="J745" t="str">
            <v>INSTITUCION EDUCATIVA CAMPO ELIAS CORTES</v>
          </cell>
          <cell r="K745">
            <v>23403151</v>
          </cell>
        </row>
        <row r="746">
          <cell r="I746">
            <v>800127067</v>
          </cell>
          <cell r="J746" t="str">
            <v>Institucion Educativa Naranjal</v>
          </cell>
          <cell r="K746">
            <v>46194122</v>
          </cell>
        </row>
        <row r="747">
          <cell r="I747">
            <v>800127391</v>
          </cell>
          <cell r="J747" t="str">
            <v>Carlos Holguin Lloreda</v>
          </cell>
          <cell r="K747">
            <v>112013540</v>
          </cell>
        </row>
        <row r="748">
          <cell r="I748">
            <v>800127397</v>
          </cell>
          <cell r="J748" t="str">
            <v>INSTITUCION EDUCATIVA  TECNICA  JOSE BENIGNO PERILLA</v>
          </cell>
          <cell r="K748">
            <v>21836094</v>
          </cell>
        </row>
        <row r="749">
          <cell r="I749">
            <v>800127631</v>
          </cell>
          <cell r="J749" t="str">
            <v>INSTITUCION EDUCATIVA DISTRITAL PABLO NERUDA</v>
          </cell>
          <cell r="K749">
            <v>154064205</v>
          </cell>
        </row>
        <row r="750">
          <cell r="I750">
            <v>800127689</v>
          </cell>
          <cell r="J750" t="str">
            <v>INST EDUC SAN JOSE</v>
          </cell>
          <cell r="K750">
            <v>92028440</v>
          </cell>
        </row>
        <row r="751">
          <cell r="I751">
            <v>800128054</v>
          </cell>
          <cell r="J751" t="str">
            <v>INSTITUCION EDUCATIVA GUSTAVO ROMERO HERNANDEZ</v>
          </cell>
          <cell r="K751">
            <v>86439455</v>
          </cell>
        </row>
        <row r="752">
          <cell r="I752">
            <v>800128291</v>
          </cell>
          <cell r="J752" t="str">
            <v>INSTITUCION EDUCATIVA ANTONIO JOSE SANDOVAL GOMEZ</v>
          </cell>
          <cell r="K752">
            <v>71140465</v>
          </cell>
        </row>
        <row r="753">
          <cell r="I753">
            <v>800128428</v>
          </cell>
          <cell r="J753" t="str">
            <v>MUNICIPIO DE URIBE</v>
          </cell>
          <cell r="K753">
            <v>114577533</v>
          </cell>
        </row>
        <row r="754">
          <cell r="I754">
            <v>800128528</v>
          </cell>
          <cell r="J754" t="str">
            <v>FSE IED EL VIRREY JOSE SOLIS</v>
          </cell>
          <cell r="K754">
            <v>93646338</v>
          </cell>
        </row>
        <row r="755">
          <cell r="I755">
            <v>800128589</v>
          </cell>
          <cell r="J755" t="str">
            <v>IED SAN JOAQUIN DE LA MESA</v>
          </cell>
          <cell r="K755">
            <v>69026775</v>
          </cell>
        </row>
        <row r="756">
          <cell r="I756">
            <v>800128622</v>
          </cell>
          <cell r="J756" t="str">
            <v>FONDO DE SERVICIOS EDUCATIVOS INSTITUTO TEBAIDA</v>
          </cell>
          <cell r="K756">
            <v>70174647</v>
          </cell>
        </row>
        <row r="757">
          <cell r="I757">
            <v>800128809</v>
          </cell>
          <cell r="J757" t="str">
            <v>I.E. DE LLORENTE</v>
          </cell>
          <cell r="K757">
            <v>341302812</v>
          </cell>
        </row>
        <row r="758">
          <cell r="I758">
            <v>800128977</v>
          </cell>
          <cell r="J758" t="str">
            <v>Institucion Educativa Concentracion Escolar San Juan</v>
          </cell>
          <cell r="K758">
            <v>62716176</v>
          </cell>
        </row>
        <row r="759">
          <cell r="I759">
            <v>800129014</v>
          </cell>
          <cell r="J759" t="str">
            <v>INSTITUCION EDUCATIVA AGROPECUARIA INDIGENA APONTE</v>
          </cell>
          <cell r="K759">
            <v>63171669</v>
          </cell>
        </row>
        <row r="760">
          <cell r="I760">
            <v>800129449</v>
          </cell>
          <cell r="J760" t="str">
            <v>COLEGIO LUIS CARLOS GALAN SARMIENTO IED</v>
          </cell>
          <cell r="K760">
            <v>115386927</v>
          </cell>
        </row>
        <row r="761">
          <cell r="I761">
            <v>800131177</v>
          </cell>
          <cell r="J761" t="str">
            <v>MUNICIPIO DE CHIVOR</v>
          </cell>
          <cell r="K761">
            <v>18615877</v>
          </cell>
        </row>
        <row r="762">
          <cell r="I762">
            <v>800131230</v>
          </cell>
          <cell r="J762" t="str">
            <v>INSTITUCION EDUCATIVA DISTRITAL RUFINO JOSE CUERVO</v>
          </cell>
          <cell r="K762">
            <v>188632977</v>
          </cell>
        </row>
        <row r="763">
          <cell r="I763">
            <v>800132116</v>
          </cell>
          <cell r="J763" t="str">
            <v>COLEGIO DEPARTAMENTAL CIRO PUPO MARTINEZ</v>
          </cell>
          <cell r="K763">
            <v>125999286</v>
          </cell>
        </row>
        <row r="764">
          <cell r="I764">
            <v>800132742</v>
          </cell>
          <cell r="J764" t="str">
            <v>I.E. Republica de Isrrael</v>
          </cell>
          <cell r="K764">
            <v>85035470</v>
          </cell>
        </row>
        <row r="765">
          <cell r="I765">
            <v>800132956</v>
          </cell>
          <cell r="J765" t="str">
            <v>I.E.D  CENTRO INTEGRAL JOSE MARIA CORDOBA</v>
          </cell>
          <cell r="K765">
            <v>232582052</v>
          </cell>
        </row>
        <row r="766">
          <cell r="I766">
            <v>800134486</v>
          </cell>
          <cell r="J766" t="str">
            <v>INSTITUCION EDUCATIVA JOSE CAYETANO VASQUEZ</v>
          </cell>
          <cell r="K766">
            <v>76709125</v>
          </cell>
        </row>
        <row r="767">
          <cell r="I767">
            <v>800136069</v>
          </cell>
          <cell r="J767" t="str">
            <v>MUNICIPIO DE FORTUL</v>
          </cell>
          <cell r="K767">
            <v>487843769</v>
          </cell>
        </row>
        <row r="768">
          <cell r="I768">
            <v>800136287</v>
          </cell>
          <cell r="J768" t="str">
            <v>INSTITUCION EDUCATIVA DISTRITAL MANUELA AYALA DE GAITAN</v>
          </cell>
          <cell r="K768">
            <v>154786925</v>
          </cell>
        </row>
        <row r="769">
          <cell r="I769">
            <v>800136353</v>
          </cell>
          <cell r="J769" t="str">
            <v>FONDO DE SERVICIOS EDUCATIVOS</v>
          </cell>
          <cell r="K769">
            <v>90698452</v>
          </cell>
        </row>
        <row r="770">
          <cell r="I770">
            <v>800136509</v>
          </cell>
          <cell r="J770" t="str">
            <v>INSTITUCION EDUCATIVA TECNICA AGRICOLA SAN DIEGO</v>
          </cell>
          <cell r="K770">
            <v>52621213</v>
          </cell>
        </row>
        <row r="771">
          <cell r="I771">
            <v>800136683</v>
          </cell>
          <cell r="J771" t="str">
            <v>INSTITUCION EDUCATIVA  SAN IGNACIO FSE</v>
          </cell>
          <cell r="K771">
            <v>45449707</v>
          </cell>
        </row>
        <row r="772">
          <cell r="I772">
            <v>800137056</v>
          </cell>
          <cell r="J772" t="str">
            <v>INSTITUCION EDUCATIVA ORGE ELIECER GAITAN</v>
          </cell>
          <cell r="K772">
            <v>32805947</v>
          </cell>
        </row>
        <row r="773">
          <cell r="I773">
            <v>800137367</v>
          </cell>
          <cell r="J773" t="str">
            <v>Institucion Educativa Jhon F Kennedy</v>
          </cell>
          <cell r="K773">
            <v>95385501</v>
          </cell>
        </row>
        <row r="774">
          <cell r="I774">
            <v>800137649</v>
          </cell>
          <cell r="J774" t="str">
            <v>FONDO DE SERVICIOS EDUCATIVOS</v>
          </cell>
          <cell r="K774">
            <v>24120700</v>
          </cell>
        </row>
        <row r="775">
          <cell r="I775">
            <v>800138495</v>
          </cell>
          <cell r="J775" t="str">
            <v>FONDO DE SERVICIOS EDUCATIVOS</v>
          </cell>
          <cell r="K775">
            <v>38026929</v>
          </cell>
        </row>
        <row r="776">
          <cell r="I776">
            <v>800138564</v>
          </cell>
          <cell r="J776" t="str">
            <v>ESCUELA NORMAL SUPERIOR SOR JOSEFA DEL CASTILLO Y GUEVARA</v>
          </cell>
          <cell r="K776">
            <v>169387556</v>
          </cell>
        </row>
        <row r="777">
          <cell r="I777">
            <v>800138959</v>
          </cell>
          <cell r="J777" t="str">
            <v>MUNICIPIO DE EL TARRA</v>
          </cell>
          <cell r="K777">
            <v>376058249</v>
          </cell>
        </row>
        <row r="778">
          <cell r="I778">
            <v>800139477</v>
          </cell>
          <cell r="J778" t="str">
            <v>I.E Siete de Agosto</v>
          </cell>
          <cell r="K778">
            <v>115507014</v>
          </cell>
        </row>
        <row r="779">
          <cell r="I779">
            <v>800142517</v>
          </cell>
          <cell r="J779" t="str">
            <v>Institucion Educativa Tecnico Industrial Dosquebradas</v>
          </cell>
          <cell r="K779">
            <v>37807790</v>
          </cell>
        </row>
        <row r="780">
          <cell r="I780">
            <v>800143351</v>
          </cell>
          <cell r="J780" t="str">
            <v>FONDO DE SERVICIOS EDUCATIVOS</v>
          </cell>
          <cell r="K780">
            <v>36389912</v>
          </cell>
        </row>
        <row r="781">
          <cell r="I781">
            <v>800143503</v>
          </cell>
          <cell r="J781" t="str">
            <v>INSTITUCION EDUCATIVA EL CHAIRA JOSE MARIA CORDOBA</v>
          </cell>
          <cell r="K781">
            <v>163536493</v>
          </cell>
        </row>
        <row r="782">
          <cell r="I782">
            <v>800144814</v>
          </cell>
          <cell r="J782" t="str">
            <v>INSTITUCION EDUCATIVA DISTRITAL GUSTAVO MORALES MORALES</v>
          </cell>
          <cell r="K782">
            <v>142436749</v>
          </cell>
        </row>
        <row r="783">
          <cell r="I783">
            <v>800144886</v>
          </cell>
          <cell r="J783" t="str">
            <v>FSEColnavas</v>
          </cell>
          <cell r="K783">
            <v>138569743</v>
          </cell>
        </row>
        <row r="784">
          <cell r="I784">
            <v>800145178</v>
          </cell>
          <cell r="J784" t="str">
            <v>INSTITUCION EDUCATIVA SAN ANDRES</v>
          </cell>
          <cell r="K784">
            <v>64719350</v>
          </cell>
        </row>
        <row r="785">
          <cell r="I785">
            <v>800146455</v>
          </cell>
          <cell r="J785" t="str">
            <v>Institucion Educativa Escuela Normal Superior Sagrado Corazón</v>
          </cell>
          <cell r="K785">
            <v>79624928</v>
          </cell>
        </row>
        <row r="786">
          <cell r="I786">
            <v>800147624</v>
          </cell>
          <cell r="J786" t="str">
            <v>INSTITUCION EDUCATIVA COMERCIAL LITORAL PACIFICO</v>
          </cell>
          <cell r="K786">
            <v>177049882</v>
          </cell>
        </row>
        <row r="787">
          <cell r="I787">
            <v>800147833</v>
          </cell>
          <cell r="J787" t="str">
            <v>INSTITUCION EDUCATIVA PUERTO MANRIQUE</v>
          </cell>
          <cell r="K787">
            <v>15289730</v>
          </cell>
        </row>
        <row r="788">
          <cell r="I788">
            <v>800147862</v>
          </cell>
          <cell r="J788" t="str">
            <v>colegio integrado agropecuario santa rita</v>
          </cell>
          <cell r="K788">
            <v>11546303</v>
          </cell>
        </row>
        <row r="789">
          <cell r="I789">
            <v>800148720</v>
          </cell>
          <cell r="J789" t="str">
            <v>MUNICIPIO DE SAN PEDRO DE CARTAGO</v>
          </cell>
          <cell r="K789">
            <v>60030971</v>
          </cell>
        </row>
        <row r="790">
          <cell r="I790">
            <v>800148828</v>
          </cell>
          <cell r="J790" t="str">
            <v>Institucion Educativa Santa Teresita</v>
          </cell>
          <cell r="K790">
            <v>102258653</v>
          </cell>
        </row>
        <row r="791">
          <cell r="I791">
            <v>800149360</v>
          </cell>
          <cell r="J791" t="str">
            <v>Institución Educativa Roberto Duran Alvira</v>
          </cell>
          <cell r="K791">
            <v>39471105</v>
          </cell>
        </row>
        <row r="792">
          <cell r="I792">
            <v>800149971</v>
          </cell>
          <cell r="J792" t="str">
            <v>FONDO SERV EDU IEA JULIO MEJIA</v>
          </cell>
          <cell r="K792">
            <v>41920371</v>
          </cell>
        </row>
        <row r="793">
          <cell r="I793">
            <v>800150670</v>
          </cell>
          <cell r="J793" t="str">
            <v>INSTITUCION EDUCATIVA EMPRESARIAL</v>
          </cell>
          <cell r="K793">
            <v>115422266</v>
          </cell>
        </row>
        <row r="794">
          <cell r="I794">
            <v>800151251</v>
          </cell>
          <cell r="J794" t="str">
            <v>INSTITUCION EDUCATIVA TECNICA  SANTIAGO PEREZ</v>
          </cell>
          <cell r="K794">
            <v>104577709</v>
          </cell>
        </row>
        <row r="795">
          <cell r="I795">
            <v>800151532</v>
          </cell>
          <cell r="J795" t="str">
            <v>INSTITUCION EDUCATIVA AGRICOLA DE LA SABANA</v>
          </cell>
          <cell r="K795">
            <v>48532909</v>
          </cell>
        </row>
        <row r="796">
          <cell r="I796">
            <v>800151781</v>
          </cell>
          <cell r="J796" t="str">
            <v>INSTITUCION EDUCATIVA ALFONSO LOPEZ PUMAREJO</v>
          </cell>
          <cell r="K796">
            <v>221614132</v>
          </cell>
        </row>
        <row r="797">
          <cell r="I797">
            <v>800152168</v>
          </cell>
          <cell r="J797" t="str">
            <v>INSTITUCION EDUCATIVA DISTRITAL EVARDO TURIZO PALENCIA</v>
          </cell>
          <cell r="K797">
            <v>92631075</v>
          </cell>
        </row>
        <row r="798">
          <cell r="I798">
            <v>800152472</v>
          </cell>
          <cell r="J798" t="str">
            <v>instituto educativo distrital alfonso lopez pumarejo</v>
          </cell>
          <cell r="K798">
            <v>167871840</v>
          </cell>
        </row>
        <row r="799">
          <cell r="I799">
            <v>800152577</v>
          </cell>
          <cell r="J799" t="str">
            <v>MUNICIPIO DE BARRANCA DE UPIA</v>
          </cell>
          <cell r="K799">
            <v>80044636</v>
          </cell>
        </row>
        <row r="800">
          <cell r="I800">
            <v>800152758</v>
          </cell>
          <cell r="J800" t="str">
            <v>INSTITUCION  EDUCATIVA  AGROPECUARIA  CRISTO  REY</v>
          </cell>
          <cell r="K800">
            <v>43541640</v>
          </cell>
        </row>
        <row r="801">
          <cell r="I801">
            <v>800153301</v>
          </cell>
          <cell r="J801" t="str">
            <v>Colegio Oficial Mixto Jhon F. Kennedy</v>
          </cell>
          <cell r="K801">
            <v>32261754</v>
          </cell>
        </row>
        <row r="802">
          <cell r="I802">
            <v>800153666</v>
          </cell>
          <cell r="J802" t="str">
            <v>UNIDAD EDUCATIVA JOSE EUSTASIO RIVERA</v>
          </cell>
          <cell r="K802">
            <v>226053994</v>
          </cell>
        </row>
        <row r="803">
          <cell r="I803">
            <v>800153757</v>
          </cell>
          <cell r="J803" t="str">
            <v>INSTITUCION EDUCATIVA ALBERTO LLERAS CAMARGO</v>
          </cell>
          <cell r="K803">
            <v>207386208</v>
          </cell>
        </row>
        <row r="804">
          <cell r="I804">
            <v>800153828</v>
          </cell>
          <cell r="J804" t="str">
            <v>I.E. SANTIAGO APOSTOL</v>
          </cell>
          <cell r="K804">
            <v>92907310</v>
          </cell>
        </row>
        <row r="805">
          <cell r="I805">
            <v>800153854</v>
          </cell>
          <cell r="J805" t="str">
            <v>INSTITUCION EDUCATIVA JORGE ELIECER GAITAN</v>
          </cell>
          <cell r="K805">
            <v>162798218</v>
          </cell>
        </row>
        <row r="806">
          <cell r="I806">
            <v>800153881</v>
          </cell>
          <cell r="J806" t="str">
            <v>INSTITUCION EDUCATIVA BETANIA NORTE</v>
          </cell>
          <cell r="K806">
            <v>120369312</v>
          </cell>
        </row>
        <row r="807">
          <cell r="I807">
            <v>800153923</v>
          </cell>
          <cell r="J807" t="str">
            <v>FONDO DE SERVICIOS EDUCATIVOS</v>
          </cell>
          <cell r="K807">
            <v>26992236</v>
          </cell>
        </row>
        <row r="808">
          <cell r="I808">
            <v>800154104</v>
          </cell>
          <cell r="J808" t="str">
            <v>Institucion Educativa Compartir Fondo de Servicios Educativos</v>
          </cell>
          <cell r="K808">
            <v>275012538</v>
          </cell>
        </row>
        <row r="809">
          <cell r="I809">
            <v>800154643</v>
          </cell>
          <cell r="J809" t="str">
            <v>INSTITUCION EDUCATIVA SAN FRANCISCO DE ASIS</v>
          </cell>
          <cell r="K809">
            <v>26831922</v>
          </cell>
        </row>
        <row r="810">
          <cell r="I810">
            <v>800155837</v>
          </cell>
          <cell r="J810" t="str">
            <v>FONDO DE SERVICIO EDUCATIVO COL NSTRA SRA DE BELEN</v>
          </cell>
          <cell r="K810">
            <v>298571124</v>
          </cell>
        </row>
        <row r="811">
          <cell r="I811">
            <v>800155864</v>
          </cell>
          <cell r="J811" t="str">
            <v>CENTRO EDUCATIVO RURLA PUERTO UMBRIA</v>
          </cell>
          <cell r="K811">
            <v>36021997</v>
          </cell>
        </row>
        <row r="812">
          <cell r="I812">
            <v>800156232</v>
          </cell>
          <cell r="J812" t="str">
            <v>FONDO DE SERVICIOS EDUCATIVOS</v>
          </cell>
          <cell r="K812">
            <v>35685099</v>
          </cell>
        </row>
        <row r="813">
          <cell r="I813">
            <v>800156270</v>
          </cell>
          <cell r="J813" t="str">
            <v>INSTITUCION EDUCATIVA TECNICA AGROPECUARIA SAN JOSE DE CLEMENCIA</v>
          </cell>
          <cell r="K813">
            <v>186006262</v>
          </cell>
        </row>
        <row r="814">
          <cell r="I814">
            <v>800157051</v>
          </cell>
          <cell r="J814" t="str">
            <v>INSTITUCION EDUCATIVA DE CERINZA FONDO DE SERVICIOS EDUCATIVOS</v>
          </cell>
          <cell r="K814">
            <v>47203553</v>
          </cell>
        </row>
        <row r="815">
          <cell r="I815">
            <v>800157114</v>
          </cell>
          <cell r="J815" t="str">
            <v>COLEGIO TECNICO MUNICIPAL SIMON BOLIVAR</v>
          </cell>
          <cell r="K815">
            <v>109831152</v>
          </cell>
        </row>
        <row r="816">
          <cell r="I816">
            <v>800157431</v>
          </cell>
          <cell r="J816" t="str">
            <v>FONDO DE SERVICIOS EDUCATIVOS</v>
          </cell>
          <cell r="K816">
            <v>110012315</v>
          </cell>
        </row>
        <row r="817">
          <cell r="I817">
            <v>800157653</v>
          </cell>
          <cell r="J817" t="str">
            <v>INSTITUTO DE PROMOCION SOCIAL DEL NORTE</v>
          </cell>
          <cell r="K817">
            <v>110150287</v>
          </cell>
        </row>
        <row r="818">
          <cell r="I818">
            <v>800158402</v>
          </cell>
          <cell r="J818" t="str">
            <v>Institución Educativa Jose Eustacio Rivera de Neiva</v>
          </cell>
          <cell r="K818">
            <v>197386517</v>
          </cell>
        </row>
        <row r="819">
          <cell r="I819">
            <v>800158873</v>
          </cell>
          <cell r="J819" t="str">
            <v>INSTITUCION EDUCATIVA TECNICO AGROPECUARIO</v>
          </cell>
          <cell r="K819">
            <v>23063318</v>
          </cell>
        </row>
        <row r="820">
          <cell r="I820">
            <v>800160171</v>
          </cell>
          <cell r="J820" t="str">
            <v>Institución Educativa Víctor Zubiria</v>
          </cell>
          <cell r="K820">
            <v>100425925</v>
          </cell>
        </row>
        <row r="821">
          <cell r="I821">
            <v>800160414</v>
          </cell>
          <cell r="J821" t="str">
            <v>FONDO DE SERVICIOS EDUCATIVOS</v>
          </cell>
          <cell r="K821">
            <v>30262087</v>
          </cell>
        </row>
        <row r="822">
          <cell r="I822">
            <v>800160419</v>
          </cell>
          <cell r="J822" t="str">
            <v>Fondos de Servicios educativos de la Institución Educativa Cristóbal Colón</v>
          </cell>
          <cell r="K822">
            <v>133566406</v>
          </cell>
        </row>
        <row r="823">
          <cell r="I823">
            <v>800160531</v>
          </cell>
          <cell r="J823" t="str">
            <v>INSTITUCION EDUCATIVA  LICEO DEL DIQUE ENRIQUE CASTILLO JIMENEZ</v>
          </cell>
          <cell r="K823">
            <v>82410186</v>
          </cell>
        </row>
        <row r="824">
          <cell r="I824">
            <v>800160623</v>
          </cell>
          <cell r="J824" t="str">
            <v>Fondo de servicio Educativo IED Liceo del Sur</v>
          </cell>
          <cell r="K824">
            <v>74767484</v>
          </cell>
        </row>
        <row r="825">
          <cell r="I825">
            <v>800160871</v>
          </cell>
          <cell r="J825" t="str">
            <v>institucion educativa municipal alfredo correa de andreis</v>
          </cell>
          <cell r="K825">
            <v>19841103</v>
          </cell>
        </row>
        <row r="826">
          <cell r="I826">
            <v>800161116</v>
          </cell>
          <cell r="J826" t="str">
            <v>COLEGIO JESUS DEL GRAN PODER</v>
          </cell>
          <cell r="K826">
            <v>44011291</v>
          </cell>
        </row>
        <row r="827">
          <cell r="I827">
            <v>800161382</v>
          </cell>
          <cell r="J827" t="str">
            <v>INSTITUCION EDUCATIVA DOMINGO SAVIO</v>
          </cell>
          <cell r="K827">
            <v>31327302</v>
          </cell>
        </row>
        <row r="828">
          <cell r="I828">
            <v>800161467</v>
          </cell>
          <cell r="J828" t="str">
            <v>CENTRO EDUCATIVO BYRON GAVIRIA</v>
          </cell>
          <cell r="K828">
            <v>102579555</v>
          </cell>
        </row>
        <row r="829">
          <cell r="I829">
            <v>800162007</v>
          </cell>
          <cell r="J829" t="str">
            <v>INSTITUCION EDUCATIVA TECNICA JUAN LOZANO SANCHEZ</v>
          </cell>
          <cell r="K829">
            <v>39109305</v>
          </cell>
        </row>
        <row r="830">
          <cell r="I830">
            <v>800162122</v>
          </cell>
          <cell r="J830" t="str">
            <v>COLEGIO INTEGRADO PUERTO PARRA</v>
          </cell>
          <cell r="K830">
            <v>39382521</v>
          </cell>
        </row>
        <row r="831">
          <cell r="I831">
            <v>800162665</v>
          </cell>
          <cell r="J831" t="str">
            <v>Institucion Educativa Efren Cardona Chica</v>
          </cell>
          <cell r="K831">
            <v>17363525</v>
          </cell>
        </row>
        <row r="832">
          <cell r="I832">
            <v>800162681</v>
          </cell>
          <cell r="J832" t="str">
            <v>INSTITUCION EDUCATIVA ANTONIO NARIÑO</v>
          </cell>
          <cell r="K832">
            <v>81559047</v>
          </cell>
        </row>
        <row r="833">
          <cell r="I833">
            <v>800162778</v>
          </cell>
          <cell r="J833" t="str">
            <v>FONDO DE SERVICIOS EDUCATIVOS</v>
          </cell>
          <cell r="K833">
            <v>37738766</v>
          </cell>
        </row>
        <row r="834">
          <cell r="I834">
            <v>800163153</v>
          </cell>
          <cell r="J834" t="str">
            <v>INSTITUCION EDUCATIVA DISTRITAL VILLA RICA</v>
          </cell>
          <cell r="K834">
            <v>144909758</v>
          </cell>
        </row>
        <row r="835">
          <cell r="I835">
            <v>800163228</v>
          </cell>
          <cell r="J835" t="str">
            <v>I.E.Diez de Mayo</v>
          </cell>
          <cell r="K835">
            <v>109078982</v>
          </cell>
        </row>
        <row r="836">
          <cell r="I836">
            <v>800163940</v>
          </cell>
          <cell r="J836" t="str">
            <v>Instituto Técnico Fco Jose de Caldas</v>
          </cell>
          <cell r="K836">
            <v>64561482</v>
          </cell>
        </row>
        <row r="837">
          <cell r="I837">
            <v>800164069</v>
          </cell>
          <cell r="J837" t="str">
            <v>FONDOS DE SERVICIOS EDUCATIVO INSTITUCION EDUCATIVA DE GRANADA</v>
          </cell>
          <cell r="K837">
            <v>47899469</v>
          </cell>
        </row>
        <row r="838">
          <cell r="I838">
            <v>800165495</v>
          </cell>
          <cell r="J838" t="str">
            <v>INSTITUTO POLITECNICO MONSEÑOR MANUEL SORZANO GONZALEZ</v>
          </cell>
          <cell r="K838">
            <v>40487034</v>
          </cell>
        </row>
        <row r="839">
          <cell r="I839">
            <v>800165705</v>
          </cell>
          <cell r="J839" t="str">
            <v>INSTITUCION EDUCATIVA DISTRITAL SAN FRANCISCO</v>
          </cell>
          <cell r="K839">
            <v>242816244</v>
          </cell>
        </row>
        <row r="840">
          <cell r="I840">
            <v>800166129</v>
          </cell>
          <cell r="J840" t="str">
            <v>INSTITUCION EDUCATIVA DE LEJANIAS</v>
          </cell>
          <cell r="K840">
            <v>87776468</v>
          </cell>
        </row>
        <row r="841">
          <cell r="I841">
            <v>800166354</v>
          </cell>
          <cell r="J841" t="str">
            <v>I.E. SAN PEDRO CLAVER</v>
          </cell>
          <cell r="K841">
            <v>115828074</v>
          </cell>
        </row>
        <row r="842">
          <cell r="I842">
            <v>800166777</v>
          </cell>
          <cell r="J842" t="str">
            <v>INSTITUCION EDUCATIVA INTEGRADA</v>
          </cell>
          <cell r="K842">
            <v>74676387</v>
          </cell>
        </row>
        <row r="843">
          <cell r="I843">
            <v>800166994</v>
          </cell>
          <cell r="J843" t="str">
            <v>IE JOSE DEL CARMEN CUESTA</v>
          </cell>
          <cell r="K843">
            <v>121502347</v>
          </cell>
        </row>
        <row r="844">
          <cell r="I844">
            <v>800167423</v>
          </cell>
          <cell r="J844" t="str">
            <v>INSTITUCION EDUCATIVA DOLORES GARRIDO</v>
          </cell>
          <cell r="K844">
            <v>129661901</v>
          </cell>
        </row>
        <row r="845">
          <cell r="I845">
            <v>800168166</v>
          </cell>
          <cell r="J845" t="str">
            <v>INSTITUCION EDUCATIVA TECNICA SAN PEDRO DE IGUAQUE</v>
          </cell>
          <cell r="K845">
            <v>44339714</v>
          </cell>
        </row>
        <row r="846">
          <cell r="I846">
            <v>800168203</v>
          </cell>
          <cell r="J846" t="str">
            <v>I.E.M. INEM - LUIS DELFIN INSUASTY RODRIGUEZ - PASTO</v>
          </cell>
          <cell r="K846">
            <v>313725803</v>
          </cell>
        </row>
        <row r="847">
          <cell r="I847">
            <v>800168332</v>
          </cell>
          <cell r="J847" t="str">
            <v>I.E. La Merced</v>
          </cell>
          <cell r="K847">
            <v>115516135</v>
          </cell>
        </row>
        <row r="848">
          <cell r="I848">
            <v>800168612</v>
          </cell>
          <cell r="J848" t="str">
            <v>I.E. MANUEL ELKIN PATARROYO</v>
          </cell>
          <cell r="K848">
            <v>38482178</v>
          </cell>
        </row>
        <row r="849">
          <cell r="I849">
            <v>800168836</v>
          </cell>
          <cell r="J849" t="str">
            <v>COLEGIO NACIONALIZADO SAN PEDRO CLAVER-VOZ CLAVERIANA STEREO 100.6</v>
          </cell>
          <cell r="K849">
            <v>124030585</v>
          </cell>
        </row>
        <row r="850">
          <cell r="I850">
            <v>800169769</v>
          </cell>
          <cell r="J850" t="str">
            <v>Colegio Carlos Vicente Rey</v>
          </cell>
          <cell r="K850">
            <v>141146758</v>
          </cell>
        </row>
        <row r="851">
          <cell r="I851">
            <v>800169983</v>
          </cell>
          <cell r="J851" t="str">
            <v>Fondode Servicios Educativos del I.T. Jose Clestino Mutis</v>
          </cell>
          <cell r="K851">
            <v>87247398</v>
          </cell>
        </row>
        <row r="852">
          <cell r="I852">
            <v>800170307</v>
          </cell>
          <cell r="J852" t="str">
            <v>INSTITUCION EDUCATIVA GENERAL SANTANDER</v>
          </cell>
          <cell r="K852">
            <v>48622028</v>
          </cell>
        </row>
        <row r="853">
          <cell r="I853">
            <v>800170415</v>
          </cell>
          <cell r="J853" t="str">
            <v>FONDO DE SERVICIO EDUCATIVO INSTITUCION EDUCATIVA SAN JOSE</v>
          </cell>
          <cell r="K853">
            <v>110135654</v>
          </cell>
        </row>
        <row r="854">
          <cell r="I854">
            <v>800170889</v>
          </cell>
          <cell r="J854" t="str">
            <v>EDUCACION   EDUCATIVA   AGRAPECUARIO MUNICIPAL- FONDO  DE  SERVICIOS EDUCATIVOS</v>
          </cell>
          <cell r="K854">
            <v>54361869</v>
          </cell>
        </row>
        <row r="855">
          <cell r="I855">
            <v>800170903</v>
          </cell>
          <cell r="J855" t="str">
            <v>FONDO DE SERVICIOS EDUCATIVOS INSTITUCION EDUCATIVA MUNICIPAL INSTITUTO TECNICO INDUSTRIAL</v>
          </cell>
          <cell r="K855">
            <v>171907958</v>
          </cell>
        </row>
        <row r="856">
          <cell r="I856">
            <v>800171206</v>
          </cell>
          <cell r="J856" t="str">
            <v>INSTITUCION EDUCATIVA  TECNICA LA LIBERTAD</v>
          </cell>
          <cell r="K856">
            <v>25999851</v>
          </cell>
        </row>
        <row r="857">
          <cell r="I857">
            <v>800171453</v>
          </cell>
          <cell r="J857" t="str">
            <v>FONDO DE SERVICIOS EDUCATIVOS INSTITUCION EDUCATIVA PEREZ PALLARES</v>
          </cell>
          <cell r="K857">
            <v>103318064</v>
          </cell>
        </row>
        <row r="858">
          <cell r="I858">
            <v>800171497</v>
          </cell>
          <cell r="J858" t="str">
            <v>INEM JOSE CELESTINO MUTIS</v>
          </cell>
          <cell r="K858">
            <v>156931372</v>
          </cell>
        </row>
        <row r="859">
          <cell r="I859">
            <v>800171628</v>
          </cell>
          <cell r="J859" t="str">
            <v>COLEGIO ANTONIO RICAURTE FONDO DE SERVICIOS EDUCATIVOS</v>
          </cell>
          <cell r="K859">
            <v>115159680</v>
          </cell>
        </row>
        <row r="860">
          <cell r="I860">
            <v>800171983</v>
          </cell>
          <cell r="J860" t="str">
            <v>Institucion Educativa Pueblo Rico</v>
          </cell>
          <cell r="K860">
            <v>18581402</v>
          </cell>
        </row>
        <row r="861">
          <cell r="I861">
            <v>800172206</v>
          </cell>
          <cell r="J861" t="str">
            <v>MUNICIPIO DE PUERTO CONCORDIA</v>
          </cell>
          <cell r="K861">
            <v>181308225</v>
          </cell>
        </row>
        <row r="862">
          <cell r="I862">
            <v>800172541</v>
          </cell>
          <cell r="J862" t="str">
            <v>INSTITUCION EDUCATIVA MARCELIANO POLO</v>
          </cell>
          <cell r="K862">
            <v>234013299</v>
          </cell>
        </row>
        <row r="863">
          <cell r="I863">
            <v>800172758</v>
          </cell>
          <cell r="J863" t="str">
            <v>EL FONDO DE SERVICIOS EDUCATIVOS INSTITUCION EDUCATIVA AGROPECUARIA LA VICTORIA</v>
          </cell>
          <cell r="K863">
            <v>59515835</v>
          </cell>
        </row>
        <row r="864">
          <cell r="I864">
            <v>800172872</v>
          </cell>
          <cell r="J864" t="str">
            <v>Institucion Educativa Villamaria</v>
          </cell>
          <cell r="K864">
            <v>51591303</v>
          </cell>
        </row>
        <row r="865">
          <cell r="I865">
            <v>800174012</v>
          </cell>
          <cell r="J865" t="str">
            <v>INSTITUCION EDUCATIVA TECNICA AGROPECUARIA MARGARI</v>
          </cell>
          <cell r="K865">
            <v>49158381</v>
          </cell>
        </row>
        <row r="866">
          <cell r="I866">
            <v>800174730</v>
          </cell>
          <cell r="J866" t="str">
            <v>Institucion Educativa Cañamomo y Lomaprieta</v>
          </cell>
          <cell r="K866">
            <v>69757657</v>
          </cell>
        </row>
        <row r="867">
          <cell r="I867">
            <v>800175112</v>
          </cell>
          <cell r="J867" t="str">
            <v>Institucion Educativa Obispo</v>
          </cell>
          <cell r="K867">
            <v>47374016</v>
          </cell>
        </row>
        <row r="868">
          <cell r="I868">
            <v>800175385</v>
          </cell>
          <cell r="J868" t="str">
            <v>Institucion Educativa La Milagrosa Auxilios Departamentales</v>
          </cell>
          <cell r="K868">
            <v>85363279</v>
          </cell>
        </row>
        <row r="869">
          <cell r="I869">
            <v>800175490</v>
          </cell>
          <cell r="J869" t="str">
            <v>I.E Manuel Maria Mallarino</v>
          </cell>
          <cell r="K869">
            <v>93659935</v>
          </cell>
        </row>
        <row r="870">
          <cell r="I870">
            <v>800175499</v>
          </cell>
          <cell r="J870" t="str">
            <v>INSTITUCION EDUCATIVA CECILIA DE LLERAS</v>
          </cell>
          <cell r="K870">
            <v>166688713</v>
          </cell>
        </row>
        <row r="871">
          <cell r="I871">
            <v>800175507</v>
          </cell>
          <cell r="J871" t="str">
            <v>I.E. Normal Superior Farallones</v>
          </cell>
          <cell r="K871">
            <v>236036965</v>
          </cell>
        </row>
        <row r="872">
          <cell r="I872">
            <v>800175516</v>
          </cell>
          <cell r="J872" t="str">
            <v>INSTITUCION EDUCATIVA ALFONSO LOPEZ PUMAREJO</v>
          </cell>
          <cell r="K872">
            <v>113309144</v>
          </cell>
        </row>
        <row r="873">
          <cell r="I873">
            <v>800175668</v>
          </cell>
          <cell r="J873" t="str">
            <v>INSTITUCION EDUCATIVA ANIBAL MARTINEZ ZULETA</v>
          </cell>
          <cell r="K873">
            <v>75624008</v>
          </cell>
        </row>
        <row r="874">
          <cell r="I874">
            <v>800175673</v>
          </cell>
          <cell r="J874" t="str">
            <v>Colegio La Sagrada Familia</v>
          </cell>
          <cell r="K874">
            <v>61157074</v>
          </cell>
        </row>
        <row r="875">
          <cell r="I875">
            <v>800175684</v>
          </cell>
          <cell r="J875" t="str">
            <v>COLEGIO NACIONALIZADO DE BACHILLERATO MIXTO DE PUERTO ESCONDIDO</v>
          </cell>
          <cell r="K875">
            <v>85733524</v>
          </cell>
        </row>
        <row r="876">
          <cell r="I876">
            <v>800175974</v>
          </cell>
          <cell r="J876" t="str">
            <v>FONDOS EDUCATIVOS INSTITUCION EDUCATIVA ESCUELA NORMAL SUPERIOR SAGRADO CORAZON</v>
          </cell>
          <cell r="K876">
            <v>54046233</v>
          </cell>
        </row>
        <row r="877">
          <cell r="I877">
            <v>800176268</v>
          </cell>
          <cell r="J877" t="str">
            <v>escuela normal superior lacides a iriarte</v>
          </cell>
          <cell r="K877">
            <v>183008805</v>
          </cell>
        </row>
        <row r="878">
          <cell r="I878">
            <v>800176275</v>
          </cell>
          <cell r="J878" t="str">
            <v>institucion educaativa andres rodriguez</v>
          </cell>
          <cell r="K878">
            <v>119050075</v>
          </cell>
        </row>
        <row r="879">
          <cell r="I879">
            <v>800176393</v>
          </cell>
          <cell r="J879" t="str">
            <v>Institucion Educativa Santa Teresita</v>
          </cell>
          <cell r="K879">
            <v>40008198</v>
          </cell>
        </row>
        <row r="880">
          <cell r="I880">
            <v>800176398</v>
          </cell>
          <cell r="J880" t="str">
            <v>INSTITUCION EDUCATIVA N. 3</v>
          </cell>
          <cell r="K880">
            <v>188380990</v>
          </cell>
        </row>
        <row r="881">
          <cell r="I881">
            <v>800176403</v>
          </cell>
          <cell r="J881" t="str">
            <v>Institucion Educativa Hojas Anchas</v>
          </cell>
          <cell r="K881">
            <v>65774878</v>
          </cell>
        </row>
        <row r="882">
          <cell r="I882">
            <v>800176777</v>
          </cell>
          <cell r="J882" t="str">
            <v>INSTITUCION EDUCATIVA CIUDAD LA HORMIGA</v>
          </cell>
          <cell r="K882">
            <v>122364815</v>
          </cell>
        </row>
        <row r="883">
          <cell r="I883">
            <v>800177191</v>
          </cell>
          <cell r="J883" t="str">
            <v>INSTITUCION EDUCATIVA DISTRITAL ANDRES BELLO</v>
          </cell>
          <cell r="K883">
            <v>171010764</v>
          </cell>
        </row>
        <row r="884">
          <cell r="I884">
            <v>800177348</v>
          </cell>
          <cell r="J884" t="str">
            <v>Fondo de Servicios Educativos</v>
          </cell>
          <cell r="K884">
            <v>121233290</v>
          </cell>
        </row>
        <row r="885">
          <cell r="I885">
            <v>800177500</v>
          </cell>
          <cell r="J885" t="str">
            <v>I.E Cristobal Colon</v>
          </cell>
          <cell r="K885">
            <v>195606129</v>
          </cell>
        </row>
        <row r="886">
          <cell r="I886">
            <v>800177754</v>
          </cell>
          <cell r="J886" t="str">
            <v>FONDO DE SERVICIOS DOCENTES DE LA IED SANTA GEMMA</v>
          </cell>
          <cell r="K886">
            <v>78567592</v>
          </cell>
        </row>
        <row r="887">
          <cell r="I887">
            <v>800178036</v>
          </cell>
          <cell r="J887" t="str">
            <v>institucion educativa colomboy</v>
          </cell>
          <cell r="K887">
            <v>98333651</v>
          </cell>
        </row>
        <row r="888">
          <cell r="I888">
            <v>800178375</v>
          </cell>
          <cell r="J888" t="str">
            <v>I.E. Rodolfo Castro Castro</v>
          </cell>
          <cell r="K888">
            <v>112006680</v>
          </cell>
        </row>
        <row r="889">
          <cell r="I889">
            <v>800178626</v>
          </cell>
          <cell r="J889" t="str">
            <v>INSTITUCION EDUCATIVA NUESTRA SEÑORA DE FATIMA</v>
          </cell>
          <cell r="K889">
            <v>18297850</v>
          </cell>
        </row>
        <row r="890">
          <cell r="I890">
            <v>800178943</v>
          </cell>
          <cell r="J890" t="str">
            <v>INSTITUTO TECNICO ELOY QUINTERO ARAUJO</v>
          </cell>
          <cell r="K890">
            <v>244264089</v>
          </cell>
        </row>
        <row r="891">
          <cell r="I891">
            <v>800178980</v>
          </cell>
          <cell r="J891" t="str">
            <v>INSTITUCION EDUCATVA MUNICIPAL OBONUCO</v>
          </cell>
          <cell r="K891">
            <v>54707281</v>
          </cell>
        </row>
        <row r="892">
          <cell r="I892">
            <v>800178994</v>
          </cell>
          <cell r="J892" t="str">
            <v>INSTITUCION EDUCATIVA NUESTRA SEÑORA DE LOURDES</v>
          </cell>
          <cell r="K892">
            <v>60231164</v>
          </cell>
        </row>
        <row r="893">
          <cell r="I893">
            <v>800179135</v>
          </cell>
          <cell r="J893" t="str">
            <v>INS. E. LUIS CARLOS GALAN SARMIENTO</v>
          </cell>
          <cell r="K893">
            <v>25141864</v>
          </cell>
        </row>
        <row r="894">
          <cell r="I894">
            <v>800179451</v>
          </cell>
          <cell r="J894" t="str">
            <v>San Felix Naranjo San Diego Caldas</v>
          </cell>
          <cell r="K894">
            <v>74895973</v>
          </cell>
        </row>
        <row r="895">
          <cell r="I895">
            <v>800179552</v>
          </cell>
          <cell r="J895" t="str">
            <v>INSTITUCION EDUCATIVA SAN FRANCISCO DE ASIS</v>
          </cell>
          <cell r="K895">
            <v>83839652</v>
          </cell>
        </row>
        <row r="896">
          <cell r="I896">
            <v>800179768</v>
          </cell>
          <cell r="J896" t="str">
            <v>INSTITUCION EDUCATIVA DISTRITAL CARLOS ARTURO TORRES</v>
          </cell>
          <cell r="K896">
            <v>108151598</v>
          </cell>
        </row>
        <row r="897">
          <cell r="I897">
            <v>800180019</v>
          </cell>
          <cell r="J897" t="str">
            <v>c.e.d. san jose fondo de servicios</v>
          </cell>
          <cell r="K897">
            <v>139254451</v>
          </cell>
        </row>
        <row r="898">
          <cell r="I898">
            <v>800180127</v>
          </cell>
          <cell r="J898" t="str">
            <v>FONDOS DE SERVICIOS EDUCATIVOS INSTITUCION EDUCATIVA JOSE ANTONIO RICAURTE</v>
          </cell>
          <cell r="K898">
            <v>161787967</v>
          </cell>
        </row>
        <row r="899">
          <cell r="I899">
            <v>800180311</v>
          </cell>
          <cell r="J899" t="str">
            <v>INSTITUCION EDUCATIVA GUSTIN SANTACRUZ</v>
          </cell>
          <cell r="K899">
            <v>12745533</v>
          </cell>
        </row>
        <row r="900">
          <cell r="I900">
            <v>800180328</v>
          </cell>
          <cell r="J900" t="str">
            <v>ESCUELA NORMAL SUPERIOR VALLE DE TENZA</v>
          </cell>
          <cell r="K900">
            <v>20761321</v>
          </cell>
        </row>
        <row r="901">
          <cell r="I901">
            <v>800180539</v>
          </cell>
          <cell r="J901" t="str">
            <v>INSTITUCION EDUCATIVA REPUBLICA DE ARGENTINA</v>
          </cell>
          <cell r="K901">
            <v>59715968</v>
          </cell>
        </row>
        <row r="902">
          <cell r="I902">
            <v>800180709</v>
          </cell>
          <cell r="J902" t="str">
            <v>INSTITUCION EDUCATIVA TECNICA ANGELA MARIA TORRES SUAREZ FONDOS DE SERVICIOS EDUCATIVOS</v>
          </cell>
          <cell r="K902">
            <v>150728069</v>
          </cell>
        </row>
        <row r="903">
          <cell r="I903">
            <v>800181183</v>
          </cell>
          <cell r="J903" t="str">
            <v>INSTITUCION EDUCATIVA COLEGIO INTEGRADO SIMON BOL</v>
          </cell>
          <cell r="K903">
            <v>150290203</v>
          </cell>
        </row>
        <row r="904">
          <cell r="I904">
            <v>800181494</v>
          </cell>
          <cell r="J904" t="str">
            <v>INSTITUCION EDUCATIVA DE COYONGAL</v>
          </cell>
          <cell r="K904">
            <v>90262489</v>
          </cell>
        </row>
        <row r="905">
          <cell r="I905">
            <v>800181675</v>
          </cell>
          <cell r="J905" t="str">
            <v>INSTITUCION EDUCATIVA TECNICA INDUSTRIAL GERARDO VALENCIA CANO</v>
          </cell>
          <cell r="K905">
            <v>168648308</v>
          </cell>
        </row>
        <row r="906">
          <cell r="I906">
            <v>800181694</v>
          </cell>
          <cell r="J906" t="str">
            <v>INSTITUCION EDUCATIVA FRANCISCO JOSE DE CALDAS</v>
          </cell>
          <cell r="K906">
            <v>33236384</v>
          </cell>
        </row>
        <row r="907">
          <cell r="I907">
            <v>800181707</v>
          </cell>
          <cell r="J907" t="str">
            <v>INSTITUCION EDUCATIVA MUNICIPAL MOCONDINO</v>
          </cell>
          <cell r="K907">
            <v>29642974</v>
          </cell>
        </row>
        <row r="908">
          <cell r="I908">
            <v>800181747</v>
          </cell>
          <cell r="J908" t="str">
            <v>INSTITUCION EDUCATIVA DISTRITAL OEA</v>
          </cell>
          <cell r="K908">
            <v>156462142</v>
          </cell>
        </row>
        <row r="909">
          <cell r="I909">
            <v>800182081</v>
          </cell>
          <cell r="J909" t="str">
            <v>Fondo Servicios Educativos Institución Educativa agropecuario Santa María</v>
          </cell>
          <cell r="K909">
            <v>8844075</v>
          </cell>
        </row>
        <row r="910">
          <cell r="I910">
            <v>800182104</v>
          </cell>
          <cell r="J910" t="str">
            <v>institucion educativa tecnica agropecuaria de albania</v>
          </cell>
          <cell r="K910">
            <v>54682682</v>
          </cell>
        </row>
        <row r="911">
          <cell r="I911">
            <v>800182319</v>
          </cell>
          <cell r="J911" t="str">
            <v>Institucion Educativa Nazario Restrepo Gratuidad Escolar</v>
          </cell>
          <cell r="K911">
            <v>55554935</v>
          </cell>
        </row>
        <row r="912">
          <cell r="I912">
            <v>800182765</v>
          </cell>
          <cell r="J912" t="str">
            <v>Fondos Servicios Educativos institución educativa de Chalán</v>
          </cell>
          <cell r="K912">
            <v>60908652</v>
          </cell>
        </row>
        <row r="913">
          <cell r="I913">
            <v>800183092</v>
          </cell>
          <cell r="J913" t="str">
            <v>FONDO DE SERVICIOS EDUCATIVOS</v>
          </cell>
          <cell r="K913">
            <v>34457865</v>
          </cell>
        </row>
        <row r="914">
          <cell r="I914">
            <v>800183798</v>
          </cell>
          <cell r="J914" t="str">
            <v>I.E. Jose Holguin Garces</v>
          </cell>
          <cell r="K914">
            <v>235820416</v>
          </cell>
        </row>
        <row r="915">
          <cell r="I915">
            <v>800184324</v>
          </cell>
          <cell r="J915" t="str">
            <v>INSTITUCION EDUCATIVA SAN JUAN BAUTISTA LA SALLE</v>
          </cell>
          <cell r="K915">
            <v>68206988</v>
          </cell>
        </row>
        <row r="916">
          <cell r="I916">
            <v>800184366</v>
          </cell>
          <cell r="J916" t="str">
            <v>INSTITUCION EDUCATIVA ASNAZU</v>
          </cell>
          <cell r="K916">
            <v>101029286</v>
          </cell>
        </row>
        <row r="917">
          <cell r="I917">
            <v>800184540</v>
          </cell>
          <cell r="J917" t="str">
            <v>Escuela Normal Superior Nustra Señora de la Candelaria</v>
          </cell>
          <cell r="K917">
            <v>80856923</v>
          </cell>
        </row>
        <row r="918">
          <cell r="I918">
            <v>800184695</v>
          </cell>
          <cell r="J918" t="str">
            <v>Colegio la Inmaculada Concepcion</v>
          </cell>
          <cell r="K918">
            <v>44568000</v>
          </cell>
        </row>
        <row r="919">
          <cell r="I919">
            <v>800184899</v>
          </cell>
          <cell r="J919" t="str">
            <v>FONDO DE SERVICIOS EDUCATIVOS- INSTITUCION EDUCATIVA JOSE MARIA POTIER</v>
          </cell>
          <cell r="K919">
            <v>58680272</v>
          </cell>
        </row>
        <row r="920">
          <cell r="I920">
            <v>800184905</v>
          </cell>
          <cell r="J920" t="str">
            <v>INSTITUCION EDUCATIVA SAN JOSE DE CARRIZAL</v>
          </cell>
          <cell r="K920">
            <v>63956532</v>
          </cell>
        </row>
        <row r="921">
          <cell r="I921">
            <v>800184956</v>
          </cell>
          <cell r="J921" t="str">
            <v>IED INTEGRADA SUTATAUSA</v>
          </cell>
          <cell r="K921">
            <v>89364597</v>
          </cell>
        </row>
        <row r="922">
          <cell r="I922">
            <v>800185020</v>
          </cell>
          <cell r="J922" t="str">
            <v>I.E. EL JUNCAL FONDO DE SERVICIO EDUCATIVO</v>
          </cell>
          <cell r="K922">
            <v>69257396</v>
          </cell>
        </row>
        <row r="923">
          <cell r="I923">
            <v>800185161</v>
          </cell>
          <cell r="J923" t="str">
            <v>INSTITUCION EDUCATIVA SAN MARTIN DE TOURS</v>
          </cell>
          <cell r="K923">
            <v>84917911</v>
          </cell>
        </row>
        <row r="924">
          <cell r="I924">
            <v>800185497</v>
          </cell>
          <cell r="J924" t="str">
            <v>INST. EDUC. JOSE CELESTINO MUTIS</v>
          </cell>
          <cell r="K924">
            <v>91616292</v>
          </cell>
        </row>
        <row r="925">
          <cell r="I925">
            <v>800186574</v>
          </cell>
          <cell r="J925" t="str">
            <v>INSTITUCION EDUCATIVA AGROPECUARIA SANTA ANA</v>
          </cell>
          <cell r="K925">
            <v>32845456</v>
          </cell>
        </row>
        <row r="926">
          <cell r="I926">
            <v>800186620</v>
          </cell>
          <cell r="J926" t="str">
            <v>FONDOS DE SERVICIOS EDUCATIVOS IED PUERTO BOGOTA</v>
          </cell>
          <cell r="K926">
            <v>75053373</v>
          </cell>
        </row>
        <row r="927">
          <cell r="I927">
            <v>800186769</v>
          </cell>
          <cell r="J927" t="str">
            <v>INSTITUTO DOCENTE CIUDAD DORADA</v>
          </cell>
          <cell r="K927">
            <v>75691728</v>
          </cell>
        </row>
        <row r="928">
          <cell r="I928">
            <v>800187050</v>
          </cell>
          <cell r="J928" t="str">
            <v>Institucion Educativa eliecer Ulloa</v>
          </cell>
          <cell r="K928">
            <v>52406517</v>
          </cell>
        </row>
        <row r="929">
          <cell r="I929">
            <v>800187586</v>
          </cell>
          <cell r="J929" t="str">
            <v>INSTITUCION EDUCATIVA DE HATILLO DE LOBA BOLIVAR</v>
          </cell>
          <cell r="K929">
            <v>60101071</v>
          </cell>
        </row>
        <row r="930">
          <cell r="I930">
            <v>800187879</v>
          </cell>
          <cell r="J930" t="str">
            <v>INSTITUCION EDUCATIVA RURAL LA CABAÑA</v>
          </cell>
          <cell r="K930">
            <v>29502683</v>
          </cell>
        </row>
        <row r="931">
          <cell r="I931">
            <v>800188225</v>
          </cell>
          <cell r="J931" t="str">
            <v>COLEGIO DANIEL ALFONSO PAZ ALVAREZ</v>
          </cell>
          <cell r="K931">
            <v>80033466</v>
          </cell>
        </row>
        <row r="932">
          <cell r="I932">
            <v>800188250</v>
          </cell>
          <cell r="J932" t="str">
            <v>INSTITUCION EDUCATIVA SIMON BOLIVAR</v>
          </cell>
          <cell r="K932">
            <v>102887146</v>
          </cell>
        </row>
        <row r="933">
          <cell r="I933">
            <v>800188261</v>
          </cell>
          <cell r="J933" t="str">
            <v>INSTITUCION EDUCATIVA COLEGIO ANDRES BELLO MUNICIPIO DE CUCUTA</v>
          </cell>
          <cell r="K933">
            <v>86385720</v>
          </cell>
        </row>
        <row r="934">
          <cell r="I934">
            <v>800188268</v>
          </cell>
          <cell r="J934" t="str">
            <v>INSTITUCION EDUCATIVA RURALADOLFO ANTONIO MINDIOLA ROBL</v>
          </cell>
          <cell r="K934">
            <v>42029008</v>
          </cell>
        </row>
        <row r="935">
          <cell r="I935">
            <v>800188462</v>
          </cell>
          <cell r="J935" t="str">
            <v>INSTITUCION EDUCATIVA ALFREDO GARCIA</v>
          </cell>
          <cell r="K935">
            <v>38133072</v>
          </cell>
        </row>
        <row r="936">
          <cell r="I936">
            <v>800188492</v>
          </cell>
          <cell r="J936" t="str">
            <v>MUNICIPIO DE FLORENCIA CAUCA</v>
          </cell>
          <cell r="K936">
            <v>56008484</v>
          </cell>
        </row>
        <row r="937">
          <cell r="I937">
            <v>800188940</v>
          </cell>
          <cell r="J937" t="str">
            <v>Unidad Educativa Urbana de Puerto Rico</v>
          </cell>
          <cell r="K937">
            <v>106201255</v>
          </cell>
        </row>
        <row r="938">
          <cell r="I938">
            <v>800188954</v>
          </cell>
          <cell r="J938" t="str">
            <v>INSTITUCION  EDUCATIVA  LUIS  GIRALDO LOPEZ</v>
          </cell>
          <cell r="K938">
            <v>107068215</v>
          </cell>
        </row>
        <row r="939">
          <cell r="I939">
            <v>800189272</v>
          </cell>
          <cell r="J939" t="str">
            <v>INSTITUCION EDUCATIVA AGROPECUARIO DEL HUILA</v>
          </cell>
          <cell r="K939">
            <v>79238845</v>
          </cell>
        </row>
        <row r="940">
          <cell r="I940">
            <v>800189314</v>
          </cell>
          <cell r="J940" t="str">
            <v>FONDO DE SERVICIO EDUCATIVO COL PABLO NERUDA</v>
          </cell>
          <cell r="K940">
            <v>95176531</v>
          </cell>
        </row>
        <row r="941">
          <cell r="I941">
            <v>800189808</v>
          </cell>
          <cell r="J941" t="str">
            <v>INSTITUTO INTEGRADO DE ENSEÑANZA MEDIA COMERCIAL SAN JOSE</v>
          </cell>
          <cell r="K941">
            <v>29985802</v>
          </cell>
        </row>
        <row r="942">
          <cell r="I942">
            <v>800189814</v>
          </cell>
          <cell r="J942" t="str">
            <v>INSTITUCION EDUCATIVA SANTO DOMINGO VIDAL</v>
          </cell>
          <cell r="K942">
            <v>56032892</v>
          </cell>
        </row>
        <row r="943">
          <cell r="I943">
            <v>800189937</v>
          </cell>
          <cell r="J943" t="str">
            <v>INSTITUCION EDUCATIVA VILLAMORENO</v>
          </cell>
          <cell r="K943">
            <v>34792538</v>
          </cell>
        </row>
        <row r="944">
          <cell r="I944">
            <v>800190082</v>
          </cell>
          <cell r="J944" t="str">
            <v>FONDO DE SERVICIOS EDUCATIVOS JOSE ma CARBONELLl</v>
          </cell>
          <cell r="K944">
            <v>100667162</v>
          </cell>
        </row>
        <row r="945">
          <cell r="I945">
            <v>800190451</v>
          </cell>
          <cell r="J945" t="str">
            <v>FONDO DE SERVICIOS EDUCATIVOS DE LA INSTITUCION EDUCATIVA FRANCISCO JOSE DE CALDAS</v>
          </cell>
          <cell r="K945">
            <v>24245043</v>
          </cell>
        </row>
        <row r="946">
          <cell r="I946">
            <v>800190618</v>
          </cell>
          <cell r="J946" t="str">
            <v>COLEGIO DEPARTAMENTAL LUIS CARLOS GALAN SARMIENTO</v>
          </cell>
          <cell r="K946">
            <v>222428501</v>
          </cell>
        </row>
        <row r="947">
          <cell r="I947">
            <v>800190914</v>
          </cell>
          <cell r="J947" t="str">
            <v>I.E. VILLA DE LOS ANDES</v>
          </cell>
          <cell r="K947">
            <v>78316448</v>
          </cell>
        </row>
        <row r="948">
          <cell r="I948">
            <v>800191427</v>
          </cell>
          <cell r="J948" t="str">
            <v>MUNICIPIO DE EL RETORNO</v>
          </cell>
          <cell r="K948">
            <v>291178965</v>
          </cell>
        </row>
        <row r="949">
          <cell r="I949">
            <v>800191483</v>
          </cell>
          <cell r="J949" t="str">
            <v>COLEGIO TECNICO MUNICIPAL TOMAS VASQUEZ</v>
          </cell>
          <cell r="K949">
            <v>87001793</v>
          </cell>
        </row>
        <row r="950">
          <cell r="I950">
            <v>800191549</v>
          </cell>
          <cell r="J950" t="str">
            <v>INSTITUCION EDUCTVIA TECNICA ENRIQUE OLAYA HERRERA - FONDOS DE SERVICIOS EDUCATIVOS</v>
          </cell>
          <cell r="K950">
            <v>86680456</v>
          </cell>
        </row>
        <row r="951">
          <cell r="I951">
            <v>800191624</v>
          </cell>
          <cell r="J951" t="str">
            <v>GILBERTO ALZATE AVENDAÑO</v>
          </cell>
          <cell r="K951">
            <v>87953946</v>
          </cell>
        </row>
        <row r="952">
          <cell r="I952">
            <v>800192058</v>
          </cell>
          <cell r="J952" t="str">
            <v>INST.EDUCATIVA ALVARO ECHEVERRY  PEREA</v>
          </cell>
          <cell r="K952">
            <v>174693940</v>
          </cell>
        </row>
        <row r="953">
          <cell r="I953">
            <v>800192126</v>
          </cell>
          <cell r="J953" t="str">
            <v>INSTITUCION EDUCATIVA TECNICA JOSE GABRIEL CARVAJAL GARCIA</v>
          </cell>
          <cell r="K953">
            <v>45231927</v>
          </cell>
        </row>
        <row r="954">
          <cell r="I954">
            <v>800192420</v>
          </cell>
          <cell r="J954" t="str">
            <v>INSTITUCION EDUCATIVA AGROPECUARIA NUESTRA SEÑORA DEL ROSARIO</v>
          </cell>
          <cell r="K954">
            <v>24568279</v>
          </cell>
        </row>
        <row r="955">
          <cell r="I955">
            <v>800192426</v>
          </cell>
          <cell r="J955" t="str">
            <v>INST EDUCATIVA AGRO LA FONDA</v>
          </cell>
          <cell r="K955">
            <v>45662045</v>
          </cell>
        </row>
        <row r="956">
          <cell r="I956">
            <v>800192608</v>
          </cell>
          <cell r="J956" t="str">
            <v>INSTITUTO EDUCATIVO TECNICO DIVERSIFICADO</v>
          </cell>
          <cell r="K956">
            <v>138574408</v>
          </cell>
        </row>
        <row r="957">
          <cell r="I957">
            <v>800193031</v>
          </cell>
          <cell r="J957" t="str">
            <v>MUNICIPIO DE SAN BERNARDO</v>
          </cell>
          <cell r="K957">
            <v>75621238</v>
          </cell>
        </row>
        <row r="958">
          <cell r="I958">
            <v>800193355</v>
          </cell>
          <cell r="J958" t="str">
            <v>INSTITUCION EDUCATIVA DEPARTAMENTAL JOSE JOAQUIN CASAS</v>
          </cell>
          <cell r="K958">
            <v>106482450</v>
          </cell>
        </row>
        <row r="959">
          <cell r="I959">
            <v>800193408</v>
          </cell>
          <cell r="J959" t="str">
            <v>Fondo de Servicio Educativo IED Jesus Espeleta Fajardo</v>
          </cell>
          <cell r="K959">
            <v>98188090</v>
          </cell>
        </row>
        <row r="960">
          <cell r="I960">
            <v>800193780</v>
          </cell>
          <cell r="J960" t="str">
            <v>FONDO DE SERVICIOS EDUCATIVOS</v>
          </cell>
          <cell r="K960">
            <v>29334488</v>
          </cell>
        </row>
        <row r="961">
          <cell r="I961">
            <v>800193795</v>
          </cell>
          <cell r="J961" t="str">
            <v>INSITUCION  EDUCATIVA ANTONIO NARIÑO</v>
          </cell>
          <cell r="K961">
            <v>167670055</v>
          </cell>
        </row>
        <row r="962">
          <cell r="I962">
            <v>800193939</v>
          </cell>
          <cell r="J962" t="str">
            <v>INSTITUTO EDUCATIVO NUESTRA SENORA DEL PERPETUO SOCORRO</v>
          </cell>
          <cell r="K962">
            <v>100760157</v>
          </cell>
        </row>
        <row r="963">
          <cell r="I963">
            <v>800193975</v>
          </cell>
          <cell r="J963" t="str">
            <v>COLEGIO DEPARTAMENTAL JUAN B CABALLERO</v>
          </cell>
          <cell r="K963">
            <v>44091355</v>
          </cell>
        </row>
        <row r="964">
          <cell r="I964">
            <v>800194058</v>
          </cell>
          <cell r="J964" t="str">
            <v>FONDO DE SERVICIOS EDUCATIVOS</v>
          </cell>
          <cell r="K964">
            <v>42558412</v>
          </cell>
        </row>
        <row r="965">
          <cell r="I965">
            <v>800194127</v>
          </cell>
          <cell r="J965" t="str">
            <v>FONDO DE SERVICIOS EDUCATIVOS</v>
          </cell>
          <cell r="K965">
            <v>26996547</v>
          </cell>
        </row>
        <row r="966">
          <cell r="I966">
            <v>800194406</v>
          </cell>
          <cell r="J966" t="str">
            <v>INST EDUC GABRIEL TABOADA SANTO DOMINGO</v>
          </cell>
          <cell r="K966">
            <v>79600564</v>
          </cell>
        </row>
        <row r="967">
          <cell r="I967">
            <v>800194494</v>
          </cell>
          <cell r="J967" t="str">
            <v>FONDO DE SERVICIOS EDUCATIVOS</v>
          </cell>
          <cell r="K967">
            <v>88057882</v>
          </cell>
        </row>
        <row r="968">
          <cell r="I968">
            <v>800194534</v>
          </cell>
          <cell r="J968" t="str">
            <v>I.E. Politecnico</v>
          </cell>
          <cell r="K968">
            <v>193887285</v>
          </cell>
        </row>
        <row r="969">
          <cell r="I969">
            <v>800194979</v>
          </cell>
          <cell r="J969" t="str">
            <v>FONDO SERVICIOS EDUCATIVOS</v>
          </cell>
          <cell r="K969">
            <v>129740329</v>
          </cell>
        </row>
        <row r="970">
          <cell r="I970">
            <v>800196009</v>
          </cell>
          <cell r="J970" t="str">
            <v>COLEGIO ANTONIO MARIA GUARIN</v>
          </cell>
          <cell r="K970">
            <v>19354654</v>
          </cell>
        </row>
        <row r="971">
          <cell r="I971">
            <v>800196800</v>
          </cell>
          <cell r="J971" t="str">
            <v>I.E. Rafael Valle Meza</v>
          </cell>
          <cell r="K971">
            <v>134251783</v>
          </cell>
        </row>
        <row r="972">
          <cell r="I972">
            <v>800196806</v>
          </cell>
          <cell r="J972" t="str">
            <v>FSE Colegio Técnico Microempresarial El Carmen</v>
          </cell>
          <cell r="K972">
            <v>155852293</v>
          </cell>
        </row>
        <row r="973">
          <cell r="I973">
            <v>800197308</v>
          </cell>
          <cell r="J973" t="str">
            <v>INSTITUCION EDUCATIVA ANDINO SAN LORENZO</v>
          </cell>
          <cell r="K973">
            <v>62800510</v>
          </cell>
        </row>
        <row r="974">
          <cell r="I974">
            <v>800197409</v>
          </cell>
          <cell r="J974" t="str">
            <v>FONDOS SERVICIOS EDUCATIVOS INSTITUTO TECNICO AGROPECUARIO</v>
          </cell>
          <cell r="K974">
            <v>36419046</v>
          </cell>
        </row>
        <row r="975">
          <cell r="I975">
            <v>800197417</v>
          </cell>
          <cell r="J975" t="str">
            <v>ESCUELA NORMAL SUPERIOR PAMPLONA</v>
          </cell>
          <cell r="K975">
            <v>49489465</v>
          </cell>
        </row>
        <row r="976">
          <cell r="I976">
            <v>800197735</v>
          </cell>
          <cell r="J976" t="str">
            <v>COLEGIO JOSE MARIA CORDOBA</v>
          </cell>
          <cell r="K976">
            <v>107145791</v>
          </cell>
        </row>
        <row r="977">
          <cell r="I977">
            <v>800198089</v>
          </cell>
          <cell r="J977" t="str">
            <v>INSTITUCION EDUCATIVA TECNICA AGROPECUARIA DE PALERMO</v>
          </cell>
          <cell r="K977">
            <v>18463726</v>
          </cell>
        </row>
        <row r="978">
          <cell r="I978">
            <v>800199028</v>
          </cell>
          <cell r="J978" t="str">
            <v>FONDO DE FOMENTO DE LOS SERVICIOS DOCENTES</v>
          </cell>
          <cell r="K978">
            <v>163194463</v>
          </cell>
        </row>
        <row r="979">
          <cell r="I979">
            <v>800199959</v>
          </cell>
          <cell r="J979" t="str">
            <v xml:space="preserve">MUNICIPIO  DE  CHACHAGUI </v>
          </cell>
          <cell r="K979">
            <v>109692289</v>
          </cell>
        </row>
        <row r="980">
          <cell r="I980">
            <v>800200115</v>
          </cell>
          <cell r="J980" t="str">
            <v>FONDO DE SEDRVICIOS EDUCATIVOS DE LA INSTITUCION EDUCATIVA SANTA TERESA</v>
          </cell>
          <cell r="K980">
            <v>39203425</v>
          </cell>
        </row>
        <row r="981">
          <cell r="I981">
            <v>800200331</v>
          </cell>
          <cell r="J981" t="str">
            <v>INSTITUCION EDUCATIVA LA LIBERTAD</v>
          </cell>
          <cell r="K981">
            <v>75384794</v>
          </cell>
        </row>
        <row r="982">
          <cell r="I982">
            <v>800200618</v>
          </cell>
          <cell r="J982" t="str">
            <v>I.E. Vicente Borrero Costa</v>
          </cell>
          <cell r="K982">
            <v>162859708</v>
          </cell>
        </row>
        <row r="983">
          <cell r="I983">
            <v>800200665</v>
          </cell>
          <cell r="J983" t="str">
            <v>INSTITUCION EDUICATIVA SAN LUIS DE GACENO</v>
          </cell>
          <cell r="K983">
            <v>42260899</v>
          </cell>
        </row>
        <row r="984">
          <cell r="I984">
            <v>800201142</v>
          </cell>
          <cell r="J984" t="str">
            <v>FONDO DE SERVICIOS EDUCATIVOS INSTITUCIÓN EDUCATIVA TÉCNICA JUAN JOSÉ SAMANIEGO</v>
          </cell>
          <cell r="K984">
            <v>34042595</v>
          </cell>
        </row>
        <row r="985">
          <cell r="I985">
            <v>800201582</v>
          </cell>
          <cell r="J985" t="str">
            <v>INSTITUTO EDUCATIVO  DISTRITAL  DEL BARRIO  SIMON BOLIVAR</v>
          </cell>
          <cell r="K985">
            <v>166683383</v>
          </cell>
        </row>
        <row r="986">
          <cell r="I986">
            <v>800203120</v>
          </cell>
          <cell r="J986" t="str">
            <v>I. E. INDIGENA SAN ANTONIO ABAD</v>
          </cell>
          <cell r="K986">
            <v>116547000</v>
          </cell>
        </row>
        <row r="987">
          <cell r="I987">
            <v>800204994</v>
          </cell>
          <cell r="J987" t="str">
            <v>COLEGIO NACIONALIZADO LA PRESENTACION</v>
          </cell>
          <cell r="K987">
            <v>195673601</v>
          </cell>
        </row>
        <row r="988">
          <cell r="I988">
            <v>800205531</v>
          </cell>
          <cell r="J988" t="str">
            <v>I.E FRANCISCO ANTONIO ZEA</v>
          </cell>
          <cell r="K988">
            <v>125315828</v>
          </cell>
        </row>
        <row r="989">
          <cell r="I989">
            <v>800205646</v>
          </cell>
          <cell r="J989" t="str">
            <v>FONDO DE SERVICIOS EDUCATIVOS</v>
          </cell>
          <cell r="K989">
            <v>45563759</v>
          </cell>
        </row>
        <row r="990">
          <cell r="I990">
            <v>800205825</v>
          </cell>
          <cell r="J990" t="str">
            <v>INSTITUCION EDUCATIVA MAYOR DE YUMBO</v>
          </cell>
          <cell r="K990">
            <v>95074932</v>
          </cell>
        </row>
        <row r="991">
          <cell r="I991">
            <v>800206329</v>
          </cell>
          <cell r="J991" t="str">
            <v>FDO SERV DOC CED ANTONIO BARAYA</v>
          </cell>
          <cell r="K991">
            <v>95016728</v>
          </cell>
        </row>
        <row r="992">
          <cell r="I992">
            <v>800206349</v>
          </cell>
          <cell r="J992" t="str">
            <v>INSTITUCION EDUCATIVA MUNICIPAL FRANCISCO DE LA VILLOTA</v>
          </cell>
          <cell r="K992">
            <v>54041013</v>
          </cell>
        </row>
        <row r="993">
          <cell r="I993">
            <v>800206899</v>
          </cell>
          <cell r="J993" t="str">
            <v>INSTITUCION EDUCATIVA JOSE ANTONIO GALAN</v>
          </cell>
          <cell r="K993">
            <v>112244325</v>
          </cell>
        </row>
        <row r="994">
          <cell r="I994">
            <v>800207612</v>
          </cell>
          <cell r="J994" t="str">
            <v>INSTITUCION  EDUCATIVA TECNICO  INDUSTRIAL  RAFAEL  POMBO</v>
          </cell>
          <cell r="K994">
            <v>202824802</v>
          </cell>
        </row>
        <row r="995">
          <cell r="I995">
            <v>800208076</v>
          </cell>
          <cell r="J995" t="str">
            <v>INSTITUCION EDUCATIVA AGROPECUARIA JESUS NAZARENO</v>
          </cell>
          <cell r="K995">
            <v>23253242</v>
          </cell>
        </row>
        <row r="996">
          <cell r="I996">
            <v>800208513</v>
          </cell>
          <cell r="J996" t="str">
            <v>INSTITUCION EDUCATIVA DEPARTAMENTAL FIDEL LEAL</v>
          </cell>
          <cell r="K996">
            <v>95696470</v>
          </cell>
        </row>
        <row r="997">
          <cell r="I997">
            <v>800208581</v>
          </cell>
          <cell r="J997" t="str">
            <v>FONDO DE SERVICIOS EDUCATIVOS INSTITUCION EDUCATIVA LAS LAJAS</v>
          </cell>
          <cell r="K997">
            <v>53207314</v>
          </cell>
        </row>
        <row r="998">
          <cell r="I998">
            <v>800208907</v>
          </cell>
          <cell r="J998" t="str">
            <v>INSTITUCION EDUCATIVA SAGRADO CORAZON DE JESUS</v>
          </cell>
          <cell r="K998">
            <v>51011658</v>
          </cell>
        </row>
        <row r="999">
          <cell r="I999">
            <v>800209233</v>
          </cell>
          <cell r="J999" t="str">
            <v>INSTITUCION EDUCATIVA MUNICIPAL CHAMBU</v>
          </cell>
          <cell r="K999">
            <v>51505904</v>
          </cell>
        </row>
        <row r="1000">
          <cell r="I1000">
            <v>800209234</v>
          </cell>
          <cell r="J1000" t="str">
            <v>FONDO DE SERVICIOS EDUCATIVOS INSTITUCION EDUCATIVA COMERCIAL SAN LUIS</v>
          </cell>
          <cell r="K1000">
            <v>46419816</v>
          </cell>
        </row>
        <row r="1001">
          <cell r="I1001">
            <v>800209674</v>
          </cell>
          <cell r="J1001" t="str">
            <v>FONDO DE SERVICIOS EDUCATIVOS</v>
          </cell>
          <cell r="K1001">
            <v>28914032</v>
          </cell>
        </row>
        <row r="1002">
          <cell r="I1002">
            <v>800209748</v>
          </cell>
          <cell r="J1002" t="str">
            <v>COLEGIO JORGE ARDILA DUARTE</v>
          </cell>
          <cell r="K1002">
            <v>105522686</v>
          </cell>
        </row>
        <row r="1003">
          <cell r="I1003">
            <v>800209877</v>
          </cell>
          <cell r="J1003" t="str">
            <v>INSTITUCION EDUCATIVA JUAN XXIII</v>
          </cell>
          <cell r="K1003">
            <v>84559998</v>
          </cell>
        </row>
        <row r="1004">
          <cell r="I1004">
            <v>800209906</v>
          </cell>
          <cell r="J1004" t="str">
            <v>COLEGIO MIXTO SAN PEDRO DE CUMBITARA</v>
          </cell>
          <cell r="K1004">
            <v>49290569</v>
          </cell>
        </row>
        <row r="1005">
          <cell r="I1005">
            <v>800209945</v>
          </cell>
          <cell r="J1005" t="str">
            <v>Institucion Educativa Pio XII</v>
          </cell>
          <cell r="K1005">
            <v>17845600</v>
          </cell>
        </row>
        <row r="1006">
          <cell r="I1006">
            <v>800209947</v>
          </cell>
          <cell r="J1006" t="str">
            <v>Insitucion Educativa Alegrias</v>
          </cell>
          <cell r="K1006">
            <v>26217308</v>
          </cell>
        </row>
        <row r="1007">
          <cell r="I1007">
            <v>800210165</v>
          </cell>
          <cell r="J1007" t="str">
            <v>INSTITUCION EDUCATIVA DISTRITAL CAMPESTRE MONTEVERDE</v>
          </cell>
          <cell r="K1007">
            <v>105958466</v>
          </cell>
        </row>
        <row r="1008">
          <cell r="I1008">
            <v>800210194</v>
          </cell>
          <cell r="J1008" t="str">
            <v>FONDO DE SERVICIO DOCENTE</v>
          </cell>
          <cell r="K1008">
            <v>166181149</v>
          </cell>
        </row>
        <row r="1009">
          <cell r="I1009">
            <v>800210305</v>
          </cell>
          <cell r="J1009" t="str">
            <v>INSTITUCION EDUCATIVA JUAN PABLO II</v>
          </cell>
          <cell r="K1009">
            <v>46531643</v>
          </cell>
        </row>
        <row r="1010">
          <cell r="I1010">
            <v>800211483</v>
          </cell>
          <cell r="J1010" t="str">
            <v>Colegio San Gerardo Maria Mayela</v>
          </cell>
          <cell r="K1010">
            <v>70847194</v>
          </cell>
        </row>
        <row r="1011">
          <cell r="I1011">
            <v>800211493</v>
          </cell>
          <cell r="J1011" t="str">
            <v>I.E. TECNICO AGROINDUSTRIAL SAN LUIS ROBLES</v>
          </cell>
          <cell r="K1011">
            <v>102140024</v>
          </cell>
        </row>
        <row r="1012">
          <cell r="I1012">
            <v>800212539</v>
          </cell>
          <cell r="J1012" t="str">
            <v>liceo Departamental</v>
          </cell>
          <cell r="K1012">
            <v>177355517</v>
          </cell>
        </row>
        <row r="1013">
          <cell r="I1013">
            <v>800212580</v>
          </cell>
          <cell r="J1013" t="str">
            <v>I.E.Libardo Madrid Balderrama</v>
          </cell>
          <cell r="K1013">
            <v>138581740</v>
          </cell>
        </row>
        <row r="1014">
          <cell r="I1014">
            <v>800212784</v>
          </cell>
          <cell r="J1014" t="str">
            <v>Institucion Educativa Gregorio Gutierrez Gonzales</v>
          </cell>
          <cell r="K1014">
            <v>27725944</v>
          </cell>
        </row>
        <row r="1015">
          <cell r="I1015">
            <v>800213048</v>
          </cell>
          <cell r="J1015" t="str">
            <v>I.E TECNICA MUNICIPAL SAN ISIDRO</v>
          </cell>
          <cell r="K1015">
            <v>21970861</v>
          </cell>
        </row>
        <row r="1016">
          <cell r="I1016">
            <v>800213629</v>
          </cell>
          <cell r="J1016" t="str">
            <v>INSTITUCION EDUCATIVA SUCRE</v>
          </cell>
          <cell r="K1016">
            <v>59955102</v>
          </cell>
        </row>
        <row r="1017">
          <cell r="I1017">
            <v>800213883</v>
          </cell>
          <cell r="J1017" t="str">
            <v>FONDO DE SERVICIOS EDUCATIVOS I.E. LA LUISA</v>
          </cell>
          <cell r="K1017">
            <v>56060074</v>
          </cell>
        </row>
        <row r="1018">
          <cell r="I1018">
            <v>800213967</v>
          </cell>
          <cell r="J1018" t="str">
            <v>MUNICIPIO DE EL PEÑON</v>
          </cell>
          <cell r="K1018">
            <v>61744767</v>
          </cell>
        </row>
        <row r="1019">
          <cell r="I1019">
            <v>800214053</v>
          </cell>
          <cell r="J1019" t="str">
            <v>IE CONCEJO MUNICIPAL - Caucasia</v>
          </cell>
          <cell r="K1019">
            <v>101218599</v>
          </cell>
        </row>
        <row r="1020">
          <cell r="I1020">
            <v>800214334</v>
          </cell>
          <cell r="J1020" t="str">
            <v>INSTITUCION EDUCATIVA CARLOS ALBORNOZ ROSAS</v>
          </cell>
          <cell r="K1020">
            <v>35004777</v>
          </cell>
        </row>
        <row r="1021">
          <cell r="I1021">
            <v>800214404</v>
          </cell>
          <cell r="J1021" t="str">
            <v>INSTITUCION EDUCATIVA NORMAL NACIONALIZADA DE SABOYA</v>
          </cell>
          <cell r="K1021">
            <v>85608987</v>
          </cell>
        </row>
        <row r="1022">
          <cell r="I1022">
            <v>800214580</v>
          </cell>
          <cell r="J1022" t="str">
            <v>COLEGIO INSTITUCION DEL SUR</v>
          </cell>
          <cell r="K1022">
            <v>90621456</v>
          </cell>
        </row>
        <row r="1023">
          <cell r="I1023">
            <v>800214600</v>
          </cell>
          <cell r="J1023" t="str">
            <v>COLEGIO PEDRO JOSE SARMIENTO DEL MUNICIPIO DE SOCHA</v>
          </cell>
          <cell r="K1023">
            <v>46346328</v>
          </cell>
        </row>
        <row r="1024">
          <cell r="I1024">
            <v>800215020</v>
          </cell>
          <cell r="J1024" t="str">
            <v>INSTITUCION EDUCATIVA TECNICA AGROPECUARIA INDIGENA PANAM</v>
          </cell>
          <cell r="K1024">
            <v>54215467</v>
          </cell>
        </row>
        <row r="1025">
          <cell r="I1025">
            <v>800215070</v>
          </cell>
          <cell r="J1025" t="str">
            <v>Institucion Educativa Cajete</v>
          </cell>
          <cell r="K1025">
            <v>68864298</v>
          </cell>
        </row>
        <row r="1026">
          <cell r="I1026">
            <v>800215242</v>
          </cell>
          <cell r="J1026" t="str">
            <v>CONCENT. EDUCATIVA REPUBLICA DEL LIBANO</v>
          </cell>
          <cell r="K1026">
            <v>132700657</v>
          </cell>
        </row>
        <row r="1027">
          <cell r="I1027">
            <v>800215760</v>
          </cell>
          <cell r="J1027" t="str">
            <v>INSTITUTO AGRICOLA SAN ATONIO DEL CHAMI</v>
          </cell>
          <cell r="K1027">
            <v>24860992</v>
          </cell>
        </row>
        <row r="1028">
          <cell r="I1028">
            <v>800215973</v>
          </cell>
          <cell r="J1028" t="str">
            <v>INSTITUCION EDUCATIVA TECNICA AGROPECUARIA DE DESARROLLO RURAL DE PAUNA</v>
          </cell>
          <cell r="K1028">
            <v>42304569</v>
          </cell>
        </row>
        <row r="1029">
          <cell r="I1029">
            <v>800216267</v>
          </cell>
          <cell r="J1029" t="str">
            <v>INSTITUTO TECNICO GIRARDOTH</v>
          </cell>
          <cell r="K1029">
            <v>70122518</v>
          </cell>
        </row>
        <row r="1030">
          <cell r="I1030">
            <v>800216270</v>
          </cell>
          <cell r="J1030" t="str">
            <v>INSTITUCIÓN EDUCATIVA TECNICA VALLE DE TENZA</v>
          </cell>
          <cell r="K1030">
            <v>64610332</v>
          </cell>
        </row>
        <row r="1031">
          <cell r="I1031">
            <v>800217877</v>
          </cell>
          <cell r="J1031" t="str">
            <v>INSTITUCION EDUCATIVA AGROPECU DE AIPE</v>
          </cell>
          <cell r="K1031">
            <v>32569977</v>
          </cell>
        </row>
        <row r="1032">
          <cell r="I1032">
            <v>800218091</v>
          </cell>
          <cell r="J1032" t="str">
            <v>INSTITUCION EDUCATIVA POLICARPA SALAVARRIETA</v>
          </cell>
          <cell r="K1032">
            <v>18808260</v>
          </cell>
        </row>
        <row r="1033">
          <cell r="I1033">
            <v>800218521</v>
          </cell>
          <cell r="J1033" t="str">
            <v>Colegio Victor Felix Gomez Nova</v>
          </cell>
          <cell r="K1033">
            <v>172659437</v>
          </cell>
        </row>
        <row r="1034">
          <cell r="I1034">
            <v>800218535</v>
          </cell>
          <cell r="J1034" t="str">
            <v>FONDOS DE SERVICIOS EDUCATIVOS DE LA INSTITUCION EDUCATIVA DIEGO DE TORRES</v>
          </cell>
          <cell r="K1034">
            <v>44612733</v>
          </cell>
        </row>
        <row r="1035">
          <cell r="I1035">
            <v>800218592</v>
          </cell>
          <cell r="J1035" t="str">
            <v>INSTITUCION EDUACTIVA ESCUELA NORMAL SUPERIOR SAN CARLOS</v>
          </cell>
          <cell r="K1035">
            <v>98883991</v>
          </cell>
        </row>
        <row r="1036">
          <cell r="I1036">
            <v>800218712</v>
          </cell>
          <cell r="J1036" t="str">
            <v>INSTITUCION EDUCATIVA NARCISO JOSE MATUS TORRES</v>
          </cell>
          <cell r="K1036">
            <v>195423884</v>
          </cell>
        </row>
        <row r="1037">
          <cell r="I1037">
            <v>800218725</v>
          </cell>
          <cell r="J1037" t="str">
            <v>INSTITUCION EDUCATIVA MARCO FIDEL SUAREZ</v>
          </cell>
          <cell r="K1037">
            <v>121690638</v>
          </cell>
        </row>
        <row r="1038">
          <cell r="I1038">
            <v>800218963</v>
          </cell>
          <cell r="J1038" t="str">
            <v>FSE COLEGIO SAN FRANCISCO DE ASIS IED</v>
          </cell>
          <cell r="K1038">
            <v>117374821</v>
          </cell>
        </row>
        <row r="1039">
          <cell r="I1039">
            <v>800218994</v>
          </cell>
          <cell r="J1039" t="str">
            <v>Institucion Educativa Monseñor Alfonso De los Rios</v>
          </cell>
          <cell r="K1039">
            <v>100312572</v>
          </cell>
        </row>
        <row r="1040">
          <cell r="I1040">
            <v>800219200</v>
          </cell>
          <cell r="J1040" t="str">
            <v>INSTITUCION EDUCATIVA COLEGIO DEPARTAMENTAL SAN FRANCISCO DE ASIS</v>
          </cell>
          <cell r="K1040">
            <v>85324562</v>
          </cell>
        </row>
        <row r="1041">
          <cell r="I1041">
            <v>800219607</v>
          </cell>
          <cell r="J1041" t="str">
            <v>Institucion Educativa Maria Inmaculada</v>
          </cell>
          <cell r="K1041">
            <v>61580662</v>
          </cell>
        </row>
        <row r="1042">
          <cell r="I1042">
            <v>800219618</v>
          </cell>
          <cell r="J1042" t="str">
            <v>INSTITUCION EDUCATIVA RURAL LAUREL</v>
          </cell>
          <cell r="K1042">
            <v>31272379</v>
          </cell>
        </row>
        <row r="1043">
          <cell r="I1043">
            <v>800219939</v>
          </cell>
          <cell r="J1043" t="str">
            <v>INSTITUCION EDUCATIVA VILLA SANTANA SGP</v>
          </cell>
          <cell r="K1043">
            <v>87750280</v>
          </cell>
        </row>
        <row r="1044">
          <cell r="I1044">
            <v>800220086</v>
          </cell>
          <cell r="J1044" t="str">
            <v>Colegio Metropolitano del Sur</v>
          </cell>
          <cell r="K1044">
            <v>135982218</v>
          </cell>
        </row>
        <row r="1045">
          <cell r="I1045">
            <v>800220268</v>
          </cell>
          <cell r="J1045" t="str">
            <v>INSTITUCION EDUCATIVA SAN CARLOS FONDO DE SERVICIOS EDUCATIVOS</v>
          </cell>
          <cell r="K1045">
            <v>51745037</v>
          </cell>
        </row>
        <row r="1046">
          <cell r="I1046">
            <v>800221055</v>
          </cell>
          <cell r="J1046" t="str">
            <v>INSTITUCION EDUCATIVA MARISCAL SUCRE</v>
          </cell>
          <cell r="K1046">
            <v>91463980</v>
          </cell>
        </row>
        <row r="1047">
          <cell r="I1047">
            <v>800221442</v>
          </cell>
          <cell r="J1047" t="str">
            <v>INST. EDUC.FRANCISCO DE PAULA SANTANDER-FDO SERV.EDUCA</v>
          </cell>
          <cell r="K1047">
            <v>57894486</v>
          </cell>
        </row>
        <row r="1048">
          <cell r="I1048">
            <v>800221702</v>
          </cell>
          <cell r="J1048" t="str">
            <v>INSTITUCION EDUCATIVA 24 DE MAYO</v>
          </cell>
          <cell r="K1048">
            <v>126044429</v>
          </cell>
        </row>
        <row r="1049">
          <cell r="I1049">
            <v>800222387</v>
          </cell>
          <cell r="J1049" t="str">
            <v>INSTITUCION EDUCATIVA LA FRONTERA</v>
          </cell>
          <cell r="K1049">
            <v>87215879</v>
          </cell>
        </row>
        <row r="1050">
          <cell r="I1050">
            <v>800222489</v>
          </cell>
          <cell r="J1050" t="str">
            <v>MUNICIPIO DE PUERTO GUZMAN</v>
          </cell>
          <cell r="K1050">
            <v>448532315</v>
          </cell>
        </row>
        <row r="1051">
          <cell r="I1051">
            <v>800222498</v>
          </cell>
          <cell r="J1051" t="str">
            <v>MUNICIPIO DE PROVIDENCIA</v>
          </cell>
          <cell r="K1051">
            <v>61883423</v>
          </cell>
        </row>
        <row r="1052">
          <cell r="I1052">
            <v>800222502</v>
          </cell>
          <cell r="J1052" t="str">
            <v>MUNICIPIO DE LA TOLA</v>
          </cell>
          <cell r="K1052">
            <v>197872871</v>
          </cell>
        </row>
        <row r="1053">
          <cell r="I1053">
            <v>800222520</v>
          </cell>
          <cell r="J1053" t="str">
            <v>INSTITUCION EDUCATIVA EL PEDRAL</v>
          </cell>
          <cell r="K1053">
            <v>45465784</v>
          </cell>
        </row>
        <row r="1054">
          <cell r="I1054">
            <v>800222939</v>
          </cell>
          <cell r="J1054" t="str">
            <v>INSTITUCION EDUCATIVA RENAN BARCO</v>
          </cell>
          <cell r="K1054">
            <v>150338842</v>
          </cell>
        </row>
        <row r="1055">
          <cell r="I1055">
            <v>800223122</v>
          </cell>
          <cell r="J1055" t="str">
            <v>INSTITUCION EDUCATIVA SIMON BOLIVAR</v>
          </cell>
          <cell r="K1055">
            <v>133243402</v>
          </cell>
        </row>
        <row r="1056">
          <cell r="I1056">
            <v>800223133</v>
          </cell>
          <cell r="J1056" t="str">
            <v>INSTITUCION EDUCATIVA TECNICA COMERCIAL TEOFILO ROBERTO POTES</v>
          </cell>
          <cell r="K1056">
            <v>217765983</v>
          </cell>
        </row>
        <row r="1057">
          <cell r="I1057">
            <v>800223431</v>
          </cell>
          <cell r="J1057" t="str">
            <v>COLEGIO DEPARTAMENTAL EL ROSARIO DE PAIPA</v>
          </cell>
          <cell r="K1057">
            <v>110654479</v>
          </cell>
        </row>
        <row r="1058">
          <cell r="I1058">
            <v>800225753</v>
          </cell>
          <cell r="J1058" t="str">
            <v>FDO SERVEDUCINS TEDU JOSE MA</v>
          </cell>
          <cell r="K1058">
            <v>119810251</v>
          </cell>
        </row>
        <row r="1059">
          <cell r="I1059">
            <v>800226024</v>
          </cell>
          <cell r="J1059" t="str">
            <v>INSTITUCION EDUCATIVA SANTO DOMINGO SAVIO</v>
          </cell>
          <cell r="K1059">
            <v>159639054</v>
          </cell>
        </row>
        <row r="1060">
          <cell r="I1060">
            <v>800226033</v>
          </cell>
          <cell r="J1060" t="str">
            <v>Institucion Educativa Francisco Jose de Caldas</v>
          </cell>
          <cell r="K1060">
            <v>22355333</v>
          </cell>
        </row>
        <row r="1061">
          <cell r="I1061">
            <v>800226044</v>
          </cell>
          <cell r="J1061" t="str">
            <v>FONDO DE SERVICIOS EDUCATIVOS</v>
          </cell>
          <cell r="K1061">
            <v>67377302</v>
          </cell>
        </row>
        <row r="1062">
          <cell r="I1062">
            <v>800226117</v>
          </cell>
          <cell r="J1062" t="str">
            <v>Institucion Educativa Mariscal Robledo</v>
          </cell>
          <cell r="K1062">
            <v>14201489</v>
          </cell>
        </row>
        <row r="1063">
          <cell r="I1063">
            <v>800226536</v>
          </cell>
          <cell r="J1063" t="str">
            <v>Colegio Integrado San Pablo</v>
          </cell>
          <cell r="K1063">
            <v>73207363</v>
          </cell>
        </row>
        <row r="1064">
          <cell r="I1064">
            <v>800226793</v>
          </cell>
          <cell r="J1064" t="str">
            <v>colegio dptal ntra sra del rosario</v>
          </cell>
          <cell r="K1064">
            <v>37071881</v>
          </cell>
        </row>
        <row r="1065">
          <cell r="I1065">
            <v>800227193</v>
          </cell>
          <cell r="J1065" t="str">
            <v>INSTITUCION EDUCATIVA FRANCISCO PINEDA LOPEZ FONDO DE SERVICIOS EDUCATIVOS</v>
          </cell>
          <cell r="K1065">
            <v>55501391</v>
          </cell>
        </row>
        <row r="1066">
          <cell r="I1066">
            <v>800227364</v>
          </cell>
          <cell r="J1066" t="str">
            <v>I.E. SAN ANDRES</v>
          </cell>
          <cell r="K1066">
            <v>75132539</v>
          </cell>
        </row>
        <row r="1067">
          <cell r="I1067">
            <v>800227406</v>
          </cell>
          <cell r="J1067" t="str">
            <v>INSTITUCION EL CARMELO</v>
          </cell>
          <cell r="K1067">
            <v>118483406</v>
          </cell>
        </row>
        <row r="1068">
          <cell r="I1068">
            <v>800227863</v>
          </cell>
          <cell r="J1068" t="str">
            <v>INSTITUCION EDUCATIVA TECNICA BELLAS ARTES</v>
          </cell>
          <cell r="K1068">
            <v>37404710</v>
          </cell>
        </row>
        <row r="1069">
          <cell r="I1069">
            <v>800227992</v>
          </cell>
          <cell r="J1069" t="str">
            <v>Institución Educativa José Antonio Galán-Fondo de Servicios Educativos</v>
          </cell>
          <cell r="K1069">
            <v>19010106</v>
          </cell>
        </row>
        <row r="1070">
          <cell r="I1070">
            <v>800228120</v>
          </cell>
          <cell r="J1070" t="str">
            <v>I.E Santa Librada</v>
          </cell>
          <cell r="K1070">
            <v>191191895</v>
          </cell>
        </row>
        <row r="1071">
          <cell r="I1071">
            <v>800228133</v>
          </cell>
          <cell r="J1071" t="str">
            <v>INSTITUCION EDUCATIVA TECNICA AGROPECUARIA DE PALMAR DE VARELA</v>
          </cell>
          <cell r="K1071">
            <v>122409936</v>
          </cell>
        </row>
        <row r="1072">
          <cell r="I1072">
            <v>800228413</v>
          </cell>
          <cell r="J1072" t="str">
            <v>Institución Educativa San Luis Beltran</v>
          </cell>
          <cell r="K1072">
            <v>48752947</v>
          </cell>
        </row>
        <row r="1073">
          <cell r="I1073">
            <v>800228559</v>
          </cell>
          <cell r="J1073" t="str">
            <v>I.E. Tecnico Upar Fondo Servicios ducactivos</v>
          </cell>
          <cell r="K1073">
            <v>149601376</v>
          </cell>
        </row>
        <row r="1074">
          <cell r="I1074">
            <v>800228751</v>
          </cell>
          <cell r="J1074" t="str">
            <v>INSTITUCION EDUCATIVA DEPARTAMENTAL JOSE BENITO VIVES DE ANDREIS DE SEVILLA</v>
          </cell>
          <cell r="K1074">
            <v>87402840</v>
          </cell>
        </row>
        <row r="1075">
          <cell r="I1075">
            <v>800228813</v>
          </cell>
          <cell r="J1075" t="str">
            <v>COLEGIO ROBERTO GARCIA PEÑA</v>
          </cell>
          <cell r="K1075">
            <v>161288950</v>
          </cell>
        </row>
        <row r="1076">
          <cell r="I1076">
            <v>800228968</v>
          </cell>
          <cell r="J1076" t="str">
            <v>INSTITUCION EDUCATIVA ESCUELA NORMAL SUPERIOR DE SAN MATEO</v>
          </cell>
          <cell r="K1076">
            <v>32068000</v>
          </cell>
        </row>
        <row r="1077">
          <cell r="I1077">
            <v>800229403</v>
          </cell>
          <cell r="J1077" t="str">
            <v>Institucion Educativa el Horro</v>
          </cell>
          <cell r="K1077">
            <v>29161402</v>
          </cell>
        </row>
        <row r="1078">
          <cell r="I1078">
            <v>800229404</v>
          </cell>
          <cell r="J1078" t="str">
            <v>INSTITUCION EDUCATIVA DISTRITAL  TABORA</v>
          </cell>
          <cell r="K1078">
            <v>123743058</v>
          </cell>
        </row>
        <row r="1079">
          <cell r="I1079">
            <v>800229405</v>
          </cell>
          <cell r="J1079" t="str">
            <v>INSTITUCION EDUCATIVA DISTRITAL FLORIDABLANCA</v>
          </cell>
          <cell r="K1079">
            <v>138326800</v>
          </cell>
        </row>
        <row r="1080">
          <cell r="I1080">
            <v>800229875</v>
          </cell>
          <cell r="J1080" t="str">
            <v>CENTRO EDUCATIVO MARIA GORETTI</v>
          </cell>
          <cell r="K1080">
            <v>62519211</v>
          </cell>
        </row>
        <row r="1081">
          <cell r="I1081">
            <v>800229877</v>
          </cell>
          <cell r="J1081" t="str">
            <v>I.E. SAN LORENZO</v>
          </cell>
          <cell r="K1081">
            <v>78251539</v>
          </cell>
        </row>
        <row r="1082">
          <cell r="I1082">
            <v>800229887</v>
          </cell>
          <cell r="J1082" t="str">
            <v>MUNICIPIO DE PUERTO CAICEDO</v>
          </cell>
          <cell r="K1082">
            <v>154208663</v>
          </cell>
        </row>
        <row r="1083">
          <cell r="I1083">
            <v>800230242</v>
          </cell>
          <cell r="J1083" t="str">
            <v>FONDO  DE  SERVICIOS  EDUCATIVOS LICEO  NACIONAL  MAX  CEDIEL</v>
          </cell>
          <cell r="K1083">
            <v>96878268</v>
          </cell>
        </row>
        <row r="1084">
          <cell r="I1084">
            <v>800230542</v>
          </cell>
          <cell r="J1084" t="str">
            <v>INSTITUCION EDUCATIVA TECNICA AGROPECUARIA ANTONIO GALO LAFAURIE CELEDON</v>
          </cell>
          <cell r="K1084">
            <v>92060138</v>
          </cell>
        </row>
        <row r="1085">
          <cell r="I1085">
            <v>800231103</v>
          </cell>
          <cell r="J1085" t="str">
            <v>Institución Educativa Técnico Agropecuario Don Gabriel</v>
          </cell>
          <cell r="K1085">
            <v>41768756</v>
          </cell>
        </row>
        <row r="1086">
          <cell r="I1086">
            <v>800231374</v>
          </cell>
          <cell r="J1086" t="str">
            <v>INSTITUCION EDUCATIVA TECNICA SAN DIEGO DE ALCALA</v>
          </cell>
          <cell r="K1086">
            <v>21512401</v>
          </cell>
        </row>
        <row r="1087">
          <cell r="I1087">
            <v>800231800</v>
          </cell>
          <cell r="J1087" t="str">
            <v>Colegio Isidro Caballero Delgado FSE</v>
          </cell>
          <cell r="K1087">
            <v>116020839</v>
          </cell>
        </row>
        <row r="1088">
          <cell r="I1088">
            <v>800233389</v>
          </cell>
          <cell r="J1088" t="str">
            <v>INSTITUCION EDUCATIVA SILVESTRE DANGOND DAZA</v>
          </cell>
          <cell r="K1088">
            <v>85231427</v>
          </cell>
        </row>
        <row r="1089">
          <cell r="I1089">
            <v>800233559</v>
          </cell>
          <cell r="J1089" t="str">
            <v>INSTITUCION EDUCATIVA TECNICO AGROPECUARIO NARANJAL</v>
          </cell>
          <cell r="K1089">
            <v>68228367</v>
          </cell>
        </row>
        <row r="1090">
          <cell r="I1090">
            <v>800233588</v>
          </cell>
          <cell r="J1090" t="str">
            <v>INSTITUCION EDUCATIVA TECNICA AGROINDUSTRIAL  SABIO CALDAS</v>
          </cell>
          <cell r="K1090">
            <v>41585056</v>
          </cell>
        </row>
        <row r="1091">
          <cell r="I1091">
            <v>800233785</v>
          </cell>
          <cell r="J1091" t="str">
            <v>INSTITUCION EDUCATIVA NUCLEO ESCOLAR RURALD E CORINTO</v>
          </cell>
          <cell r="K1091">
            <v>90575785</v>
          </cell>
        </row>
        <row r="1092">
          <cell r="I1092">
            <v>800233857</v>
          </cell>
          <cell r="J1092" t="str">
            <v>INSTITUTO ISIDORO MIRANDA MORANTES</v>
          </cell>
          <cell r="K1092">
            <v>26414730</v>
          </cell>
        </row>
        <row r="1093">
          <cell r="I1093">
            <v>800234047</v>
          </cell>
          <cell r="J1093" t="str">
            <v>COLEGIO   LICEO  TAME  GRATUIDAD  DE LA  EDUCACION</v>
          </cell>
          <cell r="K1093">
            <v>95946446</v>
          </cell>
        </row>
        <row r="1094">
          <cell r="I1094">
            <v>800234068</v>
          </cell>
          <cell r="J1094" t="str">
            <v>INSTITUCION EDUCATIVA DISTRITAL ALEJANDRO OBREGON</v>
          </cell>
          <cell r="K1094">
            <v>124249258</v>
          </cell>
        </row>
        <row r="1095">
          <cell r="I1095">
            <v>800234876</v>
          </cell>
          <cell r="J1095" t="str">
            <v>FONDO DE SERVICIOS EDUCATIVOS INSTITUCION EDUCATIVA</v>
          </cell>
          <cell r="K1095">
            <v>108867320</v>
          </cell>
        </row>
        <row r="1096">
          <cell r="I1096">
            <v>800235739</v>
          </cell>
          <cell r="J1096" t="str">
            <v>INSTITUCION EDUCATIVA COLEGIO DEPARTAMENTAL ALFONSO LOPEZ PUMAREJO</v>
          </cell>
          <cell r="K1096">
            <v>93916156</v>
          </cell>
        </row>
        <row r="1097">
          <cell r="I1097">
            <v>800235840</v>
          </cell>
          <cell r="J1097" t="str">
            <v>Institucion Educativa Concentracion de Desarrollo Rural</v>
          </cell>
          <cell r="K1097">
            <v>103954456</v>
          </cell>
        </row>
        <row r="1098">
          <cell r="I1098">
            <v>800236153</v>
          </cell>
          <cell r="J1098" t="str">
            <v>institucion educativa tecnica Agricola de Suarez</v>
          </cell>
          <cell r="K1098">
            <v>96875204</v>
          </cell>
        </row>
        <row r="1099">
          <cell r="I1099">
            <v>800236561</v>
          </cell>
          <cell r="J1099" t="str">
            <v>INSTITUCION EDUCATIVA TECNICA AGROINDUSTRIAL CAJAMARCA</v>
          </cell>
          <cell r="K1099">
            <v>58836827</v>
          </cell>
        </row>
        <row r="1100">
          <cell r="I1100">
            <v>800236984</v>
          </cell>
          <cell r="J1100" t="str">
            <v>INSTITO TECNICO AGRICOLA</v>
          </cell>
          <cell r="K1100">
            <v>42384193</v>
          </cell>
        </row>
        <row r="1101">
          <cell r="I1101">
            <v>800236988</v>
          </cell>
          <cell r="J1101" t="str">
            <v>INSTITUTO TECNICO INDUSTRIAL LAUREANO GOMEZ CASTRO</v>
          </cell>
          <cell r="K1101">
            <v>77444579</v>
          </cell>
        </row>
        <row r="1102">
          <cell r="I1102">
            <v>800237007</v>
          </cell>
          <cell r="J1102" t="str">
            <v>FONDO SERVICIO EDUCATIVO INSTITUCION EDUCATIVA SAN JUAN BAUTISTA</v>
          </cell>
          <cell r="K1102">
            <v>59343744</v>
          </cell>
        </row>
        <row r="1103">
          <cell r="I1103">
            <v>800237292</v>
          </cell>
          <cell r="J1103" t="str">
            <v>INSTITUCION  EDUCATIVA  DEPARTAMENTAL  SAN  GABRIEL</v>
          </cell>
          <cell r="K1103">
            <v>53243341</v>
          </cell>
        </row>
        <row r="1104">
          <cell r="I1104">
            <v>800237356</v>
          </cell>
          <cell r="J1104" t="str">
            <v>colegio aldemar rojas plazas ced</v>
          </cell>
          <cell r="K1104">
            <v>89724785</v>
          </cell>
        </row>
        <row r="1105">
          <cell r="I1105">
            <v>800237453</v>
          </cell>
          <cell r="J1105" t="str">
            <v>JUNTA FONDOS SERVICIOS EDUCATIVOS INTES</v>
          </cell>
          <cell r="K1105">
            <v>39828157</v>
          </cell>
        </row>
        <row r="1106">
          <cell r="I1106">
            <v>800239414</v>
          </cell>
          <cell r="J1106" t="str">
            <v>MUNICIPIO CANTON DE EL SAN PABLO</v>
          </cell>
          <cell r="K1106">
            <v>94532662</v>
          </cell>
        </row>
        <row r="1107">
          <cell r="I1107">
            <v>800239730</v>
          </cell>
          <cell r="J1107" t="str">
            <v>Institucion Educativa Luis Felipe Gutierrez Loaiza</v>
          </cell>
          <cell r="K1107">
            <v>31060203</v>
          </cell>
        </row>
        <row r="1108">
          <cell r="I1108">
            <v>800240605</v>
          </cell>
          <cell r="J1108" t="str">
            <v>INSTITUCION EDUCATIVA JUAN JOSE NIETO</v>
          </cell>
          <cell r="K1108">
            <v>138979638</v>
          </cell>
        </row>
        <row r="1109">
          <cell r="I1109">
            <v>800241163</v>
          </cell>
          <cell r="J1109" t="str">
            <v>FONDO DE SERVICIO EDUCATIVO INST TEC BUENA ESPERANZA</v>
          </cell>
          <cell r="K1109">
            <v>75709311</v>
          </cell>
        </row>
        <row r="1110">
          <cell r="I1110">
            <v>800241726</v>
          </cell>
          <cell r="J1110" t="str">
            <v>INSTITUCION EDUCATIVA NUESTRA SEÑORA DEL CARMEN</v>
          </cell>
          <cell r="K1110">
            <v>24657066</v>
          </cell>
        </row>
        <row r="1111">
          <cell r="I1111">
            <v>800242668</v>
          </cell>
          <cell r="J1111" t="str">
            <v>Insitucion Educativa Roberto Pelaez</v>
          </cell>
          <cell r="K1111">
            <v>27687127</v>
          </cell>
        </row>
        <row r="1112">
          <cell r="I1112">
            <v>800243022</v>
          </cell>
          <cell r="J1112" t="str">
            <v>MUNICIPIO DE VIJES</v>
          </cell>
          <cell r="K1112">
            <v>72327794</v>
          </cell>
        </row>
        <row r="1113">
          <cell r="I1113">
            <v>800243065</v>
          </cell>
          <cell r="J1113" t="str">
            <v>I.E. Normal Superior Santiago de Cali</v>
          </cell>
          <cell r="K1113">
            <v>177280880</v>
          </cell>
        </row>
        <row r="1114">
          <cell r="I1114">
            <v>800243172</v>
          </cell>
          <cell r="J1114" t="str">
            <v>INSTITUCION EDUCATIVA MUNICIPAL PEDAGOGICO</v>
          </cell>
          <cell r="K1114">
            <v>33124643</v>
          </cell>
        </row>
        <row r="1115">
          <cell r="I1115">
            <v>800243174</v>
          </cell>
          <cell r="J1115" t="str">
            <v>Colegio Instituto Tecnico Rodrigo de Triana Institucion Educativa Distrital</v>
          </cell>
          <cell r="K1115">
            <v>213088223</v>
          </cell>
        </row>
        <row r="1116">
          <cell r="I1116">
            <v>800243180</v>
          </cell>
          <cell r="J1116" t="str">
            <v>INSTITUCION EDUCATIVA DISTRITAL ESPAÑA</v>
          </cell>
          <cell r="K1116">
            <v>40339280</v>
          </cell>
        </row>
        <row r="1117">
          <cell r="I1117">
            <v>800243182</v>
          </cell>
          <cell r="J1117" t="str">
            <v>FONDO DE SERVICIOS EDUCATIVOS IED RICAURTE</v>
          </cell>
          <cell r="K1117">
            <v>100356879</v>
          </cell>
        </row>
        <row r="1118">
          <cell r="I1118">
            <v>800243234</v>
          </cell>
          <cell r="J1118" t="str">
            <v>INSPECCION EDUCATIVA DEPARTAMENTAL LA VICTORIA</v>
          </cell>
          <cell r="K1118">
            <v>63538089</v>
          </cell>
        </row>
        <row r="1119">
          <cell r="I1119">
            <v>800243391</v>
          </cell>
          <cell r="J1119" t="str">
            <v>Institución Educativa Gabriel Garcia Marquez</v>
          </cell>
          <cell r="K1119">
            <v>137751531</v>
          </cell>
        </row>
        <row r="1120">
          <cell r="I1120">
            <v>800243446</v>
          </cell>
          <cell r="J1120" t="str">
            <v>I.E Luz Haydee Guerrero</v>
          </cell>
          <cell r="K1120">
            <v>131966117</v>
          </cell>
        </row>
        <row r="1121">
          <cell r="I1121">
            <v>800243448</v>
          </cell>
          <cell r="J1121" t="str">
            <v>IED ALFREDO VASQUEZ COBO</v>
          </cell>
          <cell r="K1121">
            <v>25700207</v>
          </cell>
        </row>
        <row r="1122">
          <cell r="I1122">
            <v>800243941</v>
          </cell>
          <cell r="J1122" t="str">
            <v>INSTITUCIN EDUCATIVA SAN RAFAEL DE ALBANIA</v>
          </cell>
          <cell r="K1122">
            <v>113171831</v>
          </cell>
        </row>
        <row r="1123">
          <cell r="I1123">
            <v>800244505</v>
          </cell>
          <cell r="J1123" t="str">
            <v>FONDO DE SERVICIOS EDUCATIVOS RECURSOS APLICABLES</v>
          </cell>
          <cell r="K1123">
            <v>54029402</v>
          </cell>
        </row>
        <row r="1124">
          <cell r="I1124">
            <v>800245021</v>
          </cell>
          <cell r="J1124" t="str">
            <v>MUNICIPIO DE LA ESPERANZA</v>
          </cell>
          <cell r="K1124">
            <v>194230351</v>
          </cell>
        </row>
        <row r="1125">
          <cell r="I1125">
            <v>800245556</v>
          </cell>
          <cell r="J1125" t="str">
            <v>Institucion Educativa Luis Carlos Galan Sarmiento</v>
          </cell>
          <cell r="K1125">
            <v>89919902</v>
          </cell>
        </row>
        <row r="1126">
          <cell r="I1126">
            <v>800245716</v>
          </cell>
          <cell r="J1126" t="str">
            <v>COLEGIO DEPARTAMENTAL ANTONIO RICAURTE</v>
          </cell>
          <cell r="K1126">
            <v>42530000</v>
          </cell>
        </row>
        <row r="1127">
          <cell r="I1127">
            <v>800246058</v>
          </cell>
          <cell r="J1127" t="str">
            <v>INSTITUCION EDUCATIVA DE COMERCIO PUPIALES</v>
          </cell>
          <cell r="K1127">
            <v>56352811</v>
          </cell>
        </row>
        <row r="1128">
          <cell r="I1128">
            <v>800246080</v>
          </cell>
          <cell r="J1128" t="str">
            <v>FONDO DE FOMENTO DE SERVICIOS DOCENTES</v>
          </cell>
          <cell r="K1128">
            <v>118541702</v>
          </cell>
        </row>
        <row r="1129">
          <cell r="I1129">
            <v>800246195</v>
          </cell>
          <cell r="J1129" t="str">
            <v>COLEGIO DEPARTAMENTAL MISAEL PASTRANA BORRERO- TANGUA</v>
          </cell>
          <cell r="K1129">
            <v>58002875</v>
          </cell>
        </row>
        <row r="1130">
          <cell r="I1130">
            <v>800246340</v>
          </cell>
          <cell r="J1130" t="str">
            <v>INSTITUCION EDUCATIVA LUIS CARLOS GALAN</v>
          </cell>
          <cell r="K1130">
            <v>40278005</v>
          </cell>
        </row>
        <row r="1131">
          <cell r="I1131">
            <v>800246871</v>
          </cell>
          <cell r="J1131" t="str">
            <v>INSTITUCIÓN EDUCATIVA DOIMA</v>
          </cell>
          <cell r="K1131">
            <v>48505630</v>
          </cell>
        </row>
        <row r="1132">
          <cell r="I1132">
            <v>800247251</v>
          </cell>
          <cell r="J1132" t="str">
            <v>INSTITUTO EDUCATIVA DISTRITAL LOS ALPES</v>
          </cell>
          <cell r="K1132">
            <v>176225036</v>
          </cell>
        </row>
        <row r="1133">
          <cell r="I1133">
            <v>800247707</v>
          </cell>
          <cell r="J1133" t="str">
            <v>FONDO SERVICIOS EDUCATIVOS LA REFORMA</v>
          </cell>
          <cell r="K1133">
            <v>52946483</v>
          </cell>
        </row>
        <row r="1134">
          <cell r="I1134">
            <v>800247916</v>
          </cell>
          <cell r="J1134" t="str">
            <v>Institucion Educativa Berlin</v>
          </cell>
          <cell r="K1134">
            <v>16485935</v>
          </cell>
        </row>
        <row r="1135">
          <cell r="I1135">
            <v>800247918</v>
          </cell>
          <cell r="J1135" t="str">
            <v>INSTITUCION EDUCATIVA AGROPECUARIA SAN JUAN BAUTISTA DE LA SALLE</v>
          </cell>
          <cell r="K1135">
            <v>54839185</v>
          </cell>
        </row>
        <row r="1136">
          <cell r="I1136">
            <v>800247992</v>
          </cell>
          <cell r="J1136" t="str">
            <v>INSTITUCION EDUCATIVA ANTONIO GARCIA PAREDES</v>
          </cell>
          <cell r="K1136">
            <v>104115511</v>
          </cell>
        </row>
        <row r="1137">
          <cell r="I1137">
            <v>800248703</v>
          </cell>
          <cell r="J1137" t="str">
            <v>Institución Educativa Carlos Alban</v>
          </cell>
          <cell r="K1137">
            <v>134434004</v>
          </cell>
        </row>
        <row r="1138">
          <cell r="I1138">
            <v>800248706</v>
          </cell>
          <cell r="J1138" t="str">
            <v>FONDOS DE SERVICIOS EDUCATIVOS INSTITUCION EDUCATIVA AGROPECUARIA ISRAEL MARIA NARVAEL</v>
          </cell>
          <cell r="K1138">
            <v>68328426</v>
          </cell>
        </row>
        <row r="1139">
          <cell r="I1139">
            <v>800248738</v>
          </cell>
          <cell r="J1139" t="str">
            <v>FONDOS DE SERVICIOS EDUCATIVOS</v>
          </cell>
          <cell r="K1139">
            <v>23683984</v>
          </cell>
        </row>
        <row r="1140">
          <cell r="I1140">
            <v>800249126</v>
          </cell>
          <cell r="J1140" t="str">
            <v>INSTITUCION EDUCATIVA AGRICOLA CAMILO TORRES</v>
          </cell>
          <cell r="K1140">
            <v>42894947</v>
          </cell>
        </row>
        <row r="1141">
          <cell r="I1141">
            <v>800249171</v>
          </cell>
          <cell r="J1141" t="str">
            <v>I.E.D MIGUEL DE CERVANTES SAAVEDRA</v>
          </cell>
          <cell r="K1141">
            <v>230236495</v>
          </cell>
        </row>
        <row r="1142">
          <cell r="I1142">
            <v>800249216</v>
          </cell>
          <cell r="J1142" t="str">
            <v>FONDO SERVICIOS EDUCATIVOS</v>
          </cell>
          <cell r="K1142">
            <v>22288238</v>
          </cell>
        </row>
        <row r="1143">
          <cell r="I1143">
            <v>800249568</v>
          </cell>
          <cell r="J1143" t="str">
            <v>I.E.Carlos Holguin Mallarino</v>
          </cell>
          <cell r="K1143">
            <v>171125551</v>
          </cell>
        </row>
        <row r="1144">
          <cell r="I1144">
            <v>800249645</v>
          </cell>
          <cell r="J1144" t="str">
            <v>INST. EDUC. DE PROMOCION AGROPECUARIA</v>
          </cell>
          <cell r="K1144">
            <v>116510262</v>
          </cell>
        </row>
        <row r="1145">
          <cell r="I1145">
            <v>800249671</v>
          </cell>
          <cell r="J1145" t="str">
            <v>INSTITUCION EDUCATIVA AGROINDUSTRIAL VALENTIN CARABALI</v>
          </cell>
          <cell r="K1145">
            <v>53375935</v>
          </cell>
        </row>
        <row r="1146">
          <cell r="I1146">
            <v>800249723</v>
          </cell>
          <cell r="J1146" t="str">
            <v>FONDOS DE SERVICIOS EDUCATIVOS DE LA INSTITUCION EDUCATIVA AGROPECUARIA NUESTRA SEÑORA DEL CARMEN</v>
          </cell>
          <cell r="K1146">
            <v>95250546</v>
          </cell>
        </row>
        <row r="1147">
          <cell r="I1147">
            <v>800249796</v>
          </cell>
          <cell r="J1147" t="str">
            <v>COLEGIO AURELIO MARTINEZ MUTIS</v>
          </cell>
          <cell r="K1147">
            <v>139141092</v>
          </cell>
        </row>
        <row r="1148">
          <cell r="I1148">
            <v>800250015</v>
          </cell>
          <cell r="J1148" t="str">
            <v>I.E. Alberto carvajal Borrero</v>
          </cell>
          <cell r="K1148">
            <v>73479257</v>
          </cell>
        </row>
        <row r="1149">
          <cell r="I1149">
            <v>800250102</v>
          </cell>
          <cell r="J1149" t="str">
            <v>INST EDU DESARROLLO RURAL EL ESTECHO</v>
          </cell>
          <cell r="K1149">
            <v>54443523</v>
          </cell>
        </row>
        <row r="1150">
          <cell r="I1150">
            <v>800250401</v>
          </cell>
          <cell r="J1150" t="str">
            <v>INSTITUCION EDUCATIVA DEPARTAMENTAL NICOLAS DE FEDERMAN</v>
          </cell>
          <cell r="K1150">
            <v>21910576</v>
          </cell>
        </row>
        <row r="1151">
          <cell r="I1151">
            <v>800250628</v>
          </cell>
          <cell r="J1151" t="str">
            <v>Institucion Educativa Santander</v>
          </cell>
          <cell r="K1151">
            <v>114006291</v>
          </cell>
        </row>
        <row r="1152">
          <cell r="I1152">
            <v>800250853</v>
          </cell>
          <cell r="J1152" t="str">
            <v>MUNICIPIO DE PUERTO SANTANDER</v>
          </cell>
          <cell r="K1152">
            <v>92407756</v>
          </cell>
        </row>
        <row r="1153">
          <cell r="I1153">
            <v>800251115</v>
          </cell>
          <cell r="J1153" t="str">
            <v>Fondo de Servicios Educativos Institucion Educativa Metropolitano Maria Occidente</v>
          </cell>
          <cell r="K1153">
            <v>168024930</v>
          </cell>
        </row>
        <row r="1154">
          <cell r="I1154">
            <v>800251488</v>
          </cell>
          <cell r="J1154" t="str">
            <v>INSTITUCION EDUCATIVA DEPARTAMENTAL COLOMBIA</v>
          </cell>
          <cell r="K1154">
            <v>110891021</v>
          </cell>
        </row>
        <row r="1155">
          <cell r="I1155">
            <v>800251680</v>
          </cell>
          <cell r="J1155" t="str">
            <v>INSTITUCION EDUCATIVA TECNICA MANUELA BELTRAN</v>
          </cell>
          <cell r="K1155">
            <v>102119243</v>
          </cell>
        </row>
        <row r="1156">
          <cell r="I1156">
            <v>800251728</v>
          </cell>
          <cell r="J1156" t="str">
            <v>INSTITUTO TECNICO AGROPECUARIO</v>
          </cell>
          <cell r="K1156">
            <v>61177852</v>
          </cell>
        </row>
        <row r="1157">
          <cell r="I1157">
            <v>800252706</v>
          </cell>
          <cell r="J1157" t="str">
            <v>INSTITUCION EDUCATIVA CAMILO TORRES CARLOSAMA</v>
          </cell>
          <cell r="K1157">
            <v>73933321</v>
          </cell>
        </row>
        <row r="1158">
          <cell r="I1158">
            <v>800252786</v>
          </cell>
          <cell r="J1158" t="str">
            <v>INSTITUCION EDUCATIVA DISTRITAL FRANCISCO DE PAULA SANTANDER</v>
          </cell>
          <cell r="K1158">
            <v>93389320</v>
          </cell>
        </row>
        <row r="1159">
          <cell r="I1159">
            <v>800252922</v>
          </cell>
          <cell r="J1159" t="str">
            <v>MUNICIPIO SAN MIGUEL</v>
          </cell>
          <cell r="K1159">
            <v>218770699</v>
          </cell>
        </row>
        <row r="1160">
          <cell r="I1160">
            <v>800253393</v>
          </cell>
          <cell r="J1160" t="str">
            <v>COLEGIO LUIS ALBERTO ACUÑA</v>
          </cell>
          <cell r="K1160">
            <v>29147191</v>
          </cell>
        </row>
        <row r="1161">
          <cell r="I1161">
            <v>800253526</v>
          </cell>
          <cell r="J1161" t="str">
            <v>MUNICIPIO DE CANTAGALLO</v>
          </cell>
          <cell r="K1161">
            <v>140395822</v>
          </cell>
        </row>
        <row r="1162">
          <cell r="I1162">
            <v>800254327</v>
          </cell>
          <cell r="J1162" t="str">
            <v>INSTITUCION EDUCATIVA TECNICA PANTANO DE VARGAS</v>
          </cell>
          <cell r="K1162">
            <v>25322279</v>
          </cell>
        </row>
        <row r="1163">
          <cell r="I1163">
            <v>800254333</v>
          </cell>
          <cell r="J1163" t="str">
            <v>INSTITUCION EDUCATIVA SEÑOR DEL MAR</v>
          </cell>
          <cell r="K1163">
            <v>118256632</v>
          </cell>
        </row>
        <row r="1164">
          <cell r="I1164">
            <v>800254481</v>
          </cell>
          <cell r="J1164" t="str">
            <v>MUNICIPIO DE CICUCO</v>
          </cell>
          <cell r="K1164">
            <v>219366350</v>
          </cell>
        </row>
        <row r="1165">
          <cell r="I1165">
            <v>800254691</v>
          </cell>
          <cell r="J1165" t="str">
            <v>CONCENTRACION COMUNEROS</v>
          </cell>
          <cell r="K1165">
            <v>55932078</v>
          </cell>
        </row>
        <row r="1166">
          <cell r="I1166">
            <v>800254732</v>
          </cell>
          <cell r="J1166" t="str">
            <v>INSTITUCION EDUCATIVA TECNICA AGROPECUARIA ANAURIO MANJ</v>
          </cell>
          <cell r="K1166">
            <v>40900756</v>
          </cell>
        </row>
        <row r="1167">
          <cell r="I1167">
            <v>800254779</v>
          </cell>
          <cell r="J1167" t="str">
            <v>COLEGIO SEMINARIO - FONDO DE SERVICIOS DOCENTES</v>
          </cell>
          <cell r="K1167">
            <v>140350770</v>
          </cell>
        </row>
        <row r="1168">
          <cell r="I1168">
            <v>800254865</v>
          </cell>
          <cell r="J1168" t="str">
            <v>FONDO DE SERVICIOS EDUCATIVOS I.E. RAICES DEL FUTURO</v>
          </cell>
          <cell r="K1168">
            <v>70678631</v>
          </cell>
        </row>
        <row r="1169">
          <cell r="I1169">
            <v>800254879</v>
          </cell>
          <cell r="J1169" t="str">
            <v>MUNICIPIO ALTOS DEL ROSARIO</v>
          </cell>
          <cell r="K1169">
            <v>168490637</v>
          </cell>
        </row>
        <row r="1170">
          <cell r="I1170">
            <v>800254978</v>
          </cell>
          <cell r="J1170" t="str">
            <v>Institucion educativa Escuela Normal Superior de la Presentacion</v>
          </cell>
          <cell r="K1170">
            <v>64839226</v>
          </cell>
        </row>
        <row r="1171">
          <cell r="I1171">
            <v>800255013</v>
          </cell>
          <cell r="J1171" t="str">
            <v>COLEGIO BASICO NUESTRA SEÑORA DE LA PAZ</v>
          </cell>
          <cell r="K1171">
            <v>50006440</v>
          </cell>
        </row>
        <row r="1172">
          <cell r="I1172">
            <v>800255089</v>
          </cell>
          <cell r="J1172" t="str">
            <v>institucion educativa agricola de argelia</v>
          </cell>
          <cell r="K1172">
            <v>79505800</v>
          </cell>
        </row>
        <row r="1173">
          <cell r="I1173">
            <v>800255101</v>
          </cell>
          <cell r="J1173" t="str">
            <v>MUNICIPIO DE HATONUEVO</v>
          </cell>
          <cell r="K1173">
            <v>219463818</v>
          </cell>
        </row>
        <row r="1174">
          <cell r="I1174">
            <v>800255213</v>
          </cell>
          <cell r="J1174" t="str">
            <v>MUNICIPIO DE TIQUISIO</v>
          </cell>
          <cell r="K1174">
            <v>453986015</v>
          </cell>
        </row>
        <row r="1175">
          <cell r="I1175">
            <v>800255214</v>
          </cell>
          <cell r="J1175" t="str">
            <v>MUNICIPIO HATILLO DE LOBA</v>
          </cell>
          <cell r="K1175">
            <v>228940593</v>
          </cell>
        </row>
        <row r="1176">
          <cell r="I1176">
            <v>800255353</v>
          </cell>
          <cell r="J1176" t="str">
            <v>INSTITUCION EDUCATIVA CONCENTRACION DE DESARROLLO RURAL DE CONSACA</v>
          </cell>
          <cell r="K1176">
            <v>22159203</v>
          </cell>
        </row>
        <row r="1177">
          <cell r="I1177">
            <v>800255384</v>
          </cell>
          <cell r="J1177" t="str">
            <v>INST. EDUCATIVA LOS CORDOBAS</v>
          </cell>
          <cell r="K1177">
            <v>135342839</v>
          </cell>
        </row>
        <row r="1178">
          <cell r="I1178">
            <v>800255397</v>
          </cell>
          <cell r="J1178" t="str">
            <v>COL RAFAEL CONTRERAS NAVARRO</v>
          </cell>
          <cell r="K1178">
            <v>48464432</v>
          </cell>
        </row>
        <row r="1179">
          <cell r="I1179">
            <v>800255421</v>
          </cell>
          <cell r="J1179" t="str">
            <v>COLEGIO ANTONIA SANTOS EL RANCHO</v>
          </cell>
          <cell r="K1179">
            <v>61596209</v>
          </cell>
        </row>
        <row r="1180">
          <cell r="I1180">
            <v>800255443</v>
          </cell>
          <cell r="J1180" t="str">
            <v>ALCALDIA MUNICIPAL DE EL DORADO</v>
          </cell>
          <cell r="K1180">
            <v>41557922</v>
          </cell>
        </row>
        <row r="1181">
          <cell r="I1181">
            <v>800255730</v>
          </cell>
          <cell r="J1181" t="str">
            <v>INSTITUCION EDUCATIVA TECNICA EMPRESARIAL JARDIN</v>
          </cell>
          <cell r="K1181">
            <v>123191443</v>
          </cell>
        </row>
        <row r="1182">
          <cell r="I1182">
            <v>800255856</v>
          </cell>
          <cell r="J1182" t="str">
            <v>IE ANTONIO NARIÑO</v>
          </cell>
          <cell r="K1182">
            <v>65428541</v>
          </cell>
        </row>
        <row r="1183">
          <cell r="I1183">
            <v>800255974</v>
          </cell>
          <cell r="J1183" t="str">
            <v>FDO.SERVS.EDUC. I.E. TECNICA DE PASACABALLOS</v>
          </cell>
          <cell r="K1183">
            <v>180326382</v>
          </cell>
        </row>
        <row r="1184">
          <cell r="I1184">
            <v>800256090</v>
          </cell>
          <cell r="J1184" t="str">
            <v>COLEGIO TECNICO DIVERSIFICADO DE BARRANQUILLA</v>
          </cell>
          <cell r="K1184">
            <v>76036847</v>
          </cell>
        </row>
        <row r="1185">
          <cell r="I1185">
            <v>800256383</v>
          </cell>
          <cell r="J1185" t="str">
            <v>INSTITUCION EDUCATIVA DISTRITAL CONCENTRACION CEVILLAR</v>
          </cell>
          <cell r="K1185">
            <v>95104094</v>
          </cell>
        </row>
        <row r="1186">
          <cell r="I1186">
            <v>800256393</v>
          </cell>
          <cell r="J1186" t="str">
            <v>I.E.D. JESUS DE NAZARETH</v>
          </cell>
          <cell r="K1186">
            <v>81438932</v>
          </cell>
        </row>
        <row r="1187">
          <cell r="I1187">
            <v>800256502</v>
          </cell>
          <cell r="J1187" t="str">
            <v>Institucion Unidad Educativa de Dinamarca</v>
          </cell>
          <cell r="K1187">
            <v>66723955</v>
          </cell>
        </row>
        <row r="1188">
          <cell r="I1188">
            <v>800256824</v>
          </cell>
          <cell r="J1188" t="str">
            <v>f.s.e. institucion educativa la ferreria- AMAGA</v>
          </cell>
          <cell r="K1188">
            <v>29248474</v>
          </cell>
        </row>
        <row r="1189">
          <cell r="I1189">
            <v>800256833</v>
          </cell>
          <cell r="J1189" t="str">
            <v>FSD. INSTITUCION EDUCATIVA JOSE MANUEL RESTREPO VELEZ</v>
          </cell>
          <cell r="K1189">
            <v>127505453</v>
          </cell>
        </row>
        <row r="1190">
          <cell r="I1190">
            <v>801000596</v>
          </cell>
          <cell r="J1190" t="str">
            <v>INSTITUCION EDUCATIVA BAUDILIO MONTOYA SISTEMA GENERAL DE PARTICIPACIONES</v>
          </cell>
          <cell r="K1190">
            <v>80156892</v>
          </cell>
        </row>
        <row r="1191">
          <cell r="I1191">
            <v>801001823</v>
          </cell>
          <cell r="J1191" t="str">
            <v>INSTITUCION EDUCATIVA SANTA MARIA GORETTI</v>
          </cell>
          <cell r="K1191">
            <v>68765582</v>
          </cell>
        </row>
        <row r="1192">
          <cell r="I1192">
            <v>801003914</v>
          </cell>
          <cell r="J1192" t="str">
            <v>FONDOS DE SERVICIOS EDUCATIVOS I E CAMILO TORRES</v>
          </cell>
          <cell r="K1192">
            <v>56025668</v>
          </cell>
        </row>
        <row r="1193">
          <cell r="I1193">
            <v>801003926</v>
          </cell>
          <cell r="J1193" t="str">
            <v>FONDOS DE SERVICIOS EDUCATIVOS INSTITUCION EDUCATIVA RUFINO JOSE CUERVO CENTRO</v>
          </cell>
          <cell r="K1193">
            <v>151692161</v>
          </cell>
        </row>
        <row r="1194">
          <cell r="I1194">
            <v>801003927</v>
          </cell>
          <cell r="J1194" t="str">
            <v>INSTITUCION EDUCATIVA EUDORO GRANADA</v>
          </cell>
          <cell r="K1194">
            <v>63927503</v>
          </cell>
        </row>
        <row r="1195">
          <cell r="I1195">
            <v>801003931</v>
          </cell>
          <cell r="J1195" t="str">
            <v>FONDOS DE SERVICIOS EDUCATIVOS INSTITUCION EDUCATIVA NACIONAL JESUS MARIA OCAMPO</v>
          </cell>
          <cell r="K1195">
            <v>73968743</v>
          </cell>
        </row>
        <row r="1196">
          <cell r="I1196">
            <v>801003964</v>
          </cell>
          <cell r="J1196" t="str">
            <v>FONDOS DE SERVICIOS EDUCATIVOS INSTITUCION EDUCATIVA LA ADIELA</v>
          </cell>
          <cell r="K1196">
            <v>120287686</v>
          </cell>
        </row>
        <row r="1197">
          <cell r="I1197">
            <v>801003965</v>
          </cell>
          <cell r="J1197" t="str">
            <v>INSTITUCION EDUCATIVA CAMARA JUNIOR</v>
          </cell>
          <cell r="K1197">
            <v>135192782</v>
          </cell>
        </row>
        <row r="1198">
          <cell r="I1198">
            <v>801003966</v>
          </cell>
          <cell r="J1198" t="str">
            <v>FONDOS DE SERVICIOS EDUCATIVOS INSTITUCION EDUCATIVA CIUDADELA DE OCCIDENTE</v>
          </cell>
          <cell r="K1198">
            <v>73837085</v>
          </cell>
        </row>
        <row r="1199">
          <cell r="I1199">
            <v>801004151</v>
          </cell>
          <cell r="J1199" t="str">
            <v>INSTITUCION EDUCATIVA LUIS ANGEL ARANGO</v>
          </cell>
          <cell r="K1199">
            <v>73455634</v>
          </cell>
        </row>
        <row r="1200">
          <cell r="I1200">
            <v>801004562</v>
          </cell>
          <cell r="J1200" t="str">
            <v>INSTITUCION EDUCATIVA TECNOLOGICO</v>
          </cell>
          <cell r="K1200">
            <v>63884513</v>
          </cell>
        </row>
        <row r="1201">
          <cell r="I1201">
            <v>801004588</v>
          </cell>
          <cell r="J1201" t="str">
            <v>INSTITUCION EDUCATIVA RURAL JESUS MARIA MORALES</v>
          </cell>
          <cell r="K1201">
            <v>57001702</v>
          </cell>
        </row>
        <row r="1202">
          <cell r="I1202">
            <v>801004629</v>
          </cell>
          <cell r="J1202" t="str">
            <v>INSTITUCION EDUCATIVA ROBLEDO</v>
          </cell>
          <cell r="K1202">
            <v>94086470</v>
          </cell>
        </row>
        <row r="1203">
          <cell r="I1203">
            <v>801004631</v>
          </cell>
          <cell r="J1203" t="str">
            <v>FONDO DE SERVICIOS EDUCATIVOSINSITUCION EDUCATIVA INSTITUTO CALARCA</v>
          </cell>
          <cell r="K1203">
            <v>28400399</v>
          </cell>
        </row>
        <row r="1204">
          <cell r="I1204">
            <v>801004639</v>
          </cell>
          <cell r="J1204" t="str">
            <v>FONDO DE SERVICIOS EDUCATIVOS INSTITUCION EDUCATIVA ROMAN MARIA VALENCIA</v>
          </cell>
          <cell r="K1204">
            <v>90448170</v>
          </cell>
        </row>
        <row r="1205">
          <cell r="I1205">
            <v>801004646</v>
          </cell>
          <cell r="J1205" t="str">
            <v>INTITUCION EDUCATIVA EL CAMINO</v>
          </cell>
          <cell r="K1205">
            <v>76879663</v>
          </cell>
        </row>
        <row r="1206">
          <cell r="I1206">
            <v>801004657</v>
          </cell>
          <cell r="J1206" t="str">
            <v>FONDOS DE SERVICIOS EDUCATIVOS  LOS QUINDOS</v>
          </cell>
          <cell r="K1206">
            <v>141650240</v>
          </cell>
        </row>
        <row r="1207">
          <cell r="I1207">
            <v>801004658</v>
          </cell>
          <cell r="J1207" t="str">
            <v>INSTITUCION EDUCATIVA DEL SUR</v>
          </cell>
          <cell r="K1207">
            <v>146499839</v>
          </cell>
        </row>
        <row r="1208">
          <cell r="I1208">
            <v>801004663</v>
          </cell>
          <cell r="J1208" t="str">
            <v>INSTITUCION EDUCATIVA GUSTAVO MATAMOROS</v>
          </cell>
          <cell r="K1208">
            <v>87100460</v>
          </cell>
        </row>
        <row r="1209">
          <cell r="I1209">
            <v>801004664</v>
          </cell>
          <cell r="J1209" t="str">
            <v>FONDOS DE SERVICIOS EDUCATIVOS INSTITUCION EDUCATIVA INSTITUTO TECNICO INDUSTRIAL</v>
          </cell>
          <cell r="K1209">
            <v>78710269</v>
          </cell>
        </row>
        <row r="1210">
          <cell r="I1210">
            <v>801004666</v>
          </cell>
          <cell r="J1210" t="str">
            <v>FONDOS DE SERVICIOS EDUCATIVOS  TRANSFERENCIAS SGP INSTITUCION EDUCATIVA TERESITA MONTES</v>
          </cell>
          <cell r="K1210">
            <v>146192507</v>
          </cell>
        </row>
        <row r="1211">
          <cell r="I1211">
            <v>801004678</v>
          </cell>
          <cell r="J1211" t="str">
            <v>INSTITUCION EDUCATIVA CENTRO AUXILIAR DE SERVICIOS DOCENTES CASD HERMOGENES DAZA</v>
          </cell>
          <cell r="K1211">
            <v>275203142</v>
          </cell>
        </row>
        <row r="1212">
          <cell r="I1212">
            <v>801004740</v>
          </cell>
          <cell r="J1212" t="str">
            <v>INSTITUCION EDUCATIVA LUIS GRANADA MEJIA</v>
          </cell>
          <cell r="K1212">
            <v>37578423</v>
          </cell>
        </row>
        <row r="1213">
          <cell r="I1213">
            <v>801004741</v>
          </cell>
          <cell r="J1213" t="str">
            <v>INSTITUCION EDUCATIVA RURAL SAN JOSE</v>
          </cell>
          <cell r="K1213">
            <v>34403604</v>
          </cell>
        </row>
        <row r="1214">
          <cell r="I1214">
            <v>801004798</v>
          </cell>
          <cell r="J1214" t="str">
            <v>INSTITUCION EDUCATIVA SAN JOSE</v>
          </cell>
          <cell r="K1214">
            <v>45459209</v>
          </cell>
        </row>
        <row r="1215">
          <cell r="I1215">
            <v>801004835</v>
          </cell>
          <cell r="J1215" t="str">
            <v>INSTITUCION EDUCATIVA GENERAL SANTANDER</v>
          </cell>
          <cell r="K1215">
            <v>48777842</v>
          </cell>
        </row>
        <row r="1216">
          <cell r="I1216">
            <v>801004910</v>
          </cell>
          <cell r="J1216" t="str">
            <v>INSTITUCION EDUCATIVA SAN VICENTE DE PAUL</v>
          </cell>
          <cell r="K1216">
            <v>55368346</v>
          </cell>
        </row>
        <row r="1217">
          <cell r="I1217">
            <v>801004930</v>
          </cell>
          <cell r="J1217" t="str">
            <v>INSTITUTO MONTENEGRO RED BANCAFE DAVIVIENDA</v>
          </cell>
          <cell r="K1217">
            <v>89519110</v>
          </cell>
        </row>
        <row r="1218">
          <cell r="I1218">
            <v>801004956</v>
          </cell>
          <cell r="J1218" t="str">
            <v>INSTITUCION EDUCATIVA MARCO FIDEL SUAREZ</v>
          </cell>
          <cell r="K1218">
            <v>63782236</v>
          </cell>
        </row>
        <row r="1219">
          <cell r="I1219">
            <v>801004962</v>
          </cell>
          <cell r="J1219" t="str">
            <v>INSTITUCION EDUCATIVA INSTITUTO BUENAVISTA</v>
          </cell>
          <cell r="K1219">
            <v>24081196</v>
          </cell>
        </row>
        <row r="1220">
          <cell r="I1220">
            <v>802000318</v>
          </cell>
          <cell r="J1220" t="str">
            <v>INSTITUTO DISTRITAL TECNICO MEIRA DEL MAR</v>
          </cell>
          <cell r="K1220">
            <v>139861077</v>
          </cell>
        </row>
        <row r="1221">
          <cell r="I1221">
            <v>802000557</v>
          </cell>
          <cell r="J1221" t="str">
            <v>INSTITUTO TECNICO INDUSTRIAL DE SABANALARGA</v>
          </cell>
          <cell r="K1221">
            <v>135879564</v>
          </cell>
        </row>
        <row r="1222">
          <cell r="I1222">
            <v>802000747</v>
          </cell>
          <cell r="J1222" t="str">
            <v>INSTITUTO DISTRITAL CASTILLO DE LA ALBORAYA</v>
          </cell>
          <cell r="K1222">
            <v>85927836</v>
          </cell>
        </row>
        <row r="1223">
          <cell r="I1223">
            <v>802000769</v>
          </cell>
          <cell r="J1223" t="str">
            <v>INSTITUCION EDUCATIVA RODOLFO LLINAS RIASCO</v>
          </cell>
          <cell r="K1223">
            <v>67283336</v>
          </cell>
        </row>
        <row r="1224">
          <cell r="I1224">
            <v>802000796</v>
          </cell>
          <cell r="J1224" t="str">
            <v>INSTITUCION EDUCATIVA DISTRITAL LA MAGDALENA</v>
          </cell>
          <cell r="K1224">
            <v>110119818</v>
          </cell>
        </row>
        <row r="1225">
          <cell r="I1225">
            <v>802000879</v>
          </cell>
          <cell r="J1225" t="str">
            <v>COLEGIO DISTRITAL JUAN JOSE RONDON</v>
          </cell>
          <cell r="K1225">
            <v>48530591</v>
          </cell>
        </row>
        <row r="1226">
          <cell r="I1226">
            <v>802000963</v>
          </cell>
          <cell r="J1226" t="str">
            <v>INSTITUCION EDUCATIVA DISTRITAL DEL CARIBE</v>
          </cell>
          <cell r="K1226">
            <v>38531060</v>
          </cell>
        </row>
        <row r="1227">
          <cell r="I1227">
            <v>802000994</v>
          </cell>
          <cell r="J1227" t="str">
            <v>INSTITUCION EDUCATIVA DISTRITAL SANTA BERNARDITA</v>
          </cell>
          <cell r="K1227">
            <v>108221758</v>
          </cell>
        </row>
        <row r="1228">
          <cell r="I1228">
            <v>802001062</v>
          </cell>
          <cell r="J1228" t="str">
            <v>INSTITUCION EDUCATIVA DISTRITAL PARA EL DESARROLLO HUMANO MARIA CANO</v>
          </cell>
          <cell r="K1228">
            <v>96261205</v>
          </cell>
        </row>
        <row r="1229">
          <cell r="I1229">
            <v>802001194</v>
          </cell>
          <cell r="J1229" t="str">
            <v>COLEGIO DISTRITAL MARIA AUXILIADORA</v>
          </cell>
          <cell r="K1229">
            <v>171090671</v>
          </cell>
        </row>
        <row r="1230">
          <cell r="I1230">
            <v>802001202</v>
          </cell>
          <cell r="J1230" t="str">
            <v>COLEGIO DISTRITAL BUENOS AIRES</v>
          </cell>
          <cell r="K1230">
            <v>81549092</v>
          </cell>
        </row>
        <row r="1231">
          <cell r="I1231">
            <v>802001221</v>
          </cell>
          <cell r="J1231" t="str">
            <v>INSTITUCION EDUCATIVA DISTRITAL CIUDADELA ESTUDIANTIL</v>
          </cell>
          <cell r="K1231">
            <v>107975342</v>
          </cell>
        </row>
        <row r="1232">
          <cell r="I1232">
            <v>802001226</v>
          </cell>
          <cell r="J1232" t="str">
            <v>INSTITUCION EDUCATIVA DISTRITAL LESTONNAC</v>
          </cell>
          <cell r="K1232">
            <v>78403934</v>
          </cell>
        </row>
        <row r="1233">
          <cell r="I1233">
            <v>802001387</v>
          </cell>
          <cell r="J1233" t="str">
            <v>COLEGIO DISTRITAL DE BARRANQUILLA GABRIEL GARCIA M.</v>
          </cell>
          <cell r="K1233">
            <v>104834060</v>
          </cell>
        </row>
        <row r="1234">
          <cell r="I1234">
            <v>802001425</v>
          </cell>
          <cell r="J1234" t="str">
            <v>COLEGIO  COMUNITARIO DISTRITAL PABLO NERUDA</v>
          </cell>
          <cell r="K1234">
            <v>146261340</v>
          </cell>
        </row>
        <row r="1235">
          <cell r="I1235">
            <v>802001431</v>
          </cell>
          <cell r="J1235" t="str">
            <v>INSTITUCION EDUCATIVA DISTRITAL LAS FLORES</v>
          </cell>
          <cell r="K1235">
            <v>67202774</v>
          </cell>
        </row>
        <row r="1236">
          <cell r="I1236">
            <v>802001440</v>
          </cell>
          <cell r="J1236" t="str">
            <v>COLEGIO DISTISTRITAL MARIE POUSSEPIN</v>
          </cell>
          <cell r="K1236">
            <v>134882746</v>
          </cell>
        </row>
        <row r="1237">
          <cell r="I1237">
            <v>802001512</v>
          </cell>
          <cell r="J1237" t="str">
            <v>INSTITUCION EDUCATIVA DISTRITAL CALIXTO ALVAREZ</v>
          </cell>
          <cell r="K1237">
            <v>135511209</v>
          </cell>
        </row>
        <row r="1238">
          <cell r="I1238">
            <v>802001532</v>
          </cell>
          <cell r="J1238" t="str">
            <v>CEN. COM. DE EDU. BASICA Y MEDIA N 187</v>
          </cell>
          <cell r="K1238">
            <v>53166501</v>
          </cell>
        </row>
        <row r="1239">
          <cell r="I1239">
            <v>802001550</v>
          </cell>
          <cell r="J1239" t="str">
            <v>INSTITUCION EDUCATIVA DISTRITAL LA MILAGROSA FE Y ALEGRIA</v>
          </cell>
          <cell r="K1239">
            <v>115061780</v>
          </cell>
        </row>
        <row r="1240">
          <cell r="I1240">
            <v>802001739</v>
          </cell>
          <cell r="J1240" t="str">
            <v>COLEGIO DISTRITAL EL SILENCIO</v>
          </cell>
          <cell r="K1240">
            <v>76692030</v>
          </cell>
        </row>
        <row r="1241">
          <cell r="I1241">
            <v>802001774</v>
          </cell>
          <cell r="J1241" t="str">
            <v>INSTITUCION EDUCATIVA DISTRITAL SAN SALVADOR</v>
          </cell>
          <cell r="K1241">
            <v>45416444</v>
          </cell>
        </row>
        <row r="1242">
          <cell r="I1242">
            <v>802001809</v>
          </cell>
          <cell r="J1242" t="str">
            <v>INSTITUCION EDUCATIVA DISTRITAL TECNICO COOPERATIVO JESUS MISERICORDIOSO</v>
          </cell>
          <cell r="K1242">
            <v>101696078</v>
          </cell>
        </row>
        <row r="1243">
          <cell r="I1243">
            <v>802001962</v>
          </cell>
          <cell r="J1243" t="str">
            <v>INSTITUCION EDUCATIVA EL CAMPITO</v>
          </cell>
          <cell r="K1243">
            <v>66136783</v>
          </cell>
        </row>
        <row r="1244">
          <cell r="I1244">
            <v>802002042</v>
          </cell>
          <cell r="J1244" t="str">
            <v>INSTITUCION EDUCATIVA TECNICA INDUSTRIAL Y COMERCIAL DE SOLEDAD</v>
          </cell>
          <cell r="K1244">
            <v>157850713</v>
          </cell>
        </row>
        <row r="1245">
          <cell r="I1245">
            <v>802002043</v>
          </cell>
          <cell r="J1245" t="str">
            <v>INSTITUCION EDUCATIVA TAJAMAR</v>
          </cell>
          <cell r="K1245">
            <v>90875284</v>
          </cell>
        </row>
        <row r="1246">
          <cell r="I1246">
            <v>802002086</v>
          </cell>
          <cell r="J1246" t="str">
            <v>INSTITUCION EDUCATIVA DISTRITAL BETSABE ESPINOSA</v>
          </cell>
          <cell r="K1246">
            <v>81553153</v>
          </cell>
        </row>
        <row r="1247">
          <cell r="I1247">
            <v>802002122</v>
          </cell>
          <cell r="J1247" t="str">
            <v>COLEGIO DISTRITAL CAMILO TORRES TENORIO</v>
          </cell>
          <cell r="K1247">
            <v>32615608</v>
          </cell>
        </row>
        <row r="1248">
          <cell r="I1248">
            <v>802002124</v>
          </cell>
          <cell r="J1248" t="str">
            <v>INSTITUCION EDUCATIVA DISTRITAL LA MERCED</v>
          </cell>
          <cell r="K1248">
            <v>50960748</v>
          </cell>
        </row>
        <row r="1249">
          <cell r="I1249">
            <v>802002223</v>
          </cell>
          <cell r="J1249" t="str">
            <v>COLEGIO DISTRITAL SAGRADO CORAZON DE JESUS</v>
          </cell>
          <cell r="K1249">
            <v>51918060</v>
          </cell>
        </row>
        <row r="1250">
          <cell r="I1250">
            <v>802002264</v>
          </cell>
          <cell r="J1250" t="str">
            <v>institucion educativa tecnica agropecuaria de puerto giraldo</v>
          </cell>
          <cell r="K1250">
            <v>131091076</v>
          </cell>
        </row>
        <row r="1251">
          <cell r="I1251">
            <v>802002313</v>
          </cell>
          <cell r="J1251" t="str">
            <v>INSTITUCION  EDUCATIVA DISTRITAL EL  VALLE</v>
          </cell>
          <cell r="K1251">
            <v>33197252</v>
          </cell>
        </row>
        <row r="1252">
          <cell r="I1252">
            <v>802002316</v>
          </cell>
          <cell r="J1252" t="str">
            <v>INSTITUCION EDUCATIVA DE FORMACION INTEGRAL</v>
          </cell>
          <cell r="K1252">
            <v>72522392</v>
          </cell>
        </row>
        <row r="1253">
          <cell r="I1253">
            <v>802002317</v>
          </cell>
          <cell r="J1253" t="str">
            <v>INSTITUCION EDUCATIVA DISTRITAL LUZ DEL CARIBE</v>
          </cell>
          <cell r="K1253">
            <v>63025496</v>
          </cell>
        </row>
        <row r="1254">
          <cell r="I1254">
            <v>802002321</v>
          </cell>
          <cell r="J1254" t="str">
            <v>INSTITUCION EDUCATIVA ANTONIO RAMON MORENO</v>
          </cell>
          <cell r="K1254">
            <v>49346931</v>
          </cell>
        </row>
        <row r="1255">
          <cell r="I1255">
            <v>802002381</v>
          </cell>
          <cell r="J1255" t="str">
            <v>COLEGIO DISTRITAL HOGAR MARIANO</v>
          </cell>
          <cell r="K1255">
            <v>124774923</v>
          </cell>
        </row>
        <row r="1256">
          <cell r="I1256">
            <v>802002580</v>
          </cell>
          <cell r="J1256" t="str">
            <v>CENTRO COMUNITARIO DE EDUCACION BASICA 181</v>
          </cell>
          <cell r="K1256">
            <v>29405176</v>
          </cell>
        </row>
        <row r="1257">
          <cell r="I1257">
            <v>802002627</v>
          </cell>
          <cell r="J1257" t="str">
            <v>instituto tecnico agropecuario de tubara I.T.A</v>
          </cell>
          <cell r="K1257">
            <v>93738660</v>
          </cell>
        </row>
        <row r="1258">
          <cell r="I1258">
            <v>802002679</v>
          </cell>
          <cell r="J1258" t="str">
            <v>INST EDUC DIST COMUNITARIA 7 DE ABRIL</v>
          </cell>
          <cell r="K1258">
            <v>59854022</v>
          </cell>
        </row>
        <row r="1259">
          <cell r="I1259">
            <v>802002680</v>
          </cell>
          <cell r="J1259" t="str">
            <v>INSTITUCION EDUCATIVA DISTRITAL LA PRESENTACION</v>
          </cell>
          <cell r="K1259">
            <v>37045400</v>
          </cell>
        </row>
        <row r="1260">
          <cell r="I1260">
            <v>802002771</v>
          </cell>
          <cell r="J1260" t="str">
            <v>INSTITUCION EDUCATIVA TECNICA FRANCISCO DE PAULA SANTANDER</v>
          </cell>
          <cell r="K1260">
            <v>277371265</v>
          </cell>
        </row>
        <row r="1261">
          <cell r="I1261">
            <v>802002867</v>
          </cell>
          <cell r="J1261" t="str">
            <v>INSTITUCION EDUCATIVA DISTRITAL VILLANUEVA</v>
          </cell>
          <cell r="K1261">
            <v>30717905</v>
          </cell>
        </row>
        <row r="1262">
          <cell r="I1262">
            <v>802002911</v>
          </cell>
          <cell r="J1262" t="str">
            <v>INSTITUCION EDUCATIVA SAGRADO CORAZON</v>
          </cell>
          <cell r="K1262">
            <v>114714800</v>
          </cell>
        </row>
        <row r="1263">
          <cell r="I1263">
            <v>802002963</v>
          </cell>
          <cell r="J1263" t="str">
            <v>INSTITUCION EDUCATIVA PRIMERO DE MAYO</v>
          </cell>
          <cell r="K1263">
            <v>67922587</v>
          </cell>
        </row>
        <row r="1264">
          <cell r="I1264">
            <v>802002991</v>
          </cell>
          <cell r="J1264" t="str">
            <v>INSTITUCION EDUCATIVA DISTRITAL DE CARRIZAL</v>
          </cell>
          <cell r="K1264">
            <v>76454679</v>
          </cell>
        </row>
        <row r="1265">
          <cell r="I1265">
            <v>802002992</v>
          </cell>
          <cell r="J1265" t="str">
            <v>IED ALFREDO CORREA DE ANDREIS</v>
          </cell>
          <cell r="K1265">
            <v>32611741</v>
          </cell>
        </row>
        <row r="1266">
          <cell r="I1266">
            <v>802003024</v>
          </cell>
          <cell r="J1266" t="str">
            <v>NUEVO COLEGIO TECNICO EL SANTUARIO</v>
          </cell>
          <cell r="K1266">
            <v>173775030</v>
          </cell>
        </row>
        <row r="1267">
          <cell r="I1267">
            <v>802003099</v>
          </cell>
          <cell r="J1267" t="str">
            <v>institucion educativa tecnico de la peña</v>
          </cell>
          <cell r="K1267">
            <v>113714118</v>
          </cell>
        </row>
        <row r="1268">
          <cell r="I1268">
            <v>802003115</v>
          </cell>
          <cell r="J1268" t="str">
            <v>institucion educativa maximo mercado</v>
          </cell>
          <cell r="K1268">
            <v>89377785</v>
          </cell>
        </row>
        <row r="1269">
          <cell r="I1269">
            <v>802003176</v>
          </cell>
          <cell r="J1269" t="str">
            <v>INSTITUCION EDUCATIVA DISTRITAL EL CORAZON DEL SANTUARIO</v>
          </cell>
          <cell r="K1269">
            <v>40694368</v>
          </cell>
        </row>
        <row r="1270">
          <cell r="I1270">
            <v>802003217</v>
          </cell>
          <cell r="J1270" t="str">
            <v>COLEGIO DISTRITAL MURILLO</v>
          </cell>
          <cell r="K1270">
            <v>40548597</v>
          </cell>
        </row>
        <row r="1271">
          <cell r="I1271">
            <v>802003356</v>
          </cell>
          <cell r="J1271" t="str">
            <v>COLEGIO COMUNITARIO DISTRITAL VILLA DEL CARMEN</v>
          </cell>
          <cell r="K1271">
            <v>63187955</v>
          </cell>
        </row>
        <row r="1272">
          <cell r="I1272">
            <v>802003364</v>
          </cell>
          <cell r="J1272" t="str">
            <v>INSTITUCION EDUCATIVA JOSEFA DONADO DE SOLEDAD</v>
          </cell>
          <cell r="K1272">
            <v>36611940</v>
          </cell>
        </row>
        <row r="1273">
          <cell r="I1273">
            <v>802003453</v>
          </cell>
          <cell r="J1273" t="str">
            <v>INSTITUCION EDUCATIVA POLICARPA</v>
          </cell>
          <cell r="K1273">
            <v>49451659</v>
          </cell>
        </row>
        <row r="1274">
          <cell r="I1274">
            <v>802003613</v>
          </cell>
          <cell r="J1274" t="str">
            <v>INSTITUCION EDUCATIVA DISTRITAL JOSE MARTI</v>
          </cell>
          <cell r="K1274">
            <v>98571703</v>
          </cell>
        </row>
        <row r="1275">
          <cell r="I1275">
            <v>802003789</v>
          </cell>
          <cell r="J1275" t="str">
            <v>INSTITUCION EDUCATIVA NUESTRA SEÑORA DEL CARMEN</v>
          </cell>
          <cell r="K1275">
            <v>48660152</v>
          </cell>
        </row>
        <row r="1276">
          <cell r="I1276">
            <v>802003797</v>
          </cell>
          <cell r="J1276" t="str">
            <v>COLEGIO DISTRITAL BOSTON</v>
          </cell>
          <cell r="K1276">
            <v>32254100</v>
          </cell>
        </row>
        <row r="1277">
          <cell r="I1277">
            <v>802003798</v>
          </cell>
          <cell r="J1277" t="str">
            <v>INSTITUCION EDUCATIVA LUIS R CAPARROSO</v>
          </cell>
          <cell r="K1277">
            <v>64644970</v>
          </cell>
        </row>
        <row r="1278">
          <cell r="I1278">
            <v>802003855</v>
          </cell>
          <cell r="J1278" t="str">
            <v>ESCUELA NORMAL SANTA ANA DE BARANOA</v>
          </cell>
          <cell r="K1278">
            <v>149290783</v>
          </cell>
        </row>
        <row r="1279">
          <cell r="I1279">
            <v>802003856</v>
          </cell>
          <cell r="J1279" t="str">
            <v>INSTITUCION EDUCATIVA SAN MIGUEL ARCANGEL</v>
          </cell>
          <cell r="K1279">
            <v>66076799</v>
          </cell>
        </row>
        <row r="1280">
          <cell r="I1280">
            <v>802003907</v>
          </cell>
          <cell r="J1280" t="str">
            <v>FSE INSTITUCION EDUCATIVA JOHN F KENNEDY</v>
          </cell>
          <cell r="K1280">
            <v>107632127</v>
          </cell>
        </row>
        <row r="1281">
          <cell r="I1281">
            <v>802004051</v>
          </cell>
          <cell r="J1281" t="str">
            <v>INSTITUCION EDUCATIVA COMERCIAL NUESTRA SEÑORA DE LA MISERICORDIA</v>
          </cell>
          <cell r="K1281">
            <v>162550714</v>
          </cell>
        </row>
        <row r="1282">
          <cell r="I1282">
            <v>802004082</v>
          </cell>
          <cell r="J1282" t="str">
            <v>INSTITUCION EDUCATIVA ALBERTO PUMAREJO</v>
          </cell>
          <cell r="K1282">
            <v>41450433</v>
          </cell>
        </row>
        <row r="1283">
          <cell r="I1283">
            <v>802004115</v>
          </cell>
          <cell r="J1283" t="str">
            <v>COLEGIO DISTRITAL OLAYA</v>
          </cell>
          <cell r="K1283">
            <v>86094486</v>
          </cell>
        </row>
        <row r="1284">
          <cell r="I1284">
            <v>802004298</v>
          </cell>
          <cell r="J1284" t="str">
            <v>INSTITUCION EDUCATIVA TECNICA INDUSTRIAL DE SOLEDAD MARIA AUXILIADORA</v>
          </cell>
          <cell r="K1284">
            <v>109935941</v>
          </cell>
        </row>
        <row r="1285">
          <cell r="I1285">
            <v>802004372</v>
          </cell>
          <cell r="J1285" t="str">
            <v>INSTITUCION EDUCATIVA VISTA HERMOSA DE SOLEDAD</v>
          </cell>
          <cell r="K1285">
            <v>78419692</v>
          </cell>
        </row>
        <row r="1286">
          <cell r="I1286">
            <v>802004411</v>
          </cell>
          <cell r="J1286" t="str">
            <v>INSTITUCION EDUCATIVA DISTRITAL NUESTRA SEÑORA DE LAS NIEVES</v>
          </cell>
          <cell r="K1286">
            <v>80599463</v>
          </cell>
        </row>
        <row r="1287">
          <cell r="I1287">
            <v>802004421</v>
          </cell>
          <cell r="J1287" t="str">
            <v>INSTITUCION EDUCATIVO DISTRITAL MADRES CATOLICAS</v>
          </cell>
          <cell r="K1287">
            <v>46118177</v>
          </cell>
        </row>
        <row r="1288">
          <cell r="I1288">
            <v>802004479</v>
          </cell>
          <cell r="J1288" t="str">
            <v>INSTITUCION EDUCATIVA VILLA ESTADIO</v>
          </cell>
          <cell r="K1288">
            <v>82203895</v>
          </cell>
        </row>
        <row r="1289">
          <cell r="I1289">
            <v>802004486</v>
          </cell>
          <cell r="J1289" t="str">
            <v>INSTITUCION EDUCATIVA COMUNITARIA LOS LAURELES</v>
          </cell>
          <cell r="K1289">
            <v>62219696</v>
          </cell>
        </row>
        <row r="1290">
          <cell r="I1290">
            <v>802004490</v>
          </cell>
          <cell r="J1290" t="str">
            <v>I.E.T.C.ALBERTO PUMAREJO</v>
          </cell>
          <cell r="K1290">
            <v>173600137</v>
          </cell>
        </row>
        <row r="1291">
          <cell r="I1291">
            <v>802004498</v>
          </cell>
          <cell r="J1291" t="str">
            <v>INSTITUCION EDUCATIVA DE SABANALARGA FERNANDO HOYOS RIPOLL</v>
          </cell>
          <cell r="K1291">
            <v>166757040</v>
          </cell>
        </row>
        <row r="1292">
          <cell r="I1292">
            <v>802004637</v>
          </cell>
          <cell r="J1292" t="str">
            <v>institucion educativa eustorgio salgar</v>
          </cell>
          <cell r="K1292">
            <v>45886128</v>
          </cell>
        </row>
        <row r="1293">
          <cell r="I1293">
            <v>802004708</v>
          </cell>
          <cell r="J1293" t="str">
            <v>INSTITUCION EDUCATIVA DISTRITAL JORGE ROBLEDO ORTIZ</v>
          </cell>
          <cell r="K1293">
            <v>77786230</v>
          </cell>
        </row>
        <row r="1294">
          <cell r="I1294">
            <v>802004745</v>
          </cell>
          <cell r="J1294" t="str">
            <v>institucion educativa juan jose nieto</v>
          </cell>
          <cell r="K1294">
            <v>169329429</v>
          </cell>
        </row>
        <row r="1295">
          <cell r="I1295">
            <v>802004896</v>
          </cell>
          <cell r="J1295" t="str">
            <v>INSTITUCION EDUCATIVA TECNICA MICROEMPRESARIAL DE SOLEDAD</v>
          </cell>
          <cell r="K1295">
            <v>66211777</v>
          </cell>
        </row>
        <row r="1296">
          <cell r="I1296">
            <v>802004987</v>
          </cell>
          <cell r="J1296" t="str">
            <v>INSTITUTO ALEXANDER VON HUMBOLDT</v>
          </cell>
          <cell r="K1296">
            <v>60127969</v>
          </cell>
        </row>
        <row r="1297">
          <cell r="I1297">
            <v>802005031</v>
          </cell>
          <cell r="J1297" t="str">
            <v>COLEGIO DISTRITAL MARIA INMACULADA</v>
          </cell>
          <cell r="K1297">
            <v>131116697</v>
          </cell>
        </row>
        <row r="1298">
          <cell r="I1298">
            <v>802005167</v>
          </cell>
          <cell r="J1298" t="str">
            <v>INSTITUCION EDUCATIVA  NOROCCiDENTAL</v>
          </cell>
          <cell r="K1298">
            <v>174304304</v>
          </cell>
        </row>
        <row r="1299">
          <cell r="I1299">
            <v>802005206</v>
          </cell>
          <cell r="J1299" t="str">
            <v>INSTITUCION EDUCATIVA DISTRITAL LAS GRANJAS</v>
          </cell>
          <cell r="K1299">
            <v>43089873</v>
          </cell>
        </row>
        <row r="1300">
          <cell r="I1300">
            <v>802005379</v>
          </cell>
          <cell r="J1300" t="str">
            <v>INSTITUCION EDUCATIVA TECNICA FRANCISCO DE PAULA SANTANDER</v>
          </cell>
          <cell r="K1300">
            <v>124779020</v>
          </cell>
        </row>
        <row r="1301">
          <cell r="I1301">
            <v>802005796</v>
          </cell>
          <cell r="J1301" t="str">
            <v>institucion educativa tecnico comercial de sabanalarga</v>
          </cell>
          <cell r="K1301">
            <v>204096917</v>
          </cell>
        </row>
        <row r="1302">
          <cell r="I1302">
            <v>802005854</v>
          </cell>
          <cell r="J1302" t="str">
            <v>I.E.SAN SEBASTIAN</v>
          </cell>
          <cell r="K1302">
            <v>57680656</v>
          </cell>
        </row>
        <row r="1303">
          <cell r="I1303">
            <v>802006311</v>
          </cell>
          <cell r="J1303" t="str">
            <v>I.E.EVA RODRIGUEZ ARAUJO</v>
          </cell>
          <cell r="K1303">
            <v>106490872</v>
          </cell>
        </row>
        <row r="1304">
          <cell r="I1304">
            <v>802006555</v>
          </cell>
          <cell r="J1304" t="str">
            <v>COLEGIO DISTRITAL SAN GABRIEL</v>
          </cell>
          <cell r="K1304">
            <v>75696974</v>
          </cell>
        </row>
        <row r="1305">
          <cell r="I1305">
            <v>802006583</v>
          </cell>
          <cell r="J1305" t="str">
            <v>institucion educativa francisco jose de caldas</v>
          </cell>
          <cell r="K1305">
            <v>102432526</v>
          </cell>
        </row>
        <row r="1306">
          <cell r="I1306">
            <v>802006642</v>
          </cell>
          <cell r="J1306" t="str">
            <v>instititucion educativa santa lucia</v>
          </cell>
          <cell r="K1306">
            <v>187275648</v>
          </cell>
        </row>
        <row r="1307">
          <cell r="I1307">
            <v>802006717</v>
          </cell>
          <cell r="J1307" t="str">
            <v>ASOPAFA DEL RE. ESC. CENTRO DE EDUCACION BASICA NO.86</v>
          </cell>
          <cell r="K1307">
            <v>80485911</v>
          </cell>
        </row>
        <row r="1308">
          <cell r="I1308">
            <v>802006845</v>
          </cell>
          <cell r="J1308" t="str">
            <v>institucion educativa maria mancilla sanchez</v>
          </cell>
          <cell r="K1308">
            <v>108577294</v>
          </cell>
        </row>
        <row r="1309">
          <cell r="I1309">
            <v>802006858</v>
          </cell>
          <cell r="J1309" t="str">
            <v>COLEGIO DISTRITAL SARID ARTETA DE VASQUEZ</v>
          </cell>
          <cell r="K1309">
            <v>131283189</v>
          </cell>
        </row>
        <row r="1310">
          <cell r="I1310">
            <v>802006867</v>
          </cell>
          <cell r="J1310" t="str">
            <v>CENTRO DE EDUCACION BASICA Y MEDIA N 103</v>
          </cell>
          <cell r="K1310">
            <v>42353049</v>
          </cell>
        </row>
        <row r="1311">
          <cell r="I1311">
            <v>802006892</v>
          </cell>
          <cell r="J1311" t="str">
            <v>institucion educativa la inmaculada</v>
          </cell>
          <cell r="K1311">
            <v>133470800</v>
          </cell>
        </row>
        <row r="1312">
          <cell r="I1312">
            <v>802006904</v>
          </cell>
          <cell r="J1312" t="str">
            <v>INSTITUCION EDUCATIVA DISTISTRITAL SALVADOR SUAREZ SUAREZ</v>
          </cell>
          <cell r="K1312">
            <v>65583955</v>
          </cell>
        </row>
        <row r="1313">
          <cell r="I1313">
            <v>802006924</v>
          </cell>
          <cell r="J1313" t="str">
            <v>I.E.B. EL CONCORDE</v>
          </cell>
          <cell r="K1313">
            <v>69803011</v>
          </cell>
        </row>
        <row r="1314">
          <cell r="I1314">
            <v>802006935</v>
          </cell>
          <cell r="J1314" t="str">
            <v>institucion educativa san juan bosco</v>
          </cell>
          <cell r="K1314">
            <v>102557394</v>
          </cell>
        </row>
        <row r="1315">
          <cell r="I1315">
            <v>802006958</v>
          </cell>
          <cell r="J1315" t="str">
            <v>I.E.BASICA ·5 SIMON BOLIVAR</v>
          </cell>
          <cell r="K1315">
            <v>79135997</v>
          </cell>
        </row>
        <row r="1316">
          <cell r="I1316">
            <v>802006959</v>
          </cell>
          <cell r="J1316" t="str">
            <v>I.E. ANTONIA SANTOS</v>
          </cell>
          <cell r="K1316">
            <v>71997405</v>
          </cell>
        </row>
        <row r="1317">
          <cell r="I1317">
            <v>802006977</v>
          </cell>
          <cell r="J1317" t="str">
            <v>INSTITUCION EDUCATIVA DISTRITAL TIERRA SANTA</v>
          </cell>
          <cell r="K1317">
            <v>28203901</v>
          </cell>
        </row>
        <row r="1318">
          <cell r="I1318">
            <v>802007015</v>
          </cell>
          <cell r="J1318" t="str">
            <v>institucion educativa agroacuicola de rotinet</v>
          </cell>
          <cell r="K1318">
            <v>61630356</v>
          </cell>
        </row>
        <row r="1319">
          <cell r="I1319">
            <v>802007050</v>
          </cell>
          <cell r="J1319" t="str">
            <v>institucion basica maria inmaculada</v>
          </cell>
          <cell r="K1319">
            <v>93729430</v>
          </cell>
        </row>
        <row r="1320">
          <cell r="I1320">
            <v>802007074</v>
          </cell>
          <cell r="J1320" t="str">
            <v>INSTITUCION EDUCATIVA TECNICA COMERCIAL DE SANTO TOMAS</v>
          </cell>
          <cell r="K1320">
            <v>126413540</v>
          </cell>
        </row>
        <row r="1321">
          <cell r="I1321">
            <v>802007111</v>
          </cell>
          <cell r="J1321" t="str">
            <v>INSTITUCION EDUCATIVA DISTRITAL MADRE MARCELINA</v>
          </cell>
          <cell r="K1321">
            <v>61696267</v>
          </cell>
        </row>
        <row r="1322">
          <cell r="I1322">
            <v>802007115</v>
          </cell>
          <cell r="J1322" t="str">
            <v>INSTITUCION EDUCATIVA DISTRITAL HILDA MUÑOZ</v>
          </cell>
          <cell r="K1322">
            <v>66192402</v>
          </cell>
        </row>
        <row r="1323">
          <cell r="I1323">
            <v>802007167</v>
          </cell>
          <cell r="J1323" t="str">
            <v>INSTITUCION EDUCATIVA DISTRITAL LA VICTORIA</v>
          </cell>
          <cell r="K1323">
            <v>52697924</v>
          </cell>
        </row>
        <row r="1324">
          <cell r="I1324">
            <v>802007181</v>
          </cell>
          <cell r="J1324" t="str">
            <v>INST. EDUC. DIST. ARTE Y TECNOLOGIA ESTHER FORERO</v>
          </cell>
          <cell r="K1324">
            <v>40189894</v>
          </cell>
        </row>
        <row r="1325">
          <cell r="I1325">
            <v>802007212</v>
          </cell>
          <cell r="J1325" t="str">
            <v>COLEGIO DISTRITAL COSTA CARIBE</v>
          </cell>
          <cell r="K1325">
            <v>77037439</v>
          </cell>
        </row>
        <row r="1326">
          <cell r="I1326">
            <v>802007223</v>
          </cell>
          <cell r="J1326" t="str">
            <v>INSTITUCION EDUCATIVA EDUARDO SANTOS</v>
          </cell>
          <cell r="K1326">
            <v>47481207</v>
          </cell>
        </row>
        <row r="1327">
          <cell r="I1327">
            <v>802007249</v>
          </cell>
          <cell r="J1327" t="str">
            <v>COLEGIO DISTRITAL DE BACHILLERATO SAN LUIS</v>
          </cell>
          <cell r="K1327">
            <v>85284346</v>
          </cell>
        </row>
        <row r="1328">
          <cell r="I1328">
            <v>802007251</v>
          </cell>
          <cell r="J1328" t="str">
            <v>CENTRO EDUCATIVO DISTRITAL 062</v>
          </cell>
          <cell r="K1328">
            <v>39722150</v>
          </cell>
        </row>
        <row r="1329">
          <cell r="I1329">
            <v>802007316</v>
          </cell>
          <cell r="J1329" t="str">
            <v>INSTITUCION EDUCATIVA DISTRITAL LUIS CARLOS GALAN SARMIENTO</v>
          </cell>
          <cell r="K1329">
            <v>127979660</v>
          </cell>
        </row>
        <row r="1330">
          <cell r="I1330">
            <v>802007331</v>
          </cell>
          <cell r="J1330" t="str">
            <v>institucion educativa tecnica agropecuaria de villa rosa</v>
          </cell>
          <cell r="K1330">
            <v>82294738</v>
          </cell>
        </row>
        <row r="1331">
          <cell r="I1331">
            <v>802007332</v>
          </cell>
          <cell r="J1331" t="str">
            <v>institucion educativa jhon f kenedy</v>
          </cell>
          <cell r="K1331">
            <v>41784821</v>
          </cell>
        </row>
        <row r="1332">
          <cell r="I1332">
            <v>802007333</v>
          </cell>
          <cell r="J1332" t="str">
            <v>FONDOS DE SERVICIOS EDUCATIVOS IEDIC</v>
          </cell>
          <cell r="K1332">
            <v>59969579</v>
          </cell>
        </row>
        <row r="1333">
          <cell r="I1333">
            <v>802007336</v>
          </cell>
          <cell r="J1333" t="str">
            <v>INSTITUTO DISTRITAL DE EXPERIENCIAS PEDAGOGICAS</v>
          </cell>
          <cell r="K1333">
            <v>69135220</v>
          </cell>
        </row>
        <row r="1334">
          <cell r="I1334">
            <v>802007337</v>
          </cell>
          <cell r="J1334" t="str">
            <v>INSTITUCION EDUCATIVA DISTRITAL SALVADOR ENTREGAS</v>
          </cell>
          <cell r="K1334">
            <v>69786210</v>
          </cell>
        </row>
        <row r="1335">
          <cell r="I1335">
            <v>802007346</v>
          </cell>
          <cell r="J1335" t="str">
            <v>I.E.BELLAVISTA</v>
          </cell>
          <cell r="K1335">
            <v>47063275</v>
          </cell>
        </row>
        <row r="1336">
          <cell r="I1336">
            <v>802007350</v>
          </cell>
          <cell r="J1336" t="str">
            <v>INSTITUCION EDUCATIVA DISTRITAL KARL PARRISH</v>
          </cell>
          <cell r="K1336">
            <v>105177320</v>
          </cell>
        </row>
        <row r="1337">
          <cell r="I1337">
            <v>802007352</v>
          </cell>
          <cell r="J1337" t="str">
            <v>CENTRO EDUCATIVO JUARUCO</v>
          </cell>
          <cell r="K1337">
            <v>14989023</v>
          </cell>
        </row>
        <row r="1338">
          <cell r="I1338">
            <v>802007353</v>
          </cell>
          <cell r="J1338" t="str">
            <v>institucion educativa guaimaral</v>
          </cell>
          <cell r="K1338">
            <v>25382380</v>
          </cell>
        </row>
        <row r="1339">
          <cell r="I1339">
            <v>802007370</v>
          </cell>
          <cell r="J1339" t="str">
            <v>CENTRO DE EDUCACION BASICA 201</v>
          </cell>
          <cell r="K1339">
            <v>4691372</v>
          </cell>
        </row>
        <row r="1340">
          <cell r="I1340">
            <v>802007373</v>
          </cell>
          <cell r="J1340" t="str">
            <v>institucion educativa antonia santos de molineros</v>
          </cell>
          <cell r="K1340">
            <v>41575398</v>
          </cell>
        </row>
        <row r="1341">
          <cell r="I1341">
            <v>802007385</v>
          </cell>
          <cell r="J1341" t="str">
            <v>COLEGIO DISTRITAL SAN VICENTE DE PAUL</v>
          </cell>
          <cell r="K1341">
            <v>81982893</v>
          </cell>
        </row>
        <row r="1342">
          <cell r="I1342">
            <v>802007414</v>
          </cell>
          <cell r="J1342" t="str">
            <v>FONDO EDUCATIVO DISTRITAL LA CONCEPCION</v>
          </cell>
          <cell r="K1342">
            <v>37295143</v>
          </cell>
        </row>
        <row r="1343">
          <cell r="I1343">
            <v>802007431</v>
          </cell>
          <cell r="J1343" t="str">
            <v>INSTITUCION EDUCATIVA DISTRITAL SAN JOSE</v>
          </cell>
          <cell r="K1343">
            <v>104378067</v>
          </cell>
        </row>
        <row r="1344">
          <cell r="I1344">
            <v>802007474</v>
          </cell>
          <cell r="J1344" t="str">
            <v>institucion educativa simon bolivar</v>
          </cell>
          <cell r="K1344">
            <v>108210970</v>
          </cell>
        </row>
        <row r="1345">
          <cell r="I1345">
            <v>802007478</v>
          </cell>
          <cell r="J1345" t="str">
            <v>IED COMUNITARIA METROPOLITANA</v>
          </cell>
          <cell r="K1345">
            <v>74698265</v>
          </cell>
        </row>
        <row r="1346">
          <cell r="I1346">
            <v>802007497</v>
          </cell>
          <cell r="J1346" t="str">
            <v>COLEGIO DISTRITAL NUEVO BOSQUE</v>
          </cell>
          <cell r="K1346">
            <v>74922444</v>
          </cell>
        </row>
        <row r="1347">
          <cell r="I1347">
            <v>802007501</v>
          </cell>
          <cell r="J1347" t="str">
            <v>INSTITUCION DISTRITAL DE EDUCACION ARTISTICA Y CULTURAL ALEJANDRO OBREGON</v>
          </cell>
          <cell r="K1347">
            <v>15680465</v>
          </cell>
        </row>
        <row r="1348">
          <cell r="I1348">
            <v>802007544</v>
          </cell>
          <cell r="J1348" t="str">
            <v>COLEGIO DISTRITAL LA SALLE</v>
          </cell>
          <cell r="K1348">
            <v>70012217</v>
          </cell>
        </row>
        <row r="1349">
          <cell r="I1349">
            <v>802007548</v>
          </cell>
          <cell r="J1349" t="str">
            <v>INSTITUCION EDUCATIVA COMUNITARIA DISTRITAL MANUEL ELKIN PATARROYO</v>
          </cell>
          <cell r="K1349">
            <v>125677023</v>
          </cell>
        </row>
        <row r="1350">
          <cell r="I1350">
            <v>802007559</v>
          </cell>
          <cell r="J1350" t="str">
            <v>CENTRO DE EDUCACION BASICA 161</v>
          </cell>
          <cell r="K1350">
            <v>121447880</v>
          </cell>
        </row>
        <row r="1351">
          <cell r="I1351">
            <v>802007590</v>
          </cell>
          <cell r="J1351" t="str">
            <v>INSTITUCION EDUCATIVA DISTRITAL EL PARAISO</v>
          </cell>
          <cell r="K1351">
            <v>38501186</v>
          </cell>
        </row>
        <row r="1352">
          <cell r="I1352">
            <v>802007592</v>
          </cell>
          <cell r="J1352" t="str">
            <v>institucion educativa cien pesos y las tablas</v>
          </cell>
          <cell r="K1352">
            <v>22611618</v>
          </cell>
        </row>
        <row r="1353">
          <cell r="I1353">
            <v>802007601</v>
          </cell>
          <cell r="J1353" t="str">
            <v>cuenta corriente fondo servicios educativos institucion educativa maria auxiliadora</v>
          </cell>
          <cell r="K1353">
            <v>135636560</v>
          </cell>
        </row>
        <row r="1354">
          <cell r="I1354">
            <v>802007643</v>
          </cell>
          <cell r="J1354" t="str">
            <v>INSTITUTO CULTURAL LAS MALVINAS</v>
          </cell>
          <cell r="K1354">
            <v>82281189</v>
          </cell>
        </row>
        <row r="1355">
          <cell r="I1355">
            <v>802007707</v>
          </cell>
          <cell r="J1355" t="str">
            <v>INSTITUCION EDUCATIVA COMUNITARIO OCTAVIO PAZ</v>
          </cell>
          <cell r="K1355">
            <v>67338091</v>
          </cell>
        </row>
        <row r="1356">
          <cell r="I1356">
            <v>802007712</v>
          </cell>
          <cell r="J1356" t="str">
            <v>institucion educativa tecnica turistica simon bolivar</v>
          </cell>
          <cell r="K1356">
            <v>96774945</v>
          </cell>
        </row>
        <row r="1357">
          <cell r="I1357">
            <v>802007725</v>
          </cell>
          <cell r="J1357" t="str">
            <v>INSTITUCION EDUCATIVA DISTRITAL LA ESMERALDA</v>
          </cell>
          <cell r="K1357">
            <v>63597094</v>
          </cell>
        </row>
        <row r="1358">
          <cell r="I1358">
            <v>802007768</v>
          </cell>
          <cell r="J1358" t="str">
            <v>INSTITUCION EDUCATIVA DISTRITAL LA LIBERTAD</v>
          </cell>
          <cell r="K1358">
            <v>97004614</v>
          </cell>
        </row>
        <row r="1359">
          <cell r="I1359">
            <v>802007817</v>
          </cell>
          <cell r="J1359" t="str">
            <v>INSTITUCION EDUCATIVA DISTRITAL NUESTRA SEÑORA DEL ROSARIO</v>
          </cell>
          <cell r="K1359">
            <v>48957812</v>
          </cell>
        </row>
        <row r="1360">
          <cell r="I1360">
            <v>802008139</v>
          </cell>
          <cell r="J1360" t="str">
            <v>INSTITUCIÓN EDUCATIVA ADOLFO LEÓN BOLIVAR MARENCO DE SUÁN</v>
          </cell>
          <cell r="K1360">
            <v>178410922</v>
          </cell>
        </row>
        <row r="1361">
          <cell r="I1361">
            <v>802008147</v>
          </cell>
          <cell r="J1361" t="str">
            <v>INSTITUCION EDUCATIVA NUESTRA SEÑORA DEL TRANSITO DE USIACURI</v>
          </cell>
          <cell r="K1361">
            <v>117164688</v>
          </cell>
        </row>
        <row r="1362">
          <cell r="I1362">
            <v>802008214</v>
          </cell>
          <cell r="J1362" t="str">
            <v>INSTITUTO TECNICO DISTRITAL LAS AMERICAS</v>
          </cell>
          <cell r="K1362">
            <v>38372086</v>
          </cell>
        </row>
        <row r="1363">
          <cell r="I1363">
            <v>802008301</v>
          </cell>
          <cell r="J1363" t="str">
            <v>CENTRO DE EDUCACION BASICA 132</v>
          </cell>
          <cell r="K1363">
            <v>36153083</v>
          </cell>
        </row>
        <row r="1364">
          <cell r="I1364">
            <v>802008429</v>
          </cell>
          <cell r="J1364" t="str">
            <v>COLEGIO DISTRITAL SANTA MAGDALENA SOFIA</v>
          </cell>
          <cell r="K1364">
            <v>55733225</v>
          </cell>
        </row>
        <row r="1365">
          <cell r="I1365">
            <v>802008543</v>
          </cell>
          <cell r="J1365" t="str">
            <v>CENTRO COMUNITARIO DE EDUCACION BASICA No. 176 JUAN MINA</v>
          </cell>
          <cell r="K1365">
            <v>86395463</v>
          </cell>
        </row>
        <row r="1366">
          <cell r="I1366">
            <v>802008685</v>
          </cell>
          <cell r="J1366" t="str">
            <v>IED DEL DESARROLLO HUMANO Y CULTURAL DEL CARIBE</v>
          </cell>
          <cell r="K1366">
            <v>47665949</v>
          </cell>
        </row>
        <row r="1367">
          <cell r="I1367">
            <v>802008704</v>
          </cell>
          <cell r="J1367" t="str">
            <v>INSTITUCION EDUCATIVA DISTRITAL BRISAS DEL RIO</v>
          </cell>
          <cell r="K1367">
            <v>50941593</v>
          </cell>
        </row>
        <row r="1368">
          <cell r="I1368">
            <v>802008775</v>
          </cell>
          <cell r="J1368" t="str">
            <v>INSTITUCION EDUCATIVA DISTRITAL EL PUEBLO</v>
          </cell>
          <cell r="K1368">
            <v>85326732</v>
          </cell>
        </row>
        <row r="1369">
          <cell r="I1369">
            <v>802009160</v>
          </cell>
          <cell r="J1369" t="str">
            <v>institucion educativa centro educativo la retirada</v>
          </cell>
          <cell r="K1369">
            <v>15843506</v>
          </cell>
        </row>
        <row r="1370">
          <cell r="I1370">
            <v>802009214</v>
          </cell>
          <cell r="J1370" t="str">
            <v>centro educativo santa veronoca</v>
          </cell>
          <cell r="K1370">
            <v>19427374</v>
          </cell>
        </row>
        <row r="1371">
          <cell r="I1371">
            <v>802009324</v>
          </cell>
          <cell r="J1371" t="str">
            <v>institucion educativa martillo</v>
          </cell>
          <cell r="K1371">
            <v>37965472</v>
          </cell>
        </row>
        <row r="1372">
          <cell r="I1372">
            <v>802009383</v>
          </cell>
          <cell r="J1372" t="str">
            <v>institucion educativa fermin tilano</v>
          </cell>
          <cell r="K1372">
            <v>21529099</v>
          </cell>
        </row>
        <row r="1373">
          <cell r="I1373">
            <v>802009675</v>
          </cell>
          <cell r="J1373" t="str">
            <v>COLEGIO METROPOLITANO DE BARRANQUILLA</v>
          </cell>
          <cell r="K1373">
            <v>133224093</v>
          </cell>
        </row>
        <row r="1374">
          <cell r="I1374">
            <v>802009991</v>
          </cell>
          <cell r="J1374" t="str">
            <v>CENTRO EDUCATIVO ARROYO NEGRO</v>
          </cell>
          <cell r="K1374">
            <v>12305671</v>
          </cell>
        </row>
        <row r="1375">
          <cell r="I1375">
            <v>802010570</v>
          </cell>
          <cell r="J1375" t="str">
            <v>INSTITUCION EDUCATIVA DISTRITAL DESPERTAR DEL SUR</v>
          </cell>
          <cell r="K1375">
            <v>65423210</v>
          </cell>
        </row>
        <row r="1376">
          <cell r="I1376">
            <v>802010611</v>
          </cell>
          <cell r="J1376" t="str">
            <v>I.E.LA AGUADA</v>
          </cell>
          <cell r="K1376">
            <v>48875477</v>
          </cell>
        </row>
        <row r="1377">
          <cell r="I1377">
            <v>802010660</v>
          </cell>
          <cell r="J1377" t="str">
            <v>institucion educativanuestra señora del rosario</v>
          </cell>
          <cell r="K1377">
            <v>60383179</v>
          </cell>
        </row>
        <row r="1378">
          <cell r="I1378">
            <v>802010704</v>
          </cell>
          <cell r="J1378" t="str">
            <v>COLEGIO TECNICO DISTRITAL DE REBOLO</v>
          </cell>
          <cell r="K1378">
            <v>90087086</v>
          </cell>
        </row>
        <row r="1379">
          <cell r="I1379">
            <v>802010806</v>
          </cell>
          <cell r="J1379" t="str">
            <v>COLEGIO DISTRITAL N 27 SANTO DOMINGO DE GUZMAN</v>
          </cell>
          <cell r="K1379">
            <v>62149464</v>
          </cell>
        </row>
        <row r="1380">
          <cell r="I1380">
            <v>802010850</v>
          </cell>
          <cell r="J1380" t="str">
            <v>INSTITUCION EDUCATIVA DISTRITAL DENIS HERRERA DE VILLA</v>
          </cell>
          <cell r="K1380">
            <v>91985223</v>
          </cell>
        </row>
        <row r="1381">
          <cell r="I1381">
            <v>802011033</v>
          </cell>
          <cell r="J1381" t="str">
            <v>INSTITUTO DISTRITAL DE FORMACION TEC. DIVERSIFICADA ALBERTO ASSA</v>
          </cell>
          <cell r="K1381">
            <v>138105910</v>
          </cell>
        </row>
        <row r="1382">
          <cell r="I1382">
            <v>802011172</v>
          </cell>
          <cell r="J1382" t="str">
            <v>COLEGIO INTEGRADO TECNICO AGRICOLA JUAN DOMINGUEZ  ROMERO</v>
          </cell>
          <cell r="K1382">
            <v>76580964</v>
          </cell>
        </row>
        <row r="1383">
          <cell r="I1383">
            <v>802011527</v>
          </cell>
          <cell r="J1383" t="str">
            <v>institucion educativa de bohorquez</v>
          </cell>
          <cell r="K1383">
            <v>64495782</v>
          </cell>
        </row>
        <row r="1384">
          <cell r="I1384">
            <v>802011580</v>
          </cell>
          <cell r="J1384" t="str">
            <v>institucion educativa técnica agropecuaria del carmen de pendales</v>
          </cell>
          <cell r="K1384">
            <v>43062273</v>
          </cell>
        </row>
        <row r="1385">
          <cell r="I1385">
            <v>802011719</v>
          </cell>
          <cell r="J1385" t="str">
            <v>INSTITUCION EDUCATIVA DISTRITAL EVARISTO SOURDIS</v>
          </cell>
          <cell r="K1385">
            <v>85284639</v>
          </cell>
        </row>
        <row r="1386">
          <cell r="I1386">
            <v>802011734</v>
          </cell>
          <cell r="J1386" t="str">
            <v>INSTITUCION EDUCATIVA TECNICA INDUSTRIAL VILLA MARIA</v>
          </cell>
          <cell r="K1386">
            <v>117248322</v>
          </cell>
        </row>
        <row r="1387">
          <cell r="I1387">
            <v>802012581</v>
          </cell>
          <cell r="J1387" t="str">
            <v>institucion educativa san jose de saco</v>
          </cell>
          <cell r="K1387">
            <v>70052519</v>
          </cell>
        </row>
        <row r="1388">
          <cell r="I1388">
            <v>802012629</v>
          </cell>
          <cell r="J1388" t="str">
            <v>INSTITUTO DISTISTRITAL PARA EL DESARROLLO INTEGRAL NUEVA GRANADA</v>
          </cell>
          <cell r="K1388">
            <v>124701628</v>
          </cell>
        </row>
        <row r="1389">
          <cell r="I1389">
            <v>802012727</v>
          </cell>
          <cell r="J1389" t="str">
            <v>INSTITUCION EDUCATIVA TECNICA  AGROPECUARIO DE CAMPECHE</v>
          </cell>
          <cell r="K1389">
            <v>88512321</v>
          </cell>
        </row>
        <row r="1390">
          <cell r="I1390">
            <v>802012996</v>
          </cell>
          <cell r="J1390" t="str">
            <v>INSTITUCION EDUCATIVA DISTRITAL MIGUEL ANGEL BUILES</v>
          </cell>
          <cell r="K1390">
            <v>118166009</v>
          </cell>
        </row>
        <row r="1391">
          <cell r="I1391">
            <v>802013413</v>
          </cell>
          <cell r="J1391" t="str">
            <v>COLEGIO DISTRITAL DE EDUCACION COOPERATIVA Y PARA EL TRABAJO</v>
          </cell>
          <cell r="K1391">
            <v>113612024</v>
          </cell>
        </row>
        <row r="1392">
          <cell r="I1392">
            <v>802014036</v>
          </cell>
          <cell r="J1392" t="str">
            <v>COLEGIO DISTRITAL JORGE ISAAC</v>
          </cell>
          <cell r="K1392">
            <v>89830407</v>
          </cell>
        </row>
        <row r="1393">
          <cell r="I1393">
            <v>802014062</v>
          </cell>
          <cell r="J1393" t="str">
            <v>INSTITUCION EDUCATIVA DISTRITAL LA ESPERANZA DEL SUR</v>
          </cell>
          <cell r="K1393">
            <v>63800457</v>
          </cell>
        </row>
        <row r="1394">
          <cell r="I1394">
            <v>802014231</v>
          </cell>
          <cell r="J1394" t="str">
            <v>INSTITUCION EDUCATIVA DISTRITAL MUNDO BOLIVARIANO</v>
          </cell>
          <cell r="K1394">
            <v>120834576</v>
          </cell>
        </row>
        <row r="1395">
          <cell r="I1395">
            <v>802014518</v>
          </cell>
          <cell r="J1395" t="str">
            <v>institucion educativa san jose de aguada de pablo</v>
          </cell>
          <cell r="K1395">
            <v>80914926</v>
          </cell>
        </row>
        <row r="1396">
          <cell r="I1396">
            <v>802014604</v>
          </cell>
          <cell r="J1396" t="str">
            <v>institucion educativa san pedro claver de cascajal</v>
          </cell>
          <cell r="K1396">
            <v>66191190</v>
          </cell>
        </row>
        <row r="1397">
          <cell r="I1397">
            <v>802015935</v>
          </cell>
          <cell r="J1397" t="str">
            <v>COLEGIO DE BACHILLERATO MIXTO TECNICO AGROPECUARIO DE LURUACO</v>
          </cell>
          <cell r="K1397">
            <v>109704786</v>
          </cell>
        </row>
        <row r="1398">
          <cell r="I1398">
            <v>802016190</v>
          </cell>
          <cell r="J1398" t="str">
            <v>COLEGIO ALFONSO LOPEZ</v>
          </cell>
          <cell r="K1398">
            <v>77272379</v>
          </cell>
        </row>
        <row r="1399">
          <cell r="I1399">
            <v>802016204</v>
          </cell>
          <cell r="J1399" t="str">
            <v>INSTITUCION EDUCATIVA TECNICO INDUSTRIAL PEDRO A OÑORO DE BARANOA</v>
          </cell>
          <cell r="K1399">
            <v>147992813</v>
          </cell>
        </row>
        <row r="1400">
          <cell r="I1400">
            <v>802016569</v>
          </cell>
          <cell r="J1400" t="str">
            <v>INSTITUCION EDUCATIVA DISTRITAL PESTALOZZI</v>
          </cell>
          <cell r="K1400">
            <v>101601686</v>
          </cell>
        </row>
        <row r="1401">
          <cell r="I1401">
            <v>802016852</v>
          </cell>
          <cell r="J1401" t="str">
            <v>colegio de bachillerato mixto san jose de luruaco</v>
          </cell>
          <cell r="K1401">
            <v>113980020</v>
          </cell>
        </row>
        <row r="1402">
          <cell r="I1402">
            <v>802017032</v>
          </cell>
          <cell r="J1402" t="str">
            <v>institucion educativa nuestra señora de la candelaria</v>
          </cell>
          <cell r="K1402">
            <v>155376360</v>
          </cell>
        </row>
        <row r="1403">
          <cell r="I1403">
            <v>802018644</v>
          </cell>
          <cell r="J1403" t="str">
            <v>centro educativo san juan de tocagua</v>
          </cell>
          <cell r="K1403">
            <v>14016541</v>
          </cell>
        </row>
        <row r="1404">
          <cell r="I1404">
            <v>802019228</v>
          </cell>
          <cell r="J1404" t="str">
            <v>COLEGIO JESUS MAESTRO FD0 MARIO SANTO DOMINGO</v>
          </cell>
          <cell r="K1404">
            <v>69118430</v>
          </cell>
        </row>
        <row r="1405">
          <cell r="I1405">
            <v>802019414</v>
          </cell>
          <cell r="J1405" t="str">
            <v>INSTITUCION EDUCATIVA DISTRITAL PARA EL DESARROLLO DEL TALENTO HUMANO</v>
          </cell>
          <cell r="K1405">
            <v>77899342</v>
          </cell>
        </row>
        <row r="1406">
          <cell r="I1406">
            <v>802020184</v>
          </cell>
          <cell r="J1406" t="str">
            <v>INSTITUTO EDUCATIVA DISTRITAL DE LAS NIEVES</v>
          </cell>
          <cell r="K1406">
            <v>116541401</v>
          </cell>
        </row>
        <row r="1407">
          <cell r="I1407">
            <v>802020459</v>
          </cell>
          <cell r="J1407" t="str">
            <v>institucion educativa agropecuariade santa cruz</v>
          </cell>
          <cell r="K1407">
            <v>107827870</v>
          </cell>
        </row>
        <row r="1408">
          <cell r="I1408">
            <v>802020518</v>
          </cell>
          <cell r="J1408" t="str">
            <v>INSTITUCION EDUCATIVA TECNICA AGROPECUARIA LA CANDELARIA</v>
          </cell>
          <cell r="K1408">
            <v>100533290</v>
          </cell>
        </row>
        <row r="1409">
          <cell r="I1409">
            <v>802020717</v>
          </cell>
          <cell r="J1409" t="str">
            <v>I.E.NUESTRA SEÑORA DE LA CANDELARIA</v>
          </cell>
          <cell r="K1409">
            <v>107053532</v>
          </cell>
        </row>
        <row r="1410">
          <cell r="I1410">
            <v>802020776</v>
          </cell>
          <cell r="J1410" t="str">
            <v>INSTITUCION EDUCATIVA DISTRITAL INOCENCIO CHINCA INEDICH</v>
          </cell>
          <cell r="K1410">
            <v>111987679</v>
          </cell>
        </row>
        <row r="1411">
          <cell r="I1411">
            <v>802020857</v>
          </cell>
          <cell r="J1411" t="str">
            <v>I.E.MESOLANDIA</v>
          </cell>
          <cell r="K1411">
            <v>34231272</v>
          </cell>
        </row>
        <row r="1412">
          <cell r="I1412">
            <v>802020860</v>
          </cell>
          <cell r="J1412" t="str">
            <v>COLEGIO DISTRITAL EL CAÑAHUATE</v>
          </cell>
          <cell r="K1412">
            <v>45319065</v>
          </cell>
        </row>
        <row r="1413">
          <cell r="I1413">
            <v>802023868</v>
          </cell>
          <cell r="J1413" t="str">
            <v>COLEGIO DISTRITAL ISAAC NEWTON</v>
          </cell>
          <cell r="K1413">
            <v>47139921</v>
          </cell>
        </row>
        <row r="1414">
          <cell r="I1414">
            <v>802024318</v>
          </cell>
          <cell r="J1414" t="str">
            <v>institucion educativa tecnico ambrosio plaza</v>
          </cell>
          <cell r="K1414">
            <v>130705851</v>
          </cell>
        </row>
        <row r="1415">
          <cell r="I1415">
            <v>804000048</v>
          </cell>
          <cell r="J1415" t="str">
            <v>CENTRO PILOTO SIMON BOLIVAR FONDO DE SERVICIOS EDT</v>
          </cell>
          <cell r="K1415">
            <v>63494629</v>
          </cell>
        </row>
        <row r="1416">
          <cell r="I1416">
            <v>804000085</v>
          </cell>
          <cell r="J1416" t="str">
            <v>COLEGIO BERNORAMA</v>
          </cell>
          <cell r="K1416">
            <v>22689146</v>
          </cell>
        </row>
        <row r="1417">
          <cell r="I1417">
            <v>804000130</v>
          </cell>
          <cell r="J1417" t="str">
            <v>COLEGIO TRINIDAD CAMACHO PINZON</v>
          </cell>
          <cell r="K1417">
            <v>95713662</v>
          </cell>
        </row>
        <row r="1418">
          <cell r="I1418">
            <v>804000163</v>
          </cell>
          <cell r="J1418" t="str">
            <v>COLEGIO DEPARTAMENTAL GRAN MARISCAL DE AYACUCHO</v>
          </cell>
          <cell r="K1418">
            <v>11827291</v>
          </cell>
        </row>
        <row r="1419">
          <cell r="I1419">
            <v>804000188</v>
          </cell>
          <cell r="J1419" t="str">
            <v>Instituto Agropecuario Gustavo Duarte Aleman</v>
          </cell>
          <cell r="K1419">
            <v>44163135</v>
          </cell>
        </row>
        <row r="1420">
          <cell r="I1420">
            <v>804001310</v>
          </cell>
          <cell r="J1420" t="str">
            <v>COLEGIO DEPARTAMENTAL LLANO DE PALMAS</v>
          </cell>
          <cell r="K1420">
            <v>43437047</v>
          </cell>
        </row>
        <row r="1421">
          <cell r="I1421">
            <v>804001456</v>
          </cell>
          <cell r="J1421" t="str">
            <v>INSTITUTO SANTO ANGEL DE BUCARAMANGA</v>
          </cell>
          <cell r="K1421">
            <v>74721272</v>
          </cell>
        </row>
        <row r="1422">
          <cell r="I1422">
            <v>804001475</v>
          </cell>
          <cell r="J1422" t="str">
            <v>FSE Instituto Rafael Pombo</v>
          </cell>
          <cell r="K1422">
            <v>104412366</v>
          </cell>
        </row>
        <row r="1423">
          <cell r="I1423">
            <v>804001555</v>
          </cell>
          <cell r="J1423" t="str">
            <v>INS. NAL. ENSE. MEDIA INEM CUSTODIO GARCIA ROVIRAN</v>
          </cell>
          <cell r="K1423">
            <v>387063887</v>
          </cell>
        </row>
        <row r="1424">
          <cell r="I1424">
            <v>804001730</v>
          </cell>
          <cell r="J1424" t="str">
            <v>FONDO DE SERVICIOS EDUCATIVOS</v>
          </cell>
          <cell r="K1424">
            <v>32057871</v>
          </cell>
        </row>
        <row r="1425">
          <cell r="I1425">
            <v>804001792</v>
          </cell>
          <cell r="J1425" t="str">
            <v>INSITUCION EDUCATIVA ANDRES PAEZ DE SOTOMAYOR</v>
          </cell>
          <cell r="K1425">
            <v>58666190</v>
          </cell>
        </row>
        <row r="1426">
          <cell r="I1426">
            <v>804001835</v>
          </cell>
          <cell r="J1426" t="str">
            <v>COLEGIO SAN BENITO DE PALERMO</v>
          </cell>
          <cell r="K1426">
            <v>19224243</v>
          </cell>
        </row>
        <row r="1427">
          <cell r="I1427">
            <v>804002050</v>
          </cell>
          <cell r="J1427" t="str">
            <v>FONDO DE SERVICIOS EDUCATIVOS</v>
          </cell>
          <cell r="K1427">
            <v>41565888</v>
          </cell>
        </row>
        <row r="1428">
          <cell r="I1428">
            <v>804002167</v>
          </cell>
          <cell r="J1428" t="str">
            <v>COLEGIO NUESTRA SEÑORA DE FATIMA</v>
          </cell>
          <cell r="K1428">
            <v>24751382</v>
          </cell>
        </row>
        <row r="1429">
          <cell r="I1429">
            <v>804002399</v>
          </cell>
          <cell r="J1429" t="str">
            <v>COLEGIO JUAN PABLO II</v>
          </cell>
          <cell r="K1429">
            <v>81697485</v>
          </cell>
        </row>
        <row r="1430">
          <cell r="I1430">
            <v>804002412</v>
          </cell>
          <cell r="J1430" t="str">
            <v>FONDO DE SERVICIOS EDUCATIVOS</v>
          </cell>
          <cell r="K1430">
            <v>34360416</v>
          </cell>
        </row>
        <row r="1431">
          <cell r="I1431">
            <v>804002531</v>
          </cell>
          <cell r="J1431" t="str">
            <v>FONDO DE SERVICIOS EDUCATIVOS</v>
          </cell>
          <cell r="K1431">
            <v>36591777</v>
          </cell>
        </row>
        <row r="1432">
          <cell r="I1432">
            <v>804002583</v>
          </cell>
          <cell r="J1432" t="str">
            <v>INSTITUCION EDUCATIVA CAMACHO CARREÑO</v>
          </cell>
          <cell r="K1432">
            <v>51816572</v>
          </cell>
        </row>
        <row r="1433">
          <cell r="I1433">
            <v>804002622</v>
          </cell>
          <cell r="J1433" t="str">
            <v>COLEGIO LUZ DE LA ESPERANZA</v>
          </cell>
          <cell r="K1433">
            <v>78581023</v>
          </cell>
        </row>
        <row r="1434">
          <cell r="I1434">
            <v>804002642</v>
          </cell>
          <cell r="J1434" t="str">
            <v>INSITUTO CLUB UNION</v>
          </cell>
          <cell r="K1434">
            <v>145802694</v>
          </cell>
        </row>
        <row r="1435">
          <cell r="I1435">
            <v>804002731</v>
          </cell>
          <cell r="J1435" t="str">
            <v>COLEGIO PORTUGAL</v>
          </cell>
          <cell r="K1435">
            <v>89282154</v>
          </cell>
        </row>
        <row r="1436">
          <cell r="I1436">
            <v>804002756</v>
          </cell>
          <cell r="J1436" t="str">
            <v>COLEGIO INTEGRADO HELENA SANTOS ROSILLO</v>
          </cell>
          <cell r="K1436">
            <v>61363886</v>
          </cell>
        </row>
        <row r="1437">
          <cell r="I1437">
            <v>804002818</v>
          </cell>
          <cell r="J1437" t="str">
            <v>Instituto Gabriela Mistral FSE</v>
          </cell>
          <cell r="K1437">
            <v>170113735</v>
          </cell>
        </row>
        <row r="1438">
          <cell r="I1438">
            <v>804002915</v>
          </cell>
          <cell r="J1438" t="str">
            <v>FONDO DE SERVICIOS EDUCATIVOS DEL COLEGIO ELISEO PINILLA RUEDA DE VILLANUEVA</v>
          </cell>
          <cell r="K1438">
            <v>87595712</v>
          </cell>
        </row>
        <row r="1439">
          <cell r="I1439">
            <v>804002951</v>
          </cell>
          <cell r="J1439" t="str">
            <v>FONDO DE SERVICIOS EDUCATIVOS</v>
          </cell>
          <cell r="K1439">
            <v>26235802</v>
          </cell>
        </row>
        <row r="1440">
          <cell r="I1440">
            <v>804002954</v>
          </cell>
          <cell r="J1440" t="str">
            <v>FONDO DE SERVICIOS EDUCATIVOS</v>
          </cell>
          <cell r="K1440">
            <v>31834518</v>
          </cell>
        </row>
        <row r="1441">
          <cell r="I1441">
            <v>804002966</v>
          </cell>
          <cell r="J1441" t="str">
            <v>FONDO DE SERVICIOS EDUCATIVOS</v>
          </cell>
          <cell r="K1441">
            <v>14258653</v>
          </cell>
        </row>
        <row r="1442">
          <cell r="I1442">
            <v>804003043</v>
          </cell>
          <cell r="J1442" t="str">
            <v>FONDO DE SERVICIOS EDUCATIVOS COLEGIO INTEGRADO MESA DE JERIDAS</v>
          </cell>
          <cell r="K1442">
            <v>73012588</v>
          </cell>
        </row>
        <row r="1443">
          <cell r="I1443">
            <v>804003278</v>
          </cell>
          <cell r="J1443" t="str">
            <v>FONDO DE SERVICIOS EDUCATIVOS</v>
          </cell>
          <cell r="K1443">
            <v>22184644</v>
          </cell>
        </row>
        <row r="1444">
          <cell r="I1444">
            <v>804003431</v>
          </cell>
          <cell r="J1444" t="str">
            <v>COLEGIO INTEGRADO MARIA AUXILIADORA</v>
          </cell>
          <cell r="K1444">
            <v>14450795</v>
          </cell>
        </row>
        <row r="1445">
          <cell r="I1445">
            <v>804003475</v>
          </cell>
          <cell r="J1445" t="str">
            <v>FONDO DE SERVICIOS EDUCATIVOS</v>
          </cell>
          <cell r="K1445">
            <v>35092485</v>
          </cell>
        </row>
        <row r="1446">
          <cell r="I1446">
            <v>804003667</v>
          </cell>
          <cell r="J1446" t="str">
            <v>Luis carlos Galan Sarmiento</v>
          </cell>
          <cell r="K1446">
            <v>196130924</v>
          </cell>
        </row>
        <row r="1447">
          <cell r="I1447">
            <v>804003766</v>
          </cell>
          <cell r="J1447" t="str">
            <v>COLEGIO CAMPO HERMOSO</v>
          </cell>
          <cell r="K1447">
            <v>111214598</v>
          </cell>
        </row>
        <row r="1448">
          <cell r="I1448">
            <v>804003792</v>
          </cell>
          <cell r="J1448" t="str">
            <v>Colegio Cabecera del Llano</v>
          </cell>
          <cell r="K1448">
            <v>79817390</v>
          </cell>
        </row>
        <row r="1449">
          <cell r="I1449">
            <v>804003820</v>
          </cell>
          <cell r="J1449" t="str">
            <v>Instituto La Cumbre</v>
          </cell>
          <cell r="K1449">
            <v>158769340</v>
          </cell>
        </row>
        <row r="1450">
          <cell r="I1450">
            <v>804003902</v>
          </cell>
          <cell r="J1450" t="str">
            <v>INSTITUCION EDUCATIVA LAS AMERICAS</v>
          </cell>
          <cell r="K1450">
            <v>137477988</v>
          </cell>
        </row>
        <row r="1451">
          <cell r="I1451">
            <v>804003904</v>
          </cell>
          <cell r="J1451" t="str">
            <v>INSTITUTO LA LIBERTAD</v>
          </cell>
          <cell r="K1451">
            <v>67038314</v>
          </cell>
        </row>
        <row r="1452">
          <cell r="I1452">
            <v>804003930</v>
          </cell>
          <cell r="J1452" t="str">
            <v>INSITUTO INTEGRADO JORGE ELIECER GAITAN</v>
          </cell>
          <cell r="K1452">
            <v>26726846</v>
          </cell>
        </row>
        <row r="1453">
          <cell r="I1453">
            <v>804003944</v>
          </cell>
          <cell r="J1453" t="str">
            <v>INSITUTO SAN FRANCISCO DE ASIS</v>
          </cell>
          <cell r="K1453">
            <v>36052700</v>
          </cell>
        </row>
        <row r="1454">
          <cell r="I1454">
            <v>804004096</v>
          </cell>
          <cell r="J1454" t="str">
            <v>COLEGIO NUESTRO SEÑOR DE LA BUENA ESPERANZA</v>
          </cell>
          <cell r="K1454">
            <v>62712967</v>
          </cell>
        </row>
        <row r="1455">
          <cell r="I1455">
            <v>804004422</v>
          </cell>
          <cell r="J1455" t="str">
            <v>COLEGIO INTEGRADO GENERAL PABLO ANTONIO OBANDO</v>
          </cell>
          <cell r="K1455">
            <v>29009682</v>
          </cell>
        </row>
        <row r="1456">
          <cell r="I1456">
            <v>804004437</v>
          </cell>
          <cell r="J1456" t="str">
            <v>COLEGIO LUIS CAMACHO RUEDA</v>
          </cell>
          <cell r="K1456">
            <v>39793841</v>
          </cell>
        </row>
        <row r="1457">
          <cell r="I1457">
            <v>804004730</v>
          </cell>
          <cell r="J1457" t="str">
            <v>CENTRO EDUCATIVO AGUATENDIDA DE CARCASI</v>
          </cell>
          <cell r="K1457">
            <v>17044946</v>
          </cell>
        </row>
        <row r="1458">
          <cell r="I1458">
            <v>804004733</v>
          </cell>
          <cell r="J1458" t="str">
            <v>CENTRO EDUCATIVO EL TOBAL</v>
          </cell>
          <cell r="K1458">
            <v>22161934</v>
          </cell>
        </row>
        <row r="1459">
          <cell r="I1459">
            <v>804004901</v>
          </cell>
          <cell r="J1459" t="str">
            <v>FSE Instituto Gabriel Garcia Marquez</v>
          </cell>
          <cell r="K1459">
            <v>85947682</v>
          </cell>
        </row>
        <row r="1460">
          <cell r="I1460">
            <v>804005035</v>
          </cell>
          <cell r="J1460" t="str">
            <v>COLEGIO TECNICO EMPRESARIA JOSE MARIA ESTEVEZ</v>
          </cell>
          <cell r="K1460">
            <v>37569509</v>
          </cell>
        </row>
        <row r="1461">
          <cell r="I1461">
            <v>804005058</v>
          </cell>
          <cell r="J1461" t="str">
            <v>INSTITUCION EDUCATIVA PROVENZA</v>
          </cell>
          <cell r="K1461">
            <v>129342247</v>
          </cell>
        </row>
        <row r="1462">
          <cell r="I1462">
            <v>804005065</v>
          </cell>
          <cell r="J1462" t="str">
            <v>FONDO DE SERVICIOS EDUCATIVOS</v>
          </cell>
          <cell r="K1462">
            <v>29358957</v>
          </cell>
        </row>
        <row r="1463">
          <cell r="I1463">
            <v>804005072</v>
          </cell>
          <cell r="J1463" t="str">
            <v>INSTITUTO JOSE ANTONIO GALAN</v>
          </cell>
          <cell r="K1463">
            <v>112781004</v>
          </cell>
        </row>
        <row r="1464">
          <cell r="I1464">
            <v>804005073</v>
          </cell>
          <cell r="J1464" t="str">
            <v>FSE Instituto Integrado San Bernardo</v>
          </cell>
          <cell r="K1464">
            <v>111578609</v>
          </cell>
        </row>
        <row r="1465">
          <cell r="I1465">
            <v>804005153</v>
          </cell>
          <cell r="J1465" t="str">
            <v>Institución Educativa Madre del Buen Consejo</v>
          </cell>
          <cell r="K1465">
            <v>125288861</v>
          </cell>
        </row>
        <row r="1466">
          <cell r="I1466">
            <v>804005424</v>
          </cell>
          <cell r="J1466" t="str">
            <v>COLEGIO INTEGRADO LLANO GRANDE</v>
          </cell>
          <cell r="K1466">
            <v>95386383</v>
          </cell>
        </row>
        <row r="1467">
          <cell r="I1467">
            <v>804005438</v>
          </cell>
          <cell r="J1467" t="str">
            <v>COLEGIO DEPARTAMENTAL LUIS CARLOS GALAN SARMIENTO</v>
          </cell>
          <cell r="K1467">
            <v>302125536</v>
          </cell>
        </row>
        <row r="1468">
          <cell r="I1468">
            <v>804005584</v>
          </cell>
          <cell r="J1468" t="str">
            <v>FONDO DE SERVICIOS EDUCATIVOS</v>
          </cell>
          <cell r="K1468">
            <v>16089164</v>
          </cell>
        </row>
        <row r="1469">
          <cell r="I1469">
            <v>804005900</v>
          </cell>
          <cell r="J1469" t="str">
            <v>FONDO DE SERVICIOS EDUCATIVOS</v>
          </cell>
          <cell r="K1469">
            <v>54743378</v>
          </cell>
        </row>
        <row r="1470">
          <cell r="I1470">
            <v>804006104</v>
          </cell>
          <cell r="J1470" t="str">
            <v>CENTRO EDUCATIVO RURAL LA MALAÑA</v>
          </cell>
          <cell r="K1470">
            <v>8656436</v>
          </cell>
        </row>
        <row r="1471">
          <cell r="I1471">
            <v>804006308</v>
          </cell>
          <cell r="J1471" t="str">
            <v>INSTITUTO TECNICO AGROPECUARIO SANTA HELENA DEL OPON</v>
          </cell>
          <cell r="K1471">
            <v>32410972</v>
          </cell>
        </row>
        <row r="1472">
          <cell r="I1472">
            <v>804006327</v>
          </cell>
          <cell r="J1472" t="str">
            <v>COLEGIO DEPARTAMENTAL FRANCISCO SAN JUAN DE TURBAY</v>
          </cell>
          <cell r="K1472">
            <v>14404227</v>
          </cell>
        </row>
        <row r="1473">
          <cell r="I1473">
            <v>804006409</v>
          </cell>
          <cell r="J1473" t="str">
            <v>COLEGIO RURAL VIJAGUAL</v>
          </cell>
          <cell r="K1473">
            <v>65334591</v>
          </cell>
        </row>
        <row r="1474">
          <cell r="I1474">
            <v>804006430</v>
          </cell>
          <cell r="J1474" t="str">
            <v>CENTRO EDUCATIVO RURAL EL PAULON</v>
          </cell>
          <cell r="K1474">
            <v>19904759</v>
          </cell>
        </row>
        <row r="1475">
          <cell r="I1475">
            <v>804006529</v>
          </cell>
          <cell r="J1475" t="str">
            <v>COLEGIO JOSE CELESTINO MUTIS</v>
          </cell>
          <cell r="K1475">
            <v>137944615</v>
          </cell>
        </row>
        <row r="1476">
          <cell r="I1476">
            <v>804006668</v>
          </cell>
          <cell r="J1476" t="str">
            <v>FONDO DE SERVICIOS EDUCATIVOS</v>
          </cell>
          <cell r="K1476">
            <v>17383368</v>
          </cell>
        </row>
        <row r="1477">
          <cell r="I1477">
            <v>804006675</v>
          </cell>
          <cell r="J1477" t="str">
            <v>INSITUCION EDUCATIVA ORIENTE MIRAFLORES</v>
          </cell>
          <cell r="K1477">
            <v>89679876</v>
          </cell>
        </row>
        <row r="1478">
          <cell r="I1478">
            <v>804007117</v>
          </cell>
          <cell r="J1478" t="str">
            <v>FONDO DE SERVICIOS EDUCATIVOS</v>
          </cell>
          <cell r="K1478">
            <v>19292796</v>
          </cell>
        </row>
        <row r="1479">
          <cell r="I1479">
            <v>804007417</v>
          </cell>
          <cell r="J1479" t="str">
            <v>INSTITUTO NACIONAL DE PROMOCION SOCIAL</v>
          </cell>
          <cell r="K1479">
            <v>181164384</v>
          </cell>
        </row>
        <row r="1480">
          <cell r="I1480">
            <v>804007445</v>
          </cell>
          <cell r="J1480" t="str">
            <v>FONDO DE SERVICIOS EDUCATIVOS</v>
          </cell>
          <cell r="K1480">
            <v>17793556</v>
          </cell>
        </row>
        <row r="1481">
          <cell r="I1481">
            <v>804007488</v>
          </cell>
          <cell r="J1481" t="str">
            <v>COLEGIO GUILLERMO SUAREZ DIAZ</v>
          </cell>
          <cell r="K1481">
            <v>23766909</v>
          </cell>
        </row>
        <row r="1482">
          <cell r="I1482">
            <v>804007563</v>
          </cell>
          <cell r="J1482" t="str">
            <v>FONDO DE SERVICIOS EDUCATIVOS</v>
          </cell>
          <cell r="K1482">
            <v>99118951</v>
          </cell>
        </row>
        <row r="1483">
          <cell r="I1483">
            <v>804007705</v>
          </cell>
          <cell r="J1483" t="str">
            <v>ESCUELA NORMAL SUPERIOR DE PIEDECUESTA</v>
          </cell>
          <cell r="K1483">
            <v>183896062</v>
          </cell>
        </row>
        <row r="1484">
          <cell r="I1484">
            <v>804007717</v>
          </cell>
          <cell r="J1484" t="str">
            <v>CENTRO EDUCATIVO LUCHADERO</v>
          </cell>
          <cell r="K1484">
            <v>5536066</v>
          </cell>
        </row>
        <row r="1485">
          <cell r="I1485">
            <v>804007926</v>
          </cell>
          <cell r="J1485" t="str">
            <v>FONDO DE SERVICIOS EDUCATIVOS</v>
          </cell>
          <cell r="K1485">
            <v>35875601</v>
          </cell>
        </row>
        <row r="1486">
          <cell r="I1486">
            <v>804007948</v>
          </cell>
          <cell r="J1486" t="str">
            <v>INSTITUCION EDUCATIVA EL CERRO</v>
          </cell>
          <cell r="K1486">
            <v>23794464</v>
          </cell>
        </row>
        <row r="1487">
          <cell r="I1487">
            <v>804007987</v>
          </cell>
          <cell r="J1487" t="str">
            <v>INSTITUCION EDUCATIVA EL MORRO</v>
          </cell>
          <cell r="K1487">
            <v>24398527</v>
          </cell>
        </row>
        <row r="1488">
          <cell r="I1488">
            <v>804008021</v>
          </cell>
          <cell r="J1488" t="str">
            <v>INSTITUCION EDUCATIVA AGUAFRIA</v>
          </cell>
          <cell r="K1488">
            <v>34531235</v>
          </cell>
        </row>
        <row r="1489">
          <cell r="I1489">
            <v>804008055</v>
          </cell>
          <cell r="J1489" t="str">
            <v>FONDO DE SERVICIOS EDUCATIVOS</v>
          </cell>
          <cell r="K1489">
            <v>35539889</v>
          </cell>
        </row>
        <row r="1490">
          <cell r="I1490">
            <v>804008145</v>
          </cell>
          <cell r="J1490" t="str">
            <v>COLEGIO LIZCANO FLOREZ</v>
          </cell>
          <cell r="K1490">
            <v>18387737</v>
          </cell>
        </row>
        <row r="1491">
          <cell r="I1491">
            <v>804008169</v>
          </cell>
          <cell r="J1491" t="str">
            <v>FONDO DE SERVICIOS EDUCATIVOS</v>
          </cell>
          <cell r="K1491">
            <v>24993711</v>
          </cell>
        </row>
        <row r="1492">
          <cell r="I1492">
            <v>804008227</v>
          </cell>
          <cell r="J1492" t="str">
            <v>FONDO DE SERVICIOS EDUCATIVOS</v>
          </cell>
          <cell r="K1492">
            <v>98866815</v>
          </cell>
        </row>
        <row r="1493">
          <cell r="I1493">
            <v>804008281</v>
          </cell>
          <cell r="J1493" t="str">
            <v>COLEGIO LUIS CARLOS GALAN SARMIENTO</v>
          </cell>
          <cell r="K1493">
            <v>72504779</v>
          </cell>
        </row>
        <row r="1494">
          <cell r="I1494">
            <v>804008496</v>
          </cell>
          <cell r="J1494" t="str">
            <v>INSTITUTO SAN ISIDRO DE CACHIRI</v>
          </cell>
          <cell r="K1494">
            <v>11978117</v>
          </cell>
        </row>
        <row r="1495">
          <cell r="I1495">
            <v>804008580</v>
          </cell>
          <cell r="J1495" t="str">
            <v>COLEGIO AURELIO MARTINEZ MUTIS</v>
          </cell>
          <cell r="K1495">
            <v>38893152</v>
          </cell>
        </row>
        <row r="1496">
          <cell r="I1496">
            <v>804009132</v>
          </cell>
          <cell r="J1496" t="str">
            <v>COLEGIO CARLOS JULIO GARCIA</v>
          </cell>
          <cell r="K1496">
            <v>52907285</v>
          </cell>
        </row>
        <row r="1497">
          <cell r="I1497">
            <v>804009178</v>
          </cell>
          <cell r="J1497" t="str">
            <v>FONDO DE SERVICIOS EDUCATIVOS</v>
          </cell>
          <cell r="K1497">
            <v>36717099</v>
          </cell>
        </row>
        <row r="1498">
          <cell r="I1498">
            <v>804009377</v>
          </cell>
          <cell r="J1498" t="str">
            <v>INSTITUTO MIGUEL SANCHEZ HINESTROZA</v>
          </cell>
          <cell r="K1498">
            <v>55978349</v>
          </cell>
        </row>
        <row r="1499">
          <cell r="I1499">
            <v>804009541</v>
          </cell>
          <cell r="J1499" t="str">
            <v>COLEGIO INTEGRADO MONSEÑOR EVARISTO BLANCO</v>
          </cell>
          <cell r="K1499">
            <v>35229974</v>
          </cell>
        </row>
        <row r="1500">
          <cell r="I1500">
            <v>804010038</v>
          </cell>
          <cell r="J1500" t="str">
            <v>INSTITUTO TECNICO LAGUNA DE ORTICES</v>
          </cell>
          <cell r="K1500">
            <v>17934390</v>
          </cell>
        </row>
        <row r="1501">
          <cell r="I1501">
            <v>804010621</v>
          </cell>
          <cell r="J1501" t="str">
            <v>FONDO DE SERVICIOS EDUCATIVOS</v>
          </cell>
          <cell r="K1501">
            <v>51721290</v>
          </cell>
        </row>
        <row r="1502">
          <cell r="I1502">
            <v>804010823</v>
          </cell>
          <cell r="J1502" t="str">
            <v>INSITUCION EDUCATIVA GUSTAVO COTE URIBE</v>
          </cell>
          <cell r="K1502">
            <v>70505513</v>
          </cell>
        </row>
        <row r="1503">
          <cell r="I1503">
            <v>804010869</v>
          </cell>
          <cell r="J1503" t="str">
            <v>FONDO DE SERVICIOS EDUCATIVOS</v>
          </cell>
          <cell r="K1503">
            <v>22799272</v>
          </cell>
        </row>
        <row r="1504">
          <cell r="I1504">
            <v>804011354</v>
          </cell>
          <cell r="J1504" t="str">
            <v>FONDO DE SERVICIOS EDUCATIVOS</v>
          </cell>
          <cell r="K1504">
            <v>18875017</v>
          </cell>
        </row>
        <row r="1505">
          <cell r="I1505">
            <v>804011722</v>
          </cell>
          <cell r="J1505" t="str">
            <v>LICEO PATRIA</v>
          </cell>
          <cell r="K1505">
            <v>94172538</v>
          </cell>
        </row>
        <row r="1506">
          <cell r="I1506">
            <v>804012374</v>
          </cell>
          <cell r="J1506" t="str">
            <v>COLEGIO PEÑA BLANCA</v>
          </cell>
          <cell r="K1506">
            <v>21682989</v>
          </cell>
        </row>
        <row r="1507">
          <cell r="I1507">
            <v>804012548</v>
          </cell>
          <cell r="J1507" t="str">
            <v>FONDO DE SERVICIOS EDUCATIVOS</v>
          </cell>
          <cell r="K1507">
            <v>61664529</v>
          </cell>
        </row>
        <row r="1508">
          <cell r="I1508">
            <v>804012617</v>
          </cell>
          <cell r="J1508" t="str">
            <v>INSTITUTO VALLE DEL RIO DE ORO</v>
          </cell>
          <cell r="K1508">
            <v>32393782</v>
          </cell>
        </row>
        <row r="1509">
          <cell r="I1509">
            <v>804013014</v>
          </cell>
          <cell r="J1509" t="str">
            <v>INSTITUTO TECNICO SANTO TOMAS</v>
          </cell>
          <cell r="K1509">
            <v>88694070</v>
          </cell>
        </row>
        <row r="1510">
          <cell r="I1510">
            <v>804013162</v>
          </cell>
          <cell r="J1510" t="str">
            <v>INSTITUTO TECNICO ISAISAS ARDILA DIAZ</v>
          </cell>
          <cell r="K1510">
            <v>84166572</v>
          </cell>
        </row>
        <row r="1511">
          <cell r="I1511">
            <v>804013257</v>
          </cell>
          <cell r="J1511" t="str">
            <v>COLEGIO ISABEL VALVUENA CIFUENTES</v>
          </cell>
          <cell r="K1511">
            <v>73349520</v>
          </cell>
        </row>
        <row r="1512">
          <cell r="I1512">
            <v>804013876</v>
          </cell>
          <cell r="J1512" t="str">
            <v>INTITUTO TECNICO JOSE RUEDA</v>
          </cell>
          <cell r="K1512">
            <v>21221908</v>
          </cell>
        </row>
        <row r="1513">
          <cell r="I1513">
            <v>804013970</v>
          </cell>
          <cell r="J1513" t="str">
            <v>COLEGIO DELICIAS</v>
          </cell>
          <cell r="K1513">
            <v>19165612</v>
          </cell>
        </row>
        <row r="1514">
          <cell r="I1514">
            <v>804014614</v>
          </cell>
          <cell r="J1514" t="str">
            <v>COLEGIO NIEVES CORTES PICON</v>
          </cell>
          <cell r="K1514">
            <v>118813685</v>
          </cell>
        </row>
        <row r="1515">
          <cell r="I1515">
            <v>804014617</v>
          </cell>
          <cell r="J1515" t="str">
            <v>COLEGIO FACUNDO NAVAS MANTILLA</v>
          </cell>
          <cell r="K1515">
            <v>127011971</v>
          </cell>
        </row>
        <row r="1516">
          <cell r="I1516">
            <v>804014686</v>
          </cell>
          <cell r="J1516" t="str">
            <v>COLEGIO UNIVERSITARIO</v>
          </cell>
          <cell r="K1516">
            <v>140671463</v>
          </cell>
        </row>
        <row r="1517">
          <cell r="I1517">
            <v>804015197</v>
          </cell>
          <cell r="J1517" t="str">
            <v>COLEGIO ALBERTO SANTOS BUITRAGO</v>
          </cell>
          <cell r="K1517">
            <v>18812554</v>
          </cell>
        </row>
        <row r="1518">
          <cell r="I1518">
            <v>804015348</v>
          </cell>
          <cell r="J1518" t="str">
            <v>INSITUCION EDUCATIVA LA JUVENTUD FONDO DE SERVICIOS EDUCATIVOS</v>
          </cell>
          <cell r="K1518">
            <v>56100563</v>
          </cell>
        </row>
        <row r="1519">
          <cell r="I1519">
            <v>804015413</v>
          </cell>
          <cell r="J1519" t="str">
            <v>COLEGIO OFICIAL AVELINA MORENO</v>
          </cell>
          <cell r="K1519">
            <v>96899429</v>
          </cell>
        </row>
        <row r="1520">
          <cell r="I1520">
            <v>804015507</v>
          </cell>
          <cell r="J1520" t="str">
            <v>FONDO DE SERVICIOS EDUCATIVOS</v>
          </cell>
          <cell r="K1520">
            <v>30997863</v>
          </cell>
        </row>
        <row r="1521">
          <cell r="I1521">
            <v>804016016</v>
          </cell>
          <cell r="J1521" t="str">
            <v>COLEGIO SANTA ANA DE FLORES</v>
          </cell>
          <cell r="K1521">
            <v>14959816</v>
          </cell>
        </row>
        <row r="1522">
          <cell r="I1522">
            <v>804016033</v>
          </cell>
          <cell r="J1522" t="str">
            <v>COLEGIO MARIA AUXILIADORA</v>
          </cell>
          <cell r="K1522">
            <v>10307444</v>
          </cell>
        </row>
        <row r="1523">
          <cell r="I1523">
            <v>804016035</v>
          </cell>
          <cell r="J1523" t="str">
            <v>FONDO DE SERVICIOS EDUCATIVOS</v>
          </cell>
          <cell r="K1523">
            <v>11890309</v>
          </cell>
        </row>
        <row r="1524">
          <cell r="I1524">
            <v>804016113</v>
          </cell>
          <cell r="J1524" t="str">
            <v>FONDO DE SERVICIOS EDUCATIVOS</v>
          </cell>
          <cell r="K1524">
            <v>23004331</v>
          </cell>
        </row>
        <row r="1525">
          <cell r="I1525">
            <v>804016126</v>
          </cell>
          <cell r="J1525" t="str">
            <v>FONDO DE SERVICIOS EDUCATIVOS</v>
          </cell>
          <cell r="K1525">
            <v>76698491</v>
          </cell>
        </row>
        <row r="1526">
          <cell r="I1526">
            <v>804016154</v>
          </cell>
          <cell r="J1526" t="str">
            <v>FONDO DE SERVICIOS EDUCATIVOS</v>
          </cell>
          <cell r="K1526">
            <v>15564828</v>
          </cell>
        </row>
        <row r="1527">
          <cell r="I1527">
            <v>804016161</v>
          </cell>
          <cell r="J1527" t="str">
            <v>FONDO DE SERVICIOS EDUCATIVOS</v>
          </cell>
          <cell r="K1527">
            <v>53303674</v>
          </cell>
        </row>
        <row r="1528">
          <cell r="I1528">
            <v>804016175</v>
          </cell>
          <cell r="J1528" t="str">
            <v>FONDO DE SERVICIOS EDUCATIVOS</v>
          </cell>
          <cell r="K1528">
            <v>14661737</v>
          </cell>
        </row>
        <row r="1529">
          <cell r="I1529">
            <v>804016186</v>
          </cell>
          <cell r="J1529" t="str">
            <v>COLEGIO LA LLANITA</v>
          </cell>
          <cell r="K1529">
            <v>10893218</v>
          </cell>
        </row>
        <row r="1530">
          <cell r="I1530">
            <v>804016229</v>
          </cell>
          <cell r="J1530" t="str">
            <v>FONDO DE SERVICIOS EDUCATIVOS</v>
          </cell>
          <cell r="K1530">
            <v>30763130</v>
          </cell>
        </row>
        <row r="1531">
          <cell r="I1531">
            <v>804016253</v>
          </cell>
          <cell r="J1531" t="str">
            <v>FONDO DE SERVICIOS EDUCATIVOS</v>
          </cell>
          <cell r="K1531">
            <v>46146138</v>
          </cell>
        </row>
        <row r="1532">
          <cell r="I1532">
            <v>804016463</v>
          </cell>
          <cell r="J1532" t="str">
            <v>FONDO DE SERVICIOS EDUCATIVOS</v>
          </cell>
          <cell r="K1532">
            <v>10603342</v>
          </cell>
        </row>
        <row r="1533">
          <cell r="I1533">
            <v>804016464</v>
          </cell>
          <cell r="J1533" t="str">
            <v>FONDO DE SERVICIOS EDUCATIVOS</v>
          </cell>
          <cell r="K1533">
            <v>16997037</v>
          </cell>
        </row>
        <row r="1534">
          <cell r="I1534">
            <v>804016467</v>
          </cell>
          <cell r="J1534" t="str">
            <v>COLEGIO AGROECOLOGICOHOLANDA-FUNDACION ALEJANDRO GALVIS GALVIS</v>
          </cell>
          <cell r="K1534">
            <v>105207922</v>
          </cell>
        </row>
        <row r="1535">
          <cell r="I1535">
            <v>804016468</v>
          </cell>
          <cell r="J1535" t="str">
            <v>INSTITUTO DEL ORIENTE</v>
          </cell>
          <cell r="K1535">
            <v>67235560</v>
          </cell>
        </row>
        <row r="1536">
          <cell r="I1536">
            <v>804016809</v>
          </cell>
          <cell r="J1536" t="str">
            <v>Centro de Comercio</v>
          </cell>
          <cell r="K1536">
            <v>237579487</v>
          </cell>
        </row>
        <row r="1537">
          <cell r="I1537">
            <v>804016885</v>
          </cell>
          <cell r="J1537" t="str">
            <v>COLEGIO AGROINDUSTRIAL DE PUERTO NUEVO</v>
          </cell>
          <cell r="K1537">
            <v>28445408</v>
          </cell>
        </row>
        <row r="1538">
          <cell r="I1538">
            <v>804017297</v>
          </cell>
          <cell r="J1538" t="str">
            <v>CENTRO EDUCATIVO VERDIN</v>
          </cell>
          <cell r="K1538">
            <v>8681145</v>
          </cell>
        </row>
        <row r="1539">
          <cell r="I1539">
            <v>804017298</v>
          </cell>
          <cell r="J1539" t="str">
            <v>INSTITUCION EDUCATIVA EL PORVENIR</v>
          </cell>
          <cell r="K1539">
            <v>13214120</v>
          </cell>
        </row>
        <row r="1540">
          <cell r="I1540">
            <v>804017299</v>
          </cell>
          <cell r="J1540" t="str">
            <v>INSTITUCION EDUCATIVA CHAPALA</v>
          </cell>
          <cell r="K1540">
            <v>33939153</v>
          </cell>
        </row>
        <row r="1541">
          <cell r="I1541">
            <v>804017300</v>
          </cell>
          <cell r="J1541" t="str">
            <v>INSTITUCION EDUCATIVA SAN JUAN BOSCO</v>
          </cell>
          <cell r="K1541">
            <v>24903366</v>
          </cell>
        </row>
        <row r="1542">
          <cell r="I1542">
            <v>804017311</v>
          </cell>
          <cell r="J1542" t="str">
            <v>FONDO DE SERVICIOS EDUCATIVOS</v>
          </cell>
          <cell r="K1542">
            <v>22298519</v>
          </cell>
        </row>
        <row r="1543">
          <cell r="I1543">
            <v>804017328</v>
          </cell>
          <cell r="J1543" t="str">
            <v>CENTRO EDUCATIVO FALTRIQUERA-SANTANDER</v>
          </cell>
          <cell r="K1543">
            <v>41639313</v>
          </cell>
        </row>
        <row r="1544">
          <cell r="I1544">
            <v>804017335</v>
          </cell>
          <cell r="J1544" t="str">
            <v>INSTITUCION EDUCATIVA SAN FRANCISCO</v>
          </cell>
          <cell r="K1544">
            <v>51008547</v>
          </cell>
        </row>
        <row r="1545">
          <cell r="I1545">
            <v>804017346</v>
          </cell>
          <cell r="J1545" t="str">
            <v>CENTRO EDUCATIVO POZO AZUL</v>
          </cell>
          <cell r="K1545">
            <v>13827674</v>
          </cell>
        </row>
        <row r="1546">
          <cell r="I1546">
            <v>804017375</v>
          </cell>
          <cell r="J1546" t="str">
            <v>FONDO DE SERVICIOS EDUCATIVOS</v>
          </cell>
          <cell r="K1546">
            <v>21970766</v>
          </cell>
        </row>
        <row r="1547">
          <cell r="I1547">
            <v>804017376</v>
          </cell>
          <cell r="J1547" t="str">
            <v>FONDO DE SERVICIOS EDUCATIVOS</v>
          </cell>
          <cell r="K1547">
            <v>15080482</v>
          </cell>
        </row>
        <row r="1548">
          <cell r="I1548">
            <v>804017377</v>
          </cell>
          <cell r="J1548" t="str">
            <v>CENTRO EDUCATIVO LA CARRERA</v>
          </cell>
          <cell r="K1548">
            <v>19643415</v>
          </cell>
        </row>
        <row r="1549">
          <cell r="I1549">
            <v>804017379</v>
          </cell>
          <cell r="J1549" t="str">
            <v>CENTRO EDUCATIVO CAUCHOS</v>
          </cell>
          <cell r="K1549">
            <v>18213928</v>
          </cell>
        </row>
        <row r="1550">
          <cell r="I1550">
            <v>804017380</v>
          </cell>
          <cell r="J1550" t="str">
            <v>FONDO DE SERVICIOS EDUCATIVOS</v>
          </cell>
          <cell r="K1550">
            <v>14685516</v>
          </cell>
        </row>
        <row r="1551">
          <cell r="I1551">
            <v>804017381</v>
          </cell>
          <cell r="J1551" t="str">
            <v>CENTRO EDUCATIVO PITIGUAO</v>
          </cell>
          <cell r="K1551">
            <v>28372731</v>
          </cell>
        </row>
        <row r="1552">
          <cell r="I1552">
            <v>804017386</v>
          </cell>
          <cell r="J1552" t="str">
            <v>FONDO DE SERVICIOS EDUCATIVOS</v>
          </cell>
          <cell r="K1552">
            <v>19079878</v>
          </cell>
        </row>
        <row r="1553">
          <cell r="I1553">
            <v>804017388</v>
          </cell>
          <cell r="J1553" t="str">
            <v>FONDO DE SERVICIOS EDUCATIVOS</v>
          </cell>
          <cell r="K1553">
            <v>26571376</v>
          </cell>
        </row>
        <row r="1554">
          <cell r="I1554">
            <v>804017409</v>
          </cell>
          <cell r="J1554" t="str">
            <v>FONDO DE SERVICIOS EDUCATIVOS</v>
          </cell>
          <cell r="K1554">
            <v>24502749</v>
          </cell>
        </row>
        <row r="1555">
          <cell r="I1555">
            <v>804017413</v>
          </cell>
          <cell r="J1555" t="str">
            <v>FSE Instituto Comunitario Minca</v>
          </cell>
          <cell r="K1555">
            <v>76221654</v>
          </cell>
        </row>
        <row r="1556">
          <cell r="I1556">
            <v>804017424</v>
          </cell>
          <cell r="J1556" t="str">
            <v>FONDO DE SERVICIOS EDUCATIVOS</v>
          </cell>
          <cell r="K1556">
            <v>16655621</v>
          </cell>
        </row>
        <row r="1557">
          <cell r="I1557">
            <v>804017443</v>
          </cell>
          <cell r="J1557" t="str">
            <v>CENTRO EDUCATIVO LOS CUROS</v>
          </cell>
          <cell r="K1557">
            <v>39772756</v>
          </cell>
        </row>
        <row r="1558">
          <cell r="I1558">
            <v>804017444</v>
          </cell>
          <cell r="J1558" t="str">
            <v>CENTRO EDUCATIVO LA VEGA</v>
          </cell>
          <cell r="K1558">
            <v>21091407</v>
          </cell>
        </row>
        <row r="1559">
          <cell r="I1559">
            <v>804017477</v>
          </cell>
          <cell r="J1559" t="str">
            <v>FONDO DE SERVICIOS EDUCATIVOS</v>
          </cell>
          <cell r="K1559">
            <v>15813138</v>
          </cell>
        </row>
        <row r="1560">
          <cell r="I1560">
            <v>804017478</v>
          </cell>
          <cell r="J1560" t="str">
            <v>CENTRO EDUCATIVO LAS PUENTES</v>
          </cell>
          <cell r="K1560">
            <v>15355624</v>
          </cell>
        </row>
        <row r="1561">
          <cell r="I1561">
            <v>804017479</v>
          </cell>
          <cell r="J1561" t="str">
            <v>CENTRO EDUCATIVO LA PLAZUELA</v>
          </cell>
          <cell r="K1561">
            <v>11161240</v>
          </cell>
        </row>
        <row r="1562">
          <cell r="I1562">
            <v>804017480</v>
          </cell>
          <cell r="J1562" t="str">
            <v>FONDO DE SERVICIOS EDUCATIVOS</v>
          </cell>
          <cell r="K1562">
            <v>58476117</v>
          </cell>
        </row>
        <row r="1563">
          <cell r="I1563">
            <v>804017482</v>
          </cell>
          <cell r="J1563" t="str">
            <v>FONDO DE SERVICIOS EDUCATIVOS</v>
          </cell>
          <cell r="K1563">
            <v>16257431</v>
          </cell>
        </row>
        <row r="1564">
          <cell r="I1564">
            <v>804017490</v>
          </cell>
          <cell r="J1564" t="str">
            <v>FONDO DE SERVICIOS EDUCATIVOS</v>
          </cell>
          <cell r="K1564">
            <v>16911336</v>
          </cell>
        </row>
        <row r="1565">
          <cell r="I1565">
            <v>804017527</v>
          </cell>
          <cell r="J1565" t="str">
            <v>FONDO DE SERVICIOS EDUCATIVOS</v>
          </cell>
          <cell r="K1565">
            <v>24940184</v>
          </cell>
        </row>
        <row r="1566">
          <cell r="I1566">
            <v>804017533</v>
          </cell>
          <cell r="J1566" t="str">
            <v>CENTRO EDUACATIVO SAN JOSE</v>
          </cell>
          <cell r="K1566">
            <v>29907414</v>
          </cell>
        </row>
        <row r="1567">
          <cell r="I1567">
            <v>804017537</v>
          </cell>
          <cell r="J1567" t="str">
            <v>CENTRO EDUCATIVO EL PORTICO</v>
          </cell>
          <cell r="K1567">
            <v>33882925</v>
          </cell>
        </row>
        <row r="1568">
          <cell r="I1568">
            <v>804017563</v>
          </cell>
          <cell r="J1568" t="str">
            <v>FONDO DE SERVICIOS EDUCATIVOS</v>
          </cell>
          <cell r="K1568">
            <v>41462598</v>
          </cell>
        </row>
        <row r="1569">
          <cell r="I1569">
            <v>804017571</v>
          </cell>
          <cell r="J1569" t="str">
            <v>COLEGIO JOSE ANTONIO BELTRAN</v>
          </cell>
          <cell r="K1569">
            <v>26437089</v>
          </cell>
        </row>
        <row r="1570">
          <cell r="I1570">
            <v>804017609</v>
          </cell>
          <cell r="J1570" t="str">
            <v>FONDO DE SERVICIOS EDUCATIVOS</v>
          </cell>
          <cell r="K1570">
            <v>13649428</v>
          </cell>
        </row>
        <row r="1571">
          <cell r="I1571">
            <v>804017666</v>
          </cell>
          <cell r="J1571" t="str">
            <v>FONDO DE SERVICIOS EDUCATIVOS</v>
          </cell>
          <cell r="K1571">
            <v>23697287</v>
          </cell>
        </row>
        <row r="1572">
          <cell r="I1572">
            <v>804017667</v>
          </cell>
          <cell r="J1572" t="str">
            <v>FONDO DE SERVICIOS EDUCATIVOS</v>
          </cell>
          <cell r="K1572">
            <v>13725281</v>
          </cell>
        </row>
        <row r="1573">
          <cell r="I1573">
            <v>804017691</v>
          </cell>
          <cell r="J1573" t="str">
            <v>FONDO DE SERVICIOS EDUCATIVOS</v>
          </cell>
          <cell r="K1573">
            <v>11908752</v>
          </cell>
        </row>
        <row r="1574">
          <cell r="I1574">
            <v>804017701</v>
          </cell>
          <cell r="J1574" t="str">
            <v>FONDO DE SERVICIOS EDUCATIVOS</v>
          </cell>
          <cell r="K1574">
            <v>24231655</v>
          </cell>
        </row>
        <row r="1575">
          <cell r="I1575">
            <v>804017702</v>
          </cell>
          <cell r="J1575" t="str">
            <v>FONDO DE SERVICIOS EDUCATIVOS</v>
          </cell>
          <cell r="K1575">
            <v>46714104</v>
          </cell>
        </row>
        <row r="1576">
          <cell r="I1576">
            <v>804017724</v>
          </cell>
          <cell r="J1576" t="str">
            <v>FONDO DE SERVICIOS EDUCATIVOS</v>
          </cell>
          <cell r="K1576">
            <v>16044252</v>
          </cell>
        </row>
        <row r="1577">
          <cell r="I1577">
            <v>804017725</v>
          </cell>
          <cell r="J1577" t="str">
            <v>FONDO DE SERVICIOS EDUCATIVOS</v>
          </cell>
          <cell r="K1577">
            <v>24281757</v>
          </cell>
        </row>
        <row r="1578">
          <cell r="I1578">
            <v>804017733</v>
          </cell>
          <cell r="J1578" t="str">
            <v>FONDO DE SERVICIOS EDUCATIVOS</v>
          </cell>
          <cell r="K1578">
            <v>22953929</v>
          </cell>
        </row>
        <row r="1579">
          <cell r="I1579">
            <v>804017734</v>
          </cell>
          <cell r="J1579" t="str">
            <v>FONDO DE SERVICIOS EDUCATIVOS</v>
          </cell>
          <cell r="K1579">
            <v>30725938</v>
          </cell>
        </row>
        <row r="1580">
          <cell r="I1580">
            <v>804017735</v>
          </cell>
          <cell r="J1580" t="str">
            <v>FONDO DE SERVICIOS EDUCATIVOS</v>
          </cell>
          <cell r="K1580">
            <v>26527508</v>
          </cell>
        </row>
        <row r="1581">
          <cell r="I1581">
            <v>804017736</v>
          </cell>
          <cell r="J1581" t="str">
            <v>FONDO DE SERVICIOS EDUCATIVOS</v>
          </cell>
          <cell r="K1581">
            <v>19846827</v>
          </cell>
        </row>
        <row r="1582">
          <cell r="I1582">
            <v>804017766</v>
          </cell>
          <cell r="J1582" t="str">
            <v>INSTITUCION EDUCATIVA LAGUNITAS</v>
          </cell>
          <cell r="K1582">
            <v>15745235</v>
          </cell>
        </row>
        <row r="1583">
          <cell r="I1583">
            <v>804017767</v>
          </cell>
          <cell r="J1583" t="str">
            <v>FONDO DE SERVICIOS EDUCATIVOS</v>
          </cell>
          <cell r="K1583">
            <v>18211691</v>
          </cell>
        </row>
        <row r="1584">
          <cell r="I1584">
            <v>804017768</v>
          </cell>
          <cell r="J1584" t="str">
            <v>FONDO DE SERVICIOS EDUCATIVOS</v>
          </cell>
          <cell r="K1584">
            <v>18160650</v>
          </cell>
        </row>
        <row r="1585">
          <cell r="I1585">
            <v>804017784</v>
          </cell>
          <cell r="J1585" t="str">
            <v>INSTITUCION EDUCATIVA EL GUAMO</v>
          </cell>
          <cell r="K1585">
            <v>29895148</v>
          </cell>
        </row>
        <row r="1586">
          <cell r="I1586">
            <v>804017794</v>
          </cell>
          <cell r="J1586" t="str">
            <v>FONDO DE SERVICIOS EDUCATIVOS</v>
          </cell>
          <cell r="K1586">
            <v>20124204</v>
          </cell>
        </row>
        <row r="1587">
          <cell r="I1587">
            <v>804017819</v>
          </cell>
          <cell r="J1587" t="str">
            <v>FONDO DE SERVICIOS EDUCATIVOS</v>
          </cell>
          <cell r="K1587">
            <v>36354353</v>
          </cell>
        </row>
        <row r="1588">
          <cell r="I1588">
            <v>804017820</v>
          </cell>
          <cell r="J1588" t="str">
            <v>INSTITUCION EDUCATIVA CABRERITA</v>
          </cell>
          <cell r="K1588">
            <v>11034246</v>
          </cell>
        </row>
        <row r="1589">
          <cell r="I1589">
            <v>804017821</v>
          </cell>
          <cell r="J1589" t="str">
            <v>INSTITUCION EDUCATIVA EL ESPINAL</v>
          </cell>
          <cell r="K1589">
            <v>15103231</v>
          </cell>
        </row>
        <row r="1590">
          <cell r="I1590">
            <v>804017842</v>
          </cell>
          <cell r="J1590" t="str">
            <v>FONDO DE SERVICIOS EDUCATIVOS</v>
          </cell>
          <cell r="K1590">
            <v>12669871</v>
          </cell>
        </row>
        <row r="1591">
          <cell r="I1591">
            <v>804017845</v>
          </cell>
          <cell r="J1591" t="str">
            <v>FONDO DE SERVICIOS EDUCATIVOS</v>
          </cell>
          <cell r="K1591">
            <v>10887111</v>
          </cell>
        </row>
        <row r="1592">
          <cell r="I1592">
            <v>804017846</v>
          </cell>
          <cell r="J1592" t="str">
            <v>CENTRO EDUCATIVO ARALES</v>
          </cell>
          <cell r="K1592">
            <v>22269152</v>
          </cell>
        </row>
        <row r="1593">
          <cell r="I1593">
            <v>804017889</v>
          </cell>
          <cell r="J1593" t="str">
            <v>CENTRO EDUCATIVO RURAL BOSCONI</v>
          </cell>
          <cell r="K1593">
            <v>36809375</v>
          </cell>
        </row>
        <row r="1594">
          <cell r="I1594">
            <v>804017914</v>
          </cell>
          <cell r="J1594" t="str">
            <v>FONDO DE SERVICIOS EDUCATIVOS</v>
          </cell>
          <cell r="K1594">
            <v>28011449</v>
          </cell>
        </row>
        <row r="1595">
          <cell r="I1595">
            <v>804017946</v>
          </cell>
          <cell r="J1595" t="str">
            <v>FONDO DE SERVICIOS EDUCATIVOS</v>
          </cell>
          <cell r="K1595">
            <v>9255903</v>
          </cell>
        </row>
        <row r="1596">
          <cell r="I1596">
            <v>804017953</v>
          </cell>
          <cell r="J1596" t="str">
            <v>INSTITUCION EDUCATIVA SAN PEDRO FONDO DE SERVICIOS EDUCATIVOS</v>
          </cell>
          <cell r="K1596">
            <v>22316589</v>
          </cell>
        </row>
        <row r="1597">
          <cell r="I1597">
            <v>804017954</v>
          </cell>
          <cell r="J1597" t="str">
            <v>FONDO DE SERVICIOS EDUCATIVOS</v>
          </cell>
          <cell r="K1597">
            <v>22194384</v>
          </cell>
        </row>
        <row r="1598">
          <cell r="I1598">
            <v>804017977</v>
          </cell>
          <cell r="J1598" t="str">
            <v>FONDO DE SERVICIOS EDUCATIVOS</v>
          </cell>
          <cell r="K1598">
            <v>20247996</v>
          </cell>
        </row>
        <row r="1599">
          <cell r="I1599">
            <v>804017994</v>
          </cell>
          <cell r="J1599" t="str">
            <v>FONDO DE SERVICIOS EDUCATIVOS</v>
          </cell>
          <cell r="K1599">
            <v>37908634</v>
          </cell>
        </row>
        <row r="1600">
          <cell r="I1600">
            <v>805000057</v>
          </cell>
          <cell r="J1600" t="str">
            <v>INSTITUCION EDUCATIVA ALFONSO LOPEZ PUMAREJO</v>
          </cell>
          <cell r="K1600">
            <v>93207792</v>
          </cell>
        </row>
        <row r="1601">
          <cell r="I1601">
            <v>805000081</v>
          </cell>
          <cell r="J1601" t="str">
            <v>INSTITUCION EDUCATIVA SIMON BOLIVAR</v>
          </cell>
          <cell r="K1601">
            <v>75933094</v>
          </cell>
        </row>
        <row r="1602">
          <cell r="I1602">
            <v>805001261</v>
          </cell>
          <cell r="J1602" t="str">
            <v>I.E. Monseñor Ramon Arcila</v>
          </cell>
          <cell r="K1602">
            <v>186468558</v>
          </cell>
        </row>
        <row r="1603">
          <cell r="I1603">
            <v>805001471</v>
          </cell>
          <cell r="J1603" t="str">
            <v>I.E CIUDAD MODELO</v>
          </cell>
          <cell r="K1603">
            <v>130703317</v>
          </cell>
        </row>
        <row r="1604">
          <cell r="I1604">
            <v>805002051</v>
          </cell>
          <cell r="J1604" t="str">
            <v>I.E. Eustaquio Palacios</v>
          </cell>
          <cell r="K1604">
            <v>333624105</v>
          </cell>
        </row>
        <row r="1605">
          <cell r="I1605">
            <v>805003700</v>
          </cell>
          <cell r="J1605" t="str">
            <v>I.E. Villa del Sur</v>
          </cell>
          <cell r="K1605">
            <v>141284264</v>
          </cell>
        </row>
        <row r="1606">
          <cell r="I1606">
            <v>805006757</v>
          </cell>
          <cell r="J1606" t="str">
            <v>INSTITUCION EDUCATIVA  GIMNASIO DEL CALIMA</v>
          </cell>
          <cell r="K1606">
            <v>123708006</v>
          </cell>
        </row>
        <row r="1607">
          <cell r="I1607">
            <v>805008343</v>
          </cell>
          <cell r="J1607" t="str">
            <v>I.E. Ieti comuna 17</v>
          </cell>
          <cell r="K1607">
            <v>115152829</v>
          </cell>
        </row>
        <row r="1608">
          <cell r="I1608">
            <v>805008886</v>
          </cell>
          <cell r="J1608" t="str">
            <v>I.E  Veinte de Julio</v>
          </cell>
          <cell r="K1608">
            <v>96176033</v>
          </cell>
        </row>
        <row r="1609">
          <cell r="I1609">
            <v>805009185</v>
          </cell>
          <cell r="J1609" t="str">
            <v>Cristobal Colon</v>
          </cell>
          <cell r="K1609">
            <v>117912787</v>
          </cell>
        </row>
        <row r="1610">
          <cell r="I1610">
            <v>805009275</v>
          </cell>
          <cell r="J1610" t="str">
            <v>I.E. Ciudadela desepaz</v>
          </cell>
          <cell r="K1610">
            <v>91915278</v>
          </cell>
        </row>
        <row r="1611">
          <cell r="I1611">
            <v>805009326</v>
          </cell>
          <cell r="J1611" t="str">
            <v>Fondo de Servicios Educativos</v>
          </cell>
          <cell r="K1611">
            <v>218383834</v>
          </cell>
        </row>
        <row r="1612">
          <cell r="I1612">
            <v>805009344</v>
          </cell>
          <cell r="J1612" t="str">
            <v>I.E Santa Rosa</v>
          </cell>
          <cell r="K1612">
            <v>113611626</v>
          </cell>
        </row>
        <row r="1613">
          <cell r="I1613">
            <v>805009385</v>
          </cell>
          <cell r="J1613" t="str">
            <v>I.E Juan de Ampudia</v>
          </cell>
          <cell r="K1613">
            <v>126910374</v>
          </cell>
        </row>
        <row r="1614">
          <cell r="I1614">
            <v>805009441</v>
          </cell>
          <cell r="J1614" t="str">
            <v>I.E Evaristo Garcia</v>
          </cell>
          <cell r="K1614">
            <v>83376317</v>
          </cell>
        </row>
        <row r="1615">
          <cell r="I1615">
            <v>805009457</v>
          </cell>
          <cell r="J1615" t="str">
            <v>I.E. Julio Caicedo y Tellez</v>
          </cell>
          <cell r="K1615">
            <v>135097260</v>
          </cell>
        </row>
        <row r="1616">
          <cell r="I1616">
            <v>805009466</v>
          </cell>
          <cell r="J1616" t="str">
            <v>Fondo Docentes Isaias Gamboa</v>
          </cell>
          <cell r="K1616">
            <v>137363442</v>
          </cell>
        </row>
        <row r="1617">
          <cell r="I1617">
            <v>805009471</v>
          </cell>
          <cell r="J1617" t="str">
            <v>I.E SANTO TOMAS</v>
          </cell>
          <cell r="K1617">
            <v>99470590</v>
          </cell>
        </row>
        <row r="1618">
          <cell r="I1618">
            <v>805009497</v>
          </cell>
          <cell r="J1618" t="str">
            <v>I.E. Jose Antonio Galan</v>
          </cell>
          <cell r="K1618">
            <v>58299053</v>
          </cell>
        </row>
        <row r="1619">
          <cell r="I1619">
            <v>805009504</v>
          </cell>
          <cell r="J1619" t="str">
            <v>Fondo de Servicios Educativos</v>
          </cell>
          <cell r="K1619">
            <v>137404139</v>
          </cell>
        </row>
        <row r="1620">
          <cell r="I1620">
            <v>805009520</v>
          </cell>
          <cell r="J1620" t="str">
            <v>I.E. San Juan Bautista de la Salle</v>
          </cell>
          <cell r="K1620">
            <v>47334330</v>
          </cell>
        </row>
        <row r="1621">
          <cell r="I1621">
            <v>805009606</v>
          </cell>
          <cell r="J1621" t="str">
            <v>I.E.Celmira bueno de Orejuela</v>
          </cell>
          <cell r="K1621">
            <v>156476125</v>
          </cell>
        </row>
        <row r="1622">
          <cell r="I1622">
            <v>805009658</v>
          </cell>
          <cell r="J1622" t="str">
            <v>I.E. Luis Fernando Caicedo</v>
          </cell>
          <cell r="K1622">
            <v>35633855</v>
          </cell>
        </row>
        <row r="1623">
          <cell r="I1623">
            <v>805009697</v>
          </cell>
          <cell r="J1623" t="str">
            <v>I.E. Jesus Villafañe Franco</v>
          </cell>
          <cell r="K1623">
            <v>75196595</v>
          </cell>
        </row>
        <row r="1624">
          <cell r="I1624">
            <v>805009779</v>
          </cell>
          <cell r="J1624" t="str">
            <v>I.E. Juana de Caicedo y Cuero</v>
          </cell>
          <cell r="K1624">
            <v>147894652</v>
          </cell>
        </row>
        <row r="1625">
          <cell r="I1625">
            <v>805009781</v>
          </cell>
          <cell r="J1625" t="str">
            <v>I.E. Eva Riascos Plata</v>
          </cell>
          <cell r="K1625">
            <v>81675476</v>
          </cell>
        </row>
        <row r="1626">
          <cell r="I1626">
            <v>805009827</v>
          </cell>
          <cell r="J1626" t="str">
            <v>INSTITUCION EDUCATIVA JOSE MARIA CORDOBA</v>
          </cell>
          <cell r="K1626">
            <v>157289652</v>
          </cell>
        </row>
        <row r="1627">
          <cell r="I1627">
            <v>805009830</v>
          </cell>
          <cell r="J1627" t="str">
            <v>INSTITUCION EDUCATIVA TITAN</v>
          </cell>
          <cell r="K1627">
            <v>110219320</v>
          </cell>
        </row>
        <row r="1628">
          <cell r="I1628">
            <v>805009883</v>
          </cell>
          <cell r="J1628" t="str">
            <v>I.E. Pichinde</v>
          </cell>
          <cell r="K1628">
            <v>26516522</v>
          </cell>
        </row>
        <row r="1629">
          <cell r="I1629">
            <v>805009886</v>
          </cell>
          <cell r="J1629" t="str">
            <v xml:space="preserve">INSTITUCION EDUCATIVA ANTONIA SANTOS </v>
          </cell>
          <cell r="K1629">
            <v>115734443</v>
          </cell>
        </row>
        <row r="1630">
          <cell r="I1630">
            <v>805010111</v>
          </cell>
          <cell r="J1630" t="str">
            <v>I.E. Villacarmelo</v>
          </cell>
          <cell r="K1630">
            <v>43195288</v>
          </cell>
        </row>
        <row r="1631">
          <cell r="I1631">
            <v>805010861</v>
          </cell>
          <cell r="J1631" t="str">
            <v>FONDO DE SERVICIOS DOCENTES ROSA ZARATE DE PEÑA</v>
          </cell>
          <cell r="K1631">
            <v>43730023</v>
          </cell>
        </row>
        <row r="1632">
          <cell r="I1632">
            <v>805010862</v>
          </cell>
          <cell r="J1632" t="str">
            <v>IE JOSE ANTONIO GALAN</v>
          </cell>
          <cell r="K1632">
            <v>58462747</v>
          </cell>
        </row>
        <row r="1633">
          <cell r="I1633">
            <v>805011605</v>
          </cell>
          <cell r="J1633" t="str">
            <v>FONDO DE SERVICIO DOCENTE</v>
          </cell>
          <cell r="K1633">
            <v>42090129</v>
          </cell>
        </row>
        <row r="1634">
          <cell r="I1634">
            <v>805011696</v>
          </cell>
          <cell r="J1634" t="str">
            <v>EL FONDO DE SERVICIO DOCENTE ROSA LIA MAFLA</v>
          </cell>
          <cell r="K1634">
            <v>174643380</v>
          </cell>
        </row>
        <row r="1635">
          <cell r="I1635">
            <v>805011810</v>
          </cell>
          <cell r="J1635" t="str">
            <v>INSTITUCION EDUCATIVA SIXTO MARIA ROJAS</v>
          </cell>
          <cell r="K1635">
            <v>58962539</v>
          </cell>
        </row>
        <row r="1636">
          <cell r="I1636">
            <v>805012781</v>
          </cell>
          <cell r="J1636" t="str">
            <v>INSTITUCION EDUCATIVA SANTA TERESITA DEL NIÑO JESUS</v>
          </cell>
          <cell r="K1636">
            <v>46456723</v>
          </cell>
        </row>
        <row r="1637">
          <cell r="I1637">
            <v>805013410</v>
          </cell>
          <cell r="J1637" t="str">
            <v>INSTITUCION EDUCATIVA SIMON BOLIVAR</v>
          </cell>
          <cell r="K1637">
            <v>125181189</v>
          </cell>
        </row>
        <row r="1638">
          <cell r="I1638">
            <v>805013479</v>
          </cell>
          <cell r="J1638" t="str">
            <v>INS EDU GENERAL PADILLA</v>
          </cell>
          <cell r="K1638">
            <v>28675095</v>
          </cell>
        </row>
        <row r="1639">
          <cell r="I1639">
            <v>805013498</v>
          </cell>
          <cell r="J1639" t="str">
            <v>CENTRO DOCENTE No. 12 JOSEMARIA CORDOBA</v>
          </cell>
          <cell r="K1639">
            <v>72174637</v>
          </cell>
        </row>
        <row r="1640">
          <cell r="I1640">
            <v>805014041</v>
          </cell>
          <cell r="J1640" t="str">
            <v>IE LEONOR LOURIDO DE VELASCO</v>
          </cell>
          <cell r="K1640">
            <v>48862846</v>
          </cell>
        </row>
        <row r="1641">
          <cell r="I1641">
            <v>805015675</v>
          </cell>
          <cell r="J1641" t="str">
            <v>INSTITUCION EDUCATIVA CAMILO TORRES</v>
          </cell>
          <cell r="K1641">
            <v>53857450</v>
          </cell>
        </row>
        <row r="1642">
          <cell r="I1642">
            <v>805016152</v>
          </cell>
          <cell r="J1642" t="str">
            <v>INSTITUCION EDUCATIVA MIGUEL ANTONIO CARO</v>
          </cell>
          <cell r="K1642">
            <v>13806521</v>
          </cell>
        </row>
        <row r="1643">
          <cell r="I1643">
            <v>805016404</v>
          </cell>
          <cell r="J1643" t="str">
            <v>I.E.Multiproposito</v>
          </cell>
          <cell r="K1643">
            <v>156775669</v>
          </cell>
        </row>
        <row r="1644">
          <cell r="I1644">
            <v>805016602</v>
          </cell>
          <cell r="J1644" t="str">
            <v>INSTITUCION EDUCATIVA ALFREDO BONILLA MONTAÑO</v>
          </cell>
          <cell r="K1644">
            <v>176605118</v>
          </cell>
        </row>
        <row r="1645">
          <cell r="I1645">
            <v>805018133</v>
          </cell>
          <cell r="J1645" t="str">
            <v>INSTITUCION EDUCATIVA ANTONIO JOSE DE SUCRE</v>
          </cell>
          <cell r="K1645">
            <v>38666142</v>
          </cell>
        </row>
        <row r="1646">
          <cell r="I1646">
            <v>805018753</v>
          </cell>
          <cell r="J1646" t="str">
            <v>INSTITUCION EDUCATIVA SAN ANTONIO</v>
          </cell>
          <cell r="K1646">
            <v>28162695</v>
          </cell>
        </row>
        <row r="1647">
          <cell r="I1647">
            <v>805021344</v>
          </cell>
          <cell r="J1647" t="str">
            <v>INSTITUCION EDUCATIVA LUIS CARLOS VALENCIA</v>
          </cell>
          <cell r="K1647">
            <v>53437415</v>
          </cell>
        </row>
        <row r="1648">
          <cell r="I1648">
            <v>805021853</v>
          </cell>
          <cell r="J1648" t="str">
            <v>IE GENERAL SANTANDER</v>
          </cell>
          <cell r="K1648">
            <v>21718744</v>
          </cell>
        </row>
        <row r="1649">
          <cell r="I1649">
            <v>805022382</v>
          </cell>
          <cell r="J1649" t="str">
            <v>INSTITUCION EDUCATIVA GENERAL SANTANDER</v>
          </cell>
          <cell r="K1649">
            <v>57360021</v>
          </cell>
        </row>
        <row r="1650">
          <cell r="I1650">
            <v>805023163</v>
          </cell>
          <cell r="J1650" t="str">
            <v>INSTITUCION EDUCATIVA FRANCISCO DE PAULA STDER</v>
          </cell>
          <cell r="K1650">
            <v>53281549</v>
          </cell>
        </row>
        <row r="1651">
          <cell r="I1651">
            <v>805023443</v>
          </cell>
          <cell r="J1651" t="str">
            <v>FONDOS ESPECIALES COLEGIO MIXTO JORGE ROBLEDO</v>
          </cell>
          <cell r="K1651">
            <v>90600739</v>
          </cell>
        </row>
        <row r="1652">
          <cell r="I1652">
            <v>805023700</v>
          </cell>
          <cell r="J1652" t="str">
            <v>INSTITUCION EDUCATIVA JUAN XXIII</v>
          </cell>
          <cell r="K1652">
            <v>106904686</v>
          </cell>
        </row>
        <row r="1653">
          <cell r="I1653">
            <v>805025499</v>
          </cell>
          <cell r="J1653" t="str">
            <v>I. E. la Anunciación</v>
          </cell>
          <cell r="K1653">
            <v>149500245</v>
          </cell>
        </row>
        <row r="1654">
          <cell r="I1654">
            <v>805025549</v>
          </cell>
          <cell r="J1654" t="str">
            <v>INSTITUCION EDUCATIVA LA PAZ</v>
          </cell>
          <cell r="K1654">
            <v>24175502</v>
          </cell>
        </row>
        <row r="1655">
          <cell r="I1655">
            <v>805025610</v>
          </cell>
          <cell r="J1655" t="str">
            <v>I.E. Pance</v>
          </cell>
          <cell r="K1655">
            <v>33417360</v>
          </cell>
        </row>
        <row r="1656">
          <cell r="I1656">
            <v>805025806</v>
          </cell>
          <cell r="J1656" t="str">
            <v>I.E. Boyaca</v>
          </cell>
          <cell r="K1656">
            <v>70897504</v>
          </cell>
        </row>
        <row r="1657">
          <cell r="I1657">
            <v>805025854</v>
          </cell>
          <cell r="J1657" t="str">
            <v>I.E. Villacolombia</v>
          </cell>
          <cell r="K1657">
            <v>101341544</v>
          </cell>
        </row>
        <row r="1658">
          <cell r="I1658">
            <v>805025937</v>
          </cell>
          <cell r="J1658" t="str">
            <v>I.E. Rodrigo Lloreda Caicedo</v>
          </cell>
          <cell r="K1658">
            <v>139387644</v>
          </cell>
        </row>
        <row r="1659">
          <cell r="I1659">
            <v>805025963</v>
          </cell>
          <cell r="J1659" t="str">
            <v>I.E. Montebello</v>
          </cell>
          <cell r="K1659">
            <v>117564230</v>
          </cell>
        </row>
        <row r="1660">
          <cell r="I1660">
            <v>805026204</v>
          </cell>
          <cell r="J1660" t="str">
            <v>Tecnico Comercial Juan XIII</v>
          </cell>
          <cell r="K1660">
            <v>133192118</v>
          </cell>
        </row>
        <row r="1661">
          <cell r="I1661">
            <v>805026269</v>
          </cell>
          <cell r="J1661" t="str">
            <v>I.E. Tecnica Simón Rodriguez</v>
          </cell>
          <cell r="K1661">
            <v>135902144</v>
          </cell>
        </row>
        <row r="1662">
          <cell r="I1662">
            <v>805026271</v>
          </cell>
          <cell r="J1662" t="str">
            <v>I.E Bartolome Lobo Guerrero</v>
          </cell>
          <cell r="K1662">
            <v>147369791</v>
          </cell>
        </row>
        <row r="1663">
          <cell r="I1663">
            <v>805026272</v>
          </cell>
          <cell r="J1663" t="str">
            <v>I.E. Jose Maria Carbonell</v>
          </cell>
          <cell r="K1663">
            <v>150938431</v>
          </cell>
        </row>
        <row r="1664">
          <cell r="I1664">
            <v>805026515</v>
          </cell>
          <cell r="J1664" t="str">
            <v>I.E. La Esperanza</v>
          </cell>
          <cell r="K1664">
            <v>111204890</v>
          </cell>
        </row>
        <row r="1665">
          <cell r="I1665">
            <v>805026670</v>
          </cell>
          <cell r="J1665" t="str">
            <v>I.E. Carlos Holmes trujillo</v>
          </cell>
          <cell r="K1665">
            <v>205518937</v>
          </cell>
        </row>
        <row r="1666">
          <cell r="I1666">
            <v>805026722</v>
          </cell>
          <cell r="J1666" t="str">
            <v>I.E. Las Americas</v>
          </cell>
          <cell r="K1666">
            <v>162845444</v>
          </cell>
        </row>
        <row r="1667">
          <cell r="I1667">
            <v>805026755</v>
          </cell>
          <cell r="J1667" t="str">
            <v>I.E. Antonio Jose Camacho</v>
          </cell>
          <cell r="K1667">
            <v>243329161</v>
          </cell>
        </row>
        <row r="1668">
          <cell r="I1668">
            <v>805026933</v>
          </cell>
          <cell r="J1668" t="str">
            <v>I.E Navarro</v>
          </cell>
          <cell r="K1668">
            <v>32549320</v>
          </cell>
        </row>
        <row r="1669">
          <cell r="I1669">
            <v>805026936</v>
          </cell>
          <cell r="J1669" t="str">
            <v>I.E. Francisco Jose Lloreda Mera</v>
          </cell>
          <cell r="K1669">
            <v>123006238</v>
          </cell>
        </row>
        <row r="1670">
          <cell r="I1670">
            <v>805027059</v>
          </cell>
          <cell r="J1670" t="str">
            <v>I.E. Gabriel Garcia Marquez</v>
          </cell>
          <cell r="K1670">
            <v>208629180</v>
          </cell>
        </row>
        <row r="1671">
          <cell r="I1671">
            <v>805027092</v>
          </cell>
          <cell r="J1671" t="str">
            <v>INSTITUCION EDUCATIVA ESPAÑA</v>
          </cell>
          <cell r="K1671">
            <v>171739084</v>
          </cell>
        </row>
        <row r="1672">
          <cell r="I1672">
            <v>805027095</v>
          </cell>
          <cell r="J1672" t="str">
            <v>I.E. Marice</v>
          </cell>
          <cell r="K1672">
            <v>52036356</v>
          </cell>
        </row>
        <row r="1673">
          <cell r="I1673">
            <v>805027096</v>
          </cell>
          <cell r="J1673" t="str">
            <v>I.E CIUDAD CORDOBA</v>
          </cell>
          <cell r="K1673">
            <v>138859112</v>
          </cell>
        </row>
        <row r="1674">
          <cell r="I1674">
            <v>805027286</v>
          </cell>
          <cell r="J1674" t="str">
            <v>INSTITUCION EDUCATIVA MARIA AUXILIADORA TRANSFERENCIAS</v>
          </cell>
          <cell r="K1674">
            <v>23600456</v>
          </cell>
        </row>
        <row r="1675">
          <cell r="I1675">
            <v>805027292</v>
          </cell>
          <cell r="J1675" t="str">
            <v>I.E LA BUITRERA</v>
          </cell>
          <cell r="K1675">
            <v>102444694</v>
          </cell>
        </row>
        <row r="1676">
          <cell r="I1676">
            <v>805027344</v>
          </cell>
          <cell r="J1676" t="str">
            <v>I.E.  Golondrinas</v>
          </cell>
          <cell r="K1676">
            <v>50873025</v>
          </cell>
        </row>
        <row r="1677">
          <cell r="I1677">
            <v>805027378</v>
          </cell>
          <cell r="J1677" t="str">
            <v>I.E El Hormiguero</v>
          </cell>
          <cell r="K1677">
            <v>59898841</v>
          </cell>
        </row>
        <row r="1678">
          <cell r="I1678">
            <v>805027386</v>
          </cell>
          <cell r="J1678" t="str">
            <v>INSTITUCION EDUCATIVA DEL DAGUA</v>
          </cell>
          <cell r="K1678">
            <v>123244998</v>
          </cell>
        </row>
        <row r="1679">
          <cell r="I1679">
            <v>805027418</v>
          </cell>
          <cell r="J1679" t="str">
            <v>INSTITUCION EDUCATIVA EL PALMAR</v>
          </cell>
          <cell r="K1679">
            <v>64461136</v>
          </cell>
        </row>
        <row r="1680">
          <cell r="I1680">
            <v>805027629</v>
          </cell>
          <cell r="J1680" t="str">
            <v>INSTITUCION EDUCATIVA JOSE FELIX RESTREPO</v>
          </cell>
          <cell r="K1680">
            <v>68833204</v>
          </cell>
        </row>
        <row r="1681">
          <cell r="I1681">
            <v>805027641</v>
          </cell>
          <cell r="J1681" t="str">
            <v>I.E. Rafael Navia Varon</v>
          </cell>
          <cell r="K1681">
            <v>143097270</v>
          </cell>
        </row>
        <row r="1682">
          <cell r="I1682">
            <v>805027684</v>
          </cell>
          <cell r="J1682" t="str">
            <v>INSTITUCION EDUCATIVA CRISTOBAL COLON</v>
          </cell>
          <cell r="K1682">
            <v>26437532</v>
          </cell>
        </row>
        <row r="1683">
          <cell r="I1683">
            <v>805027973</v>
          </cell>
          <cell r="J1683" t="str">
            <v>INSTITUCION EDUCATIVA TECNICA COMERCIAL LITECOM</v>
          </cell>
          <cell r="K1683">
            <v>139979070</v>
          </cell>
        </row>
        <row r="1684">
          <cell r="I1684">
            <v>805028097</v>
          </cell>
          <cell r="J1684" t="str">
            <v>INSTITUCION EDUCATIVA VEINTE DE JULIO</v>
          </cell>
          <cell r="K1684">
            <v>16496146</v>
          </cell>
        </row>
        <row r="1685">
          <cell r="I1685">
            <v>805028244</v>
          </cell>
          <cell r="J1685" t="str">
            <v>INSTITUCION EDUCATIVA EL DIAMANTE</v>
          </cell>
          <cell r="K1685">
            <v>182023312</v>
          </cell>
        </row>
        <row r="1686">
          <cell r="I1686">
            <v>805028321</v>
          </cell>
          <cell r="J1686" t="str">
            <v>INSTITUCION EDUCATIVA CEAT GENERAL PIERO MARIOTTI</v>
          </cell>
          <cell r="K1686">
            <v>111152531</v>
          </cell>
        </row>
        <row r="1687">
          <cell r="I1687">
            <v>805028721</v>
          </cell>
          <cell r="J1687" t="str">
            <v>I.E. La Leonera</v>
          </cell>
          <cell r="K1687">
            <v>26303106</v>
          </cell>
        </row>
        <row r="1688">
          <cell r="I1688">
            <v>805028735</v>
          </cell>
          <cell r="J1688" t="str">
            <v>I.E Juan Pablo II</v>
          </cell>
          <cell r="K1688">
            <v>204223750</v>
          </cell>
        </row>
        <row r="1689">
          <cell r="I1689">
            <v>805028851</v>
          </cell>
          <cell r="J1689" t="str">
            <v>I.E FELIDIA</v>
          </cell>
          <cell r="K1689">
            <v>34689746</v>
          </cell>
        </row>
        <row r="1690">
          <cell r="I1690">
            <v>805028897</v>
          </cell>
          <cell r="J1690" t="str">
            <v>INSTITUCION EDUCATIVA BORRERO AYERBE</v>
          </cell>
          <cell r="K1690">
            <v>94689297</v>
          </cell>
        </row>
        <row r="1691">
          <cell r="I1691">
            <v>805029153</v>
          </cell>
          <cell r="J1691" t="str">
            <v>IE EL QUEREMAL</v>
          </cell>
          <cell r="K1691">
            <v>66832686</v>
          </cell>
        </row>
        <row r="1692">
          <cell r="I1692">
            <v>805029865</v>
          </cell>
          <cell r="J1692" t="str">
            <v>INSTITUCION EDUCATIVA JULIO FERNANDEZ MEDINA</v>
          </cell>
          <cell r="K1692">
            <v>34335607</v>
          </cell>
        </row>
        <row r="1693">
          <cell r="I1693">
            <v>805030100</v>
          </cell>
          <cell r="J1693" t="str">
            <v>IINSTITUCION EDUCATIVA GUILLERMO VALENCIA</v>
          </cell>
          <cell r="K1693">
            <v>16406911</v>
          </cell>
        </row>
        <row r="1694">
          <cell r="I1694">
            <v>805030161</v>
          </cell>
          <cell r="J1694" t="str">
            <v>INSTITUCION EDUCATIVA TEODORO MUNERA HINCAPIE</v>
          </cell>
          <cell r="K1694">
            <v>16287342</v>
          </cell>
        </row>
        <row r="1695">
          <cell r="I1695">
            <v>805030389</v>
          </cell>
          <cell r="J1695" t="str">
            <v>I.E. Los Andes</v>
          </cell>
          <cell r="K1695">
            <v>37718158</v>
          </cell>
        </row>
        <row r="1696">
          <cell r="I1696">
            <v>805030780</v>
          </cell>
          <cell r="J1696" t="str">
            <v>CENTRO EDUCATIVO PEDRO FERMIN DE VARGAS</v>
          </cell>
          <cell r="K1696">
            <v>11159630</v>
          </cell>
        </row>
        <row r="1697">
          <cell r="I1697">
            <v>805030833</v>
          </cell>
          <cell r="J1697" t="str">
            <v>INSTITUCION EDUCATIVA SAN JUAN BOSCO</v>
          </cell>
          <cell r="K1697">
            <v>41909786</v>
          </cell>
        </row>
        <row r="1698">
          <cell r="I1698">
            <v>806000581</v>
          </cell>
          <cell r="J1698" t="str">
            <v>INSTITUCION EDUCATIVA ANA MARIA VELEZ DE TRUJILLO</v>
          </cell>
          <cell r="K1698">
            <v>106947089</v>
          </cell>
        </row>
        <row r="1699">
          <cell r="I1699">
            <v>806000701</v>
          </cell>
          <cell r="J1699" t="str">
            <v>MUNICIPIO DE CLEMENCIA</v>
          </cell>
          <cell r="K1699">
            <v>232866627</v>
          </cell>
        </row>
        <row r="1700">
          <cell r="I1700">
            <v>806000760</v>
          </cell>
          <cell r="J1700" t="str">
            <v>CENTRO EDUCATIVO NUESTRA SEÑORA DEL BUEN AIRE</v>
          </cell>
          <cell r="K1700">
            <v>89594366</v>
          </cell>
        </row>
        <row r="1701">
          <cell r="I1701">
            <v>806001166</v>
          </cell>
          <cell r="J1701" t="str">
            <v>INSTITUCION EDUCATIVA NUESTRO ESFUERZO</v>
          </cell>
          <cell r="K1701">
            <v>85006230</v>
          </cell>
        </row>
        <row r="1702">
          <cell r="I1702">
            <v>806001174</v>
          </cell>
          <cell r="J1702" t="str">
            <v>ESCUELA NORMAL SUPERIOR DE CARTAGENA DE INDIAS</v>
          </cell>
          <cell r="K1702">
            <v>125919082</v>
          </cell>
        </row>
        <row r="1703">
          <cell r="I1703">
            <v>806001278</v>
          </cell>
          <cell r="J1703" t="str">
            <v>MINICIPIO DE SAN CRISTOBAL</v>
          </cell>
          <cell r="K1703">
            <v>90211177</v>
          </cell>
        </row>
        <row r="1704">
          <cell r="I1704">
            <v>806001355</v>
          </cell>
          <cell r="J1704" t="str">
            <v>INSTITUCION EDUCATIVA LUIS CARLOS LOPEZ</v>
          </cell>
          <cell r="K1704">
            <v>104776840</v>
          </cell>
        </row>
        <row r="1705">
          <cell r="I1705">
            <v>806001439</v>
          </cell>
          <cell r="J1705" t="str">
            <v>MUNICIPIO DEL PEÑON</v>
          </cell>
          <cell r="K1705">
            <v>149062998</v>
          </cell>
        </row>
        <row r="1706">
          <cell r="I1706">
            <v>806001937</v>
          </cell>
          <cell r="J1706" t="str">
            <v>MUNICIPIO DE ARENAL BOLIVAR</v>
          </cell>
          <cell r="K1706">
            <v>120698935</v>
          </cell>
        </row>
        <row r="1707">
          <cell r="I1707">
            <v>806002009</v>
          </cell>
          <cell r="J1707" t="str">
            <v>INSTITUCION EDUCATIVA DE PALENQUITO - PINILLOSBOL.</v>
          </cell>
          <cell r="K1707">
            <v>66204689</v>
          </cell>
        </row>
        <row r="1708">
          <cell r="I1708">
            <v>806002722</v>
          </cell>
          <cell r="J1708" t="str">
            <v>INSTITUCION EDUCATIVA MADRE GABRIELA DE SAN MARTIN</v>
          </cell>
          <cell r="K1708">
            <v>157605012</v>
          </cell>
        </row>
        <row r="1709">
          <cell r="I1709">
            <v>806002878</v>
          </cell>
          <cell r="J1709" t="str">
            <v>INSTITUCION EDUCATIVA TIERRA BOMBA</v>
          </cell>
          <cell r="K1709">
            <v>74664525</v>
          </cell>
        </row>
        <row r="1710">
          <cell r="I1710">
            <v>806003005</v>
          </cell>
          <cell r="J1710" t="str">
            <v>INSTITUCION EDUCATIVA JOHN F. KENNEDY</v>
          </cell>
          <cell r="K1710">
            <v>112008678</v>
          </cell>
        </row>
        <row r="1711">
          <cell r="I1711">
            <v>806003037</v>
          </cell>
          <cell r="J1711" t="str">
            <v>INSTITUCION EDUICATIVA BENJAMIN HERRERA</v>
          </cell>
          <cell r="K1711">
            <v>167892314</v>
          </cell>
        </row>
        <row r="1712">
          <cell r="I1712">
            <v>806003193</v>
          </cell>
          <cell r="J1712" t="str">
            <v>INSTITUCION EDUCATIVA SAN JOSE CAÑO DEL ORO</v>
          </cell>
          <cell r="K1712">
            <v>48804954</v>
          </cell>
        </row>
        <row r="1713">
          <cell r="I1713">
            <v>806003501</v>
          </cell>
          <cell r="J1713" t="str">
            <v>INSTITUCION EDUCATIVA OLGA GONZALEZ ARRAUT</v>
          </cell>
          <cell r="K1713">
            <v>65232639</v>
          </cell>
        </row>
        <row r="1714">
          <cell r="I1714">
            <v>806003564</v>
          </cell>
          <cell r="J1714" t="str">
            <v>INSTITUCION EDUCATIVA 20 DE JULIO</v>
          </cell>
          <cell r="K1714">
            <v>100853369</v>
          </cell>
        </row>
        <row r="1715">
          <cell r="I1715">
            <v>806003596</v>
          </cell>
          <cell r="J1715" t="str">
            <v>CENTRO EDUCATIVO MADRE LAURA</v>
          </cell>
          <cell r="K1715">
            <v>129276388</v>
          </cell>
        </row>
        <row r="1716">
          <cell r="I1716">
            <v>806003607</v>
          </cell>
          <cell r="J1716" t="str">
            <v>INSTITUCION EDUCATIVA NUESTRA SEÑORA DE FATIMA</v>
          </cell>
          <cell r="K1716">
            <v>120742034</v>
          </cell>
        </row>
        <row r="1717">
          <cell r="I1717">
            <v>806003634</v>
          </cell>
          <cell r="J1717" t="str">
            <v>INSTITUCION EDUCATIVA COMUNAL DE VERSALLES</v>
          </cell>
          <cell r="K1717">
            <v>179058515</v>
          </cell>
        </row>
        <row r="1718">
          <cell r="I1718">
            <v>806003655</v>
          </cell>
          <cell r="J1718" t="str">
            <v>INSTITUCION EDUCATIVA MANUELA VERGARA DE CURI</v>
          </cell>
          <cell r="K1718">
            <v>81620348</v>
          </cell>
        </row>
        <row r="1719">
          <cell r="I1719">
            <v>806003670</v>
          </cell>
          <cell r="J1719" t="str">
            <v>CENTRO EDUCATIVO DE FREDONIA</v>
          </cell>
          <cell r="K1719">
            <v>100765708</v>
          </cell>
        </row>
        <row r="1720">
          <cell r="I1720">
            <v>806003674</v>
          </cell>
          <cell r="J1720" t="str">
            <v>INSTITUCION EDUCATIVA CAMILO TORRES</v>
          </cell>
          <cell r="K1720">
            <v>161326079</v>
          </cell>
        </row>
        <row r="1721">
          <cell r="I1721">
            <v>806003694</v>
          </cell>
          <cell r="J1721" t="str">
            <v>CENTRO EDUCATIVO MARIA INMACULADA</v>
          </cell>
          <cell r="K1721">
            <v>81816974</v>
          </cell>
        </row>
        <row r="1722">
          <cell r="I1722">
            <v>806003713</v>
          </cell>
          <cell r="J1722" t="str">
            <v>INSTITUCION EDUCATIVA LICEO MODERNO</v>
          </cell>
          <cell r="K1722">
            <v>88741899</v>
          </cell>
        </row>
        <row r="1723">
          <cell r="I1723">
            <v>806003725</v>
          </cell>
          <cell r="J1723" t="str">
            <v>INSTITUCION EDUCATIVA TECNICA ACUICOLA SAGRADO CORAZON</v>
          </cell>
          <cell r="K1723">
            <v>57875112</v>
          </cell>
        </row>
        <row r="1724">
          <cell r="I1724">
            <v>806003761</v>
          </cell>
          <cell r="J1724" t="str">
            <v>INSTITUCION EDUCATIVA TECNICA AGROINDUSTRIAL REPUBLICA DE COLOMBIA</v>
          </cell>
          <cell r="K1724">
            <v>72309434</v>
          </cell>
        </row>
        <row r="1725">
          <cell r="I1725">
            <v>806003825</v>
          </cell>
          <cell r="J1725" t="str">
            <v>INSTITUCION EDUCATIVA SAN LUCAS</v>
          </cell>
          <cell r="K1725">
            <v>159488856</v>
          </cell>
        </row>
        <row r="1726">
          <cell r="I1726">
            <v>806003833</v>
          </cell>
          <cell r="J1726" t="str">
            <v>INSTITUCION EDUCATIVA TECNICA EN INFORMATICA MARIA</v>
          </cell>
          <cell r="K1726">
            <v>111689681</v>
          </cell>
        </row>
        <row r="1727">
          <cell r="I1727">
            <v>806003835</v>
          </cell>
          <cell r="J1727" t="str">
            <v>CENTRO EDUCATIVO N SANTA ROSA DE LIMA</v>
          </cell>
          <cell r="K1727">
            <v>109519128</v>
          </cell>
        </row>
        <row r="1728">
          <cell r="I1728">
            <v>806003976</v>
          </cell>
          <cell r="J1728" t="str">
            <v>INSTITUCION EDUCATIVA ESPIRITU SANTO</v>
          </cell>
          <cell r="K1728">
            <v>67596171</v>
          </cell>
        </row>
        <row r="1729">
          <cell r="I1729">
            <v>806004017</v>
          </cell>
          <cell r="J1729" t="str">
            <v>INSTITUCION EDUCATIVA MARIA CANO</v>
          </cell>
          <cell r="K1729">
            <v>41076982</v>
          </cell>
        </row>
        <row r="1730">
          <cell r="I1730">
            <v>806004076</v>
          </cell>
          <cell r="J1730" t="str">
            <v>CENTRO EDUCATIVO ARARCA</v>
          </cell>
          <cell r="K1730">
            <v>21464298</v>
          </cell>
        </row>
        <row r="1731">
          <cell r="I1731">
            <v>806004077</v>
          </cell>
          <cell r="J1731" t="str">
            <v>FONDO DOCENTE CONC EDUC FCO P</v>
          </cell>
          <cell r="K1731">
            <v>118937882</v>
          </cell>
        </row>
        <row r="1732">
          <cell r="I1732">
            <v>806004078</v>
          </cell>
          <cell r="J1732" t="str">
            <v>CENTRO EDUCATIVO PUERTO REY</v>
          </cell>
          <cell r="K1732">
            <v>36905643</v>
          </cell>
        </row>
        <row r="1733">
          <cell r="I1733">
            <v>806004095</v>
          </cell>
          <cell r="J1733" t="str">
            <v>INSTITUCION EDUCATIVA ARROYO DE PIEDRA</v>
          </cell>
          <cell r="K1733">
            <v>97430948</v>
          </cell>
        </row>
        <row r="1734">
          <cell r="I1734">
            <v>806004641</v>
          </cell>
          <cell r="J1734" t="str">
            <v>INSTITUCION EDUCATIVA BAYUNCA</v>
          </cell>
          <cell r="K1734">
            <v>309070345</v>
          </cell>
        </row>
        <row r="1735">
          <cell r="I1735">
            <v>806004900</v>
          </cell>
          <cell r="J1735" t="str">
            <v>MUNICIPIO DE ARROYOHONDO</v>
          </cell>
          <cell r="K1735">
            <v>116591209</v>
          </cell>
        </row>
        <row r="1736">
          <cell r="I1736">
            <v>806004917</v>
          </cell>
          <cell r="J1736" t="str">
            <v>INSTITUCION EDUCATIVA TECNICA AGROPECUARIA Y AMBIENTAL DE TIERRA FIRME</v>
          </cell>
          <cell r="K1736">
            <v>66540900</v>
          </cell>
        </row>
        <row r="1737">
          <cell r="I1737">
            <v>806005031</v>
          </cell>
          <cell r="J1737" t="str">
            <v>INSTITUCION EDUCATIVA SANTA ANA</v>
          </cell>
          <cell r="K1737">
            <v>70526591</v>
          </cell>
        </row>
        <row r="1738">
          <cell r="I1738">
            <v>806005929</v>
          </cell>
          <cell r="J1738" t="str">
            <v>FONDO DE SERVICIOS DOCENTES INSTITUCION EDUCATIVA SAN FRANCISCO DE ASIS</v>
          </cell>
          <cell r="K1738">
            <v>98076750</v>
          </cell>
        </row>
        <row r="1739">
          <cell r="I1739">
            <v>806006164</v>
          </cell>
          <cell r="J1739" t="str">
            <v>INSTITUCION EDUCATIVA AGROPECUARIA ERASMO DONADO LLANOS</v>
          </cell>
          <cell r="K1739">
            <v>78326904</v>
          </cell>
        </row>
        <row r="1740">
          <cell r="I1740">
            <v>806007213</v>
          </cell>
          <cell r="J1740" t="str">
            <v>INSTITUCION EDUCATIVA TECNICA INDUSTRIAL DE FLAMENCO</v>
          </cell>
          <cell r="K1740">
            <v>64563274</v>
          </cell>
        </row>
        <row r="1741">
          <cell r="I1741">
            <v>806007908</v>
          </cell>
          <cell r="J1741" t="str">
            <v>INSTITUCION EDUCATIVA BERTHA GEDEON DE BALADI</v>
          </cell>
          <cell r="K1741">
            <v>148098972</v>
          </cell>
        </row>
        <row r="1742">
          <cell r="I1742">
            <v>806008245</v>
          </cell>
          <cell r="J1742" t="str">
            <v>CENTRO EDUCATIVO MANZANILLO DEL MAR</v>
          </cell>
          <cell r="K1742">
            <v>36436815</v>
          </cell>
        </row>
        <row r="1743">
          <cell r="I1743">
            <v>806008501</v>
          </cell>
          <cell r="J1743" t="str">
            <v>INSTITUCION EDUCATIVA MANUEL ATENCIO ORDOÑEZ</v>
          </cell>
          <cell r="K1743">
            <v>110704288</v>
          </cell>
        </row>
        <row r="1744">
          <cell r="I1744">
            <v>806008967</v>
          </cell>
          <cell r="J1744" t="str">
            <v>INSTITUCION EDUCATIVA PLAYAS DE ACAPULCO</v>
          </cell>
          <cell r="K1744">
            <v>60295894</v>
          </cell>
        </row>
        <row r="1745">
          <cell r="I1745">
            <v>806009071</v>
          </cell>
          <cell r="J1745" t="str">
            <v>INSTITUCION EDUCATIVA TECNICA AGROPECUARIA NUEVA FLORIDA</v>
          </cell>
          <cell r="K1745">
            <v>65191455</v>
          </cell>
        </row>
        <row r="1746">
          <cell r="I1746">
            <v>806009142</v>
          </cell>
          <cell r="J1746" t="str">
            <v>FONDO DE SERVICIOS EDUCATIVOS I.E. ISLA FUERTE</v>
          </cell>
          <cell r="K1746">
            <v>31640990</v>
          </cell>
        </row>
        <row r="1747">
          <cell r="I1747">
            <v>806009730</v>
          </cell>
          <cell r="J1747" t="str">
            <v>CENTRO EDUCATIVO SANTA CRUZ DEL ISLOTE</v>
          </cell>
          <cell r="K1747">
            <v>15828777</v>
          </cell>
        </row>
        <row r="1748">
          <cell r="I1748">
            <v>806009769</v>
          </cell>
          <cell r="J1748" t="str">
            <v>INSTITUCION EDUCATIVA DOMINGO BENKOS BIOHO</v>
          </cell>
          <cell r="K1748">
            <v>103200877</v>
          </cell>
        </row>
        <row r="1749">
          <cell r="I1749">
            <v>806010594</v>
          </cell>
          <cell r="J1749" t="str">
            <v>CENTRO EDUCATIVO TIERRA BAJA</v>
          </cell>
          <cell r="K1749">
            <v>31536212</v>
          </cell>
        </row>
        <row r="1750">
          <cell r="I1750">
            <v>806011270</v>
          </cell>
          <cell r="J1750" t="str">
            <v>INSTITUCION EDUCATIVA TECNICO AGROPECUARIO CALIXTO DIAZ PALENCIA DE TACALOA</v>
          </cell>
          <cell r="K1750">
            <v>47043198</v>
          </cell>
        </row>
        <row r="1751">
          <cell r="I1751">
            <v>806011560</v>
          </cell>
          <cell r="J1751" t="str">
            <v>INSTITUCION EDUCATIVA TECNICA COLEGIO NACIONAL PINILLOS</v>
          </cell>
          <cell r="K1751">
            <v>128201586</v>
          </cell>
        </row>
        <row r="1752">
          <cell r="I1752">
            <v>806011570</v>
          </cell>
          <cell r="J1752" t="str">
            <v>FDO DE SERVICIO EDUCATIVO FOS - INSTITUCION EDUCATIVA GABRIEL GARCIA TABOADA</v>
          </cell>
          <cell r="K1752">
            <v>84887186</v>
          </cell>
        </row>
        <row r="1753">
          <cell r="I1753">
            <v>806011709</v>
          </cell>
          <cell r="J1753" t="str">
            <v>INSTITUCION EDUCATIVA NORMAL SUPERIOR</v>
          </cell>
          <cell r="K1753">
            <v>147240148</v>
          </cell>
        </row>
        <row r="1754">
          <cell r="I1754">
            <v>806011799</v>
          </cell>
          <cell r="J1754" t="str">
            <v>CENTRO EDUCATIVO PONTEZUELA</v>
          </cell>
          <cell r="K1754">
            <v>61504825</v>
          </cell>
        </row>
        <row r="1755">
          <cell r="I1755">
            <v>806011832</v>
          </cell>
          <cell r="J1755" t="str">
            <v>INSTITUCION EDUCATIVA LUIS C GALAN SARMIENTO</v>
          </cell>
          <cell r="K1755">
            <v>95019716</v>
          </cell>
        </row>
        <row r="1756">
          <cell r="I1756">
            <v>806011843</v>
          </cell>
          <cell r="J1756" t="str">
            <v>INSTITUCION EDUCATIVA JOSE MANUEL RODRIGUEZ T.</v>
          </cell>
          <cell r="K1756">
            <v>200072960</v>
          </cell>
        </row>
        <row r="1757">
          <cell r="I1757">
            <v>806011877</v>
          </cell>
          <cell r="J1757" t="str">
            <v>INSTITUCION EDUCATIVA MANUELA BELTRAN</v>
          </cell>
          <cell r="K1757">
            <v>95415666</v>
          </cell>
        </row>
        <row r="1758">
          <cell r="I1758">
            <v>806011886</v>
          </cell>
          <cell r="J1758" t="str">
            <v>INSTITUCION EDUCATIVA TERNERA</v>
          </cell>
          <cell r="K1758">
            <v>68067242</v>
          </cell>
        </row>
        <row r="1759">
          <cell r="I1759">
            <v>806011897</v>
          </cell>
          <cell r="J1759" t="str">
            <v>INSTITUCION EDUCATIVA ANTONIA SANTOS</v>
          </cell>
          <cell r="K1759">
            <v>145601768</v>
          </cell>
        </row>
        <row r="1760">
          <cell r="I1760">
            <v>806011904</v>
          </cell>
          <cell r="J1760" t="str">
            <v>INSTITUCION EDUCATIVA HIJOS DE MARIA</v>
          </cell>
          <cell r="K1760">
            <v>129135954</v>
          </cell>
        </row>
        <row r="1761">
          <cell r="I1761">
            <v>806011909</v>
          </cell>
          <cell r="J1761" t="str">
            <v>INSTITUCION EDUCATIVA SAN JUAN DE DAMASCO</v>
          </cell>
          <cell r="K1761">
            <v>86010180</v>
          </cell>
        </row>
        <row r="1762">
          <cell r="I1762">
            <v>806011919</v>
          </cell>
          <cell r="J1762" t="str">
            <v>INSTITUCION EDUCATIVA SANTA MARIA</v>
          </cell>
          <cell r="K1762">
            <v>179707210</v>
          </cell>
        </row>
        <row r="1763">
          <cell r="I1763">
            <v>806011970</v>
          </cell>
          <cell r="J1763" t="str">
            <v>INSTITUCION EDUCATIVA FE Y ALEGRIA LAS GAVIOTAS</v>
          </cell>
          <cell r="K1763">
            <v>137973093</v>
          </cell>
        </row>
        <row r="1764">
          <cell r="I1764">
            <v>806011971</v>
          </cell>
          <cell r="J1764" t="str">
            <v>INSTITUCION EDUCATIVA SOLEDAD ACOSTA DE SAMPER</v>
          </cell>
          <cell r="K1764">
            <v>327029889</v>
          </cell>
        </row>
        <row r="1765">
          <cell r="I1765">
            <v>806011976</v>
          </cell>
          <cell r="J1765" t="str">
            <v>INSTITUCION EDUCATIVA PROMOCION SOCIAL</v>
          </cell>
          <cell r="K1765">
            <v>147180081</v>
          </cell>
        </row>
        <row r="1766">
          <cell r="I1766">
            <v>806011979</v>
          </cell>
          <cell r="J1766" t="str">
            <v>INSTITUCION EDUCATIVA FE Y ALEGRIA LAS AMERICAS</v>
          </cell>
          <cell r="K1766">
            <v>146338889</v>
          </cell>
        </row>
        <row r="1767">
          <cell r="I1767">
            <v>806012071</v>
          </cell>
          <cell r="J1767" t="str">
            <v>INSTITUCION EDUCATIVA ANTONIO NARI?O</v>
          </cell>
          <cell r="K1767">
            <v>78606135</v>
          </cell>
        </row>
        <row r="1768">
          <cell r="I1768">
            <v>806012072</v>
          </cell>
          <cell r="J1768" t="str">
            <v>FDO.SERVS.EDUCATIVOS  I.E. NVA.ESPERANZA DE ARROYO</v>
          </cell>
          <cell r="K1768">
            <v>67288074</v>
          </cell>
        </row>
        <row r="1769">
          <cell r="I1769">
            <v>806012079</v>
          </cell>
          <cell r="J1769" t="str">
            <v>INSTITUCION EDUCATIVA NUESTRA SRA DEL CARMEN</v>
          </cell>
          <cell r="K1769">
            <v>209647715</v>
          </cell>
        </row>
        <row r="1770">
          <cell r="I1770">
            <v>806012153</v>
          </cell>
          <cell r="J1770" t="str">
            <v>INSTITUCION EDUCATIVA LICEO DE BOLIVAR</v>
          </cell>
          <cell r="K1770">
            <v>158741063</v>
          </cell>
        </row>
        <row r="1771">
          <cell r="I1771">
            <v>806012177</v>
          </cell>
          <cell r="J1771" t="str">
            <v>INSTITUCION EDUCATIVA SOLEDAD ROMAN DE NU?EZ</v>
          </cell>
          <cell r="K1771">
            <v>169537369</v>
          </cell>
        </row>
        <row r="1772">
          <cell r="I1772">
            <v>806012214</v>
          </cell>
          <cell r="J1772" t="str">
            <v>INSTITUCION EDUCATIVA LA FLORESTA</v>
          </cell>
          <cell r="K1772">
            <v>50580034</v>
          </cell>
        </row>
        <row r="1773">
          <cell r="I1773">
            <v>806012229</v>
          </cell>
          <cell r="J1773" t="str">
            <v>INSTITUCION EDUCATIVA ALBERTO E. FERNANDEZ BAENA</v>
          </cell>
          <cell r="K1773">
            <v>75090234</v>
          </cell>
        </row>
        <row r="1774">
          <cell r="I1774">
            <v>806012277</v>
          </cell>
          <cell r="J1774" t="str">
            <v>INSTITUCION EDUCATIVA EMA TRONCOSO RABELO</v>
          </cell>
          <cell r="K1774">
            <v>40495032</v>
          </cell>
        </row>
        <row r="1775">
          <cell r="I1775">
            <v>806012452</v>
          </cell>
          <cell r="J1775" t="str">
            <v>INSTITUCION EDUCATIVA ISLA DEL ROSARIO</v>
          </cell>
          <cell r="K1775">
            <v>18606077</v>
          </cell>
        </row>
        <row r="1776">
          <cell r="I1776">
            <v>806012497</v>
          </cell>
          <cell r="J1776" t="str">
            <v>INSTITUCION EDUCATIVA JOSE DE LA VEGA</v>
          </cell>
          <cell r="K1776">
            <v>210099114</v>
          </cell>
        </row>
        <row r="1777">
          <cell r="I1777">
            <v>806012518</v>
          </cell>
          <cell r="J1777" t="str">
            <v>INSTITUCION EDUCATIVA TECNICA AGROPECUARIA DE SAN FERNANDO</v>
          </cell>
          <cell r="K1777">
            <v>103696029</v>
          </cell>
        </row>
        <row r="1778">
          <cell r="I1778">
            <v>806012542</v>
          </cell>
          <cell r="J1778" t="str">
            <v>INSTITUCION EDUCATIVA CORAZON DE MARIA</v>
          </cell>
          <cell r="K1778">
            <v>104012983</v>
          </cell>
        </row>
        <row r="1779">
          <cell r="I1779">
            <v>806012547</v>
          </cell>
          <cell r="J1779" t="str">
            <v>INSTITUCION EDUCATIVA LA MILAGROSA</v>
          </cell>
          <cell r="K1779">
            <v>35010726</v>
          </cell>
        </row>
        <row r="1780">
          <cell r="I1780">
            <v>806012552</v>
          </cell>
          <cell r="J1780" t="str">
            <v>INSTITUCION EDUCATIVA MERCEDES ABREGO</v>
          </cell>
          <cell r="K1780">
            <v>230866938</v>
          </cell>
        </row>
        <row r="1781">
          <cell r="I1781">
            <v>806012606</v>
          </cell>
          <cell r="J1781" t="str">
            <v>INSTITUCION EDUCATIVA SALIM BECHARA</v>
          </cell>
          <cell r="K1781">
            <v>90233634</v>
          </cell>
        </row>
        <row r="1782">
          <cell r="I1782">
            <v>806012616</v>
          </cell>
          <cell r="J1782" t="str">
            <v>INSTITUCION EDUCATIVA REPUBLICA DE ARGENTINA</v>
          </cell>
          <cell r="K1782">
            <v>82157690</v>
          </cell>
        </row>
        <row r="1783">
          <cell r="I1783">
            <v>806012804</v>
          </cell>
          <cell r="J1783" t="str">
            <v>INSTITUCION EDUCATIVA FULGENCIO LEQUERICA VELEZ</v>
          </cell>
          <cell r="K1783">
            <v>136040723</v>
          </cell>
        </row>
        <row r="1784">
          <cell r="I1784">
            <v>806012806</v>
          </cell>
          <cell r="J1784" t="str">
            <v>INSTITUCION EDUCATIVA FERNANDO DE LA VEGA</v>
          </cell>
          <cell r="K1784">
            <v>49990466</v>
          </cell>
        </row>
        <row r="1785">
          <cell r="I1785">
            <v>806012873</v>
          </cell>
          <cell r="J1785" t="str">
            <v>INSTITUCION EDUCATIVA PLACIDO RERTAMOZA</v>
          </cell>
          <cell r="K1785">
            <v>99171140</v>
          </cell>
        </row>
        <row r="1786">
          <cell r="I1786">
            <v>806012897</v>
          </cell>
          <cell r="J1786" t="str">
            <v>INSTITUCION EDUCATIVA FRANCISCO DE PAULA SANTANDER</v>
          </cell>
          <cell r="K1786">
            <v>58725304</v>
          </cell>
        </row>
        <row r="1787">
          <cell r="I1787">
            <v>806012943</v>
          </cell>
          <cell r="J1787" t="str">
            <v>INSTITUCION EDUCATIVA TECNICA AGROPECUARIA Y MINERA DE SAN MARTIN DE LOBA, BOLIVAR</v>
          </cell>
          <cell r="K1787">
            <v>105302020</v>
          </cell>
        </row>
        <row r="1788">
          <cell r="I1788">
            <v>806012997</v>
          </cell>
          <cell r="J1788" t="str">
            <v>INSTITUCION EDUCATIVA LEONIDAS ORTIZ</v>
          </cell>
          <cell r="K1788">
            <v>34806028</v>
          </cell>
        </row>
        <row r="1789">
          <cell r="I1789">
            <v>806013002</v>
          </cell>
          <cell r="J1789" t="str">
            <v>INSTITUCION EDUCATIVA MARIA AUXILIADORA</v>
          </cell>
          <cell r="K1789">
            <v>46074978</v>
          </cell>
        </row>
        <row r="1790">
          <cell r="I1790">
            <v>806013114</v>
          </cell>
          <cell r="J1790" t="str">
            <v>INSTITUCION EDUCATIVA TECNICA COMERCIAL DE SAN MAR</v>
          </cell>
          <cell r="K1790">
            <v>74637559</v>
          </cell>
        </row>
        <row r="1791">
          <cell r="I1791">
            <v>806013159</v>
          </cell>
          <cell r="J1791" t="str">
            <v>INSTITUCION EDUCATIVA RAFAEL NUÑEZ</v>
          </cell>
          <cell r="K1791">
            <v>75130388</v>
          </cell>
        </row>
        <row r="1792">
          <cell r="I1792">
            <v>806013180</v>
          </cell>
          <cell r="J1792" t="str">
            <v>INSTITUCION EDUCATIVA FRANCISCO DE PAULA SANTANDER</v>
          </cell>
          <cell r="K1792">
            <v>35682464</v>
          </cell>
        </row>
        <row r="1793">
          <cell r="I1793">
            <v>806013189</v>
          </cell>
          <cell r="J1793" t="str">
            <v>INSTITUCION EDUCATIVA MAURICIO NELSON VISBAL</v>
          </cell>
          <cell r="K1793">
            <v>140690410</v>
          </cell>
        </row>
        <row r="1794">
          <cell r="I1794">
            <v>806013191</v>
          </cell>
          <cell r="J1794" t="str">
            <v>INSTITUCION EDUCATIVA  DE TACAMOCHO</v>
          </cell>
          <cell r="K1794">
            <v>55615538</v>
          </cell>
        </row>
        <row r="1795">
          <cell r="I1795">
            <v>806013197</v>
          </cell>
          <cell r="J1795" t="str">
            <v>INSTITUCION EDUCATIVA DE SAN CRISTOBAL</v>
          </cell>
          <cell r="K1795">
            <v>85804956</v>
          </cell>
        </row>
        <row r="1796">
          <cell r="I1796">
            <v>806013198</v>
          </cell>
          <cell r="J1796" t="str">
            <v>INSTITUCION EDUCATIVA TECNICA AGROPESQUERA MANUEL PADILLA</v>
          </cell>
          <cell r="K1796">
            <v>57117259</v>
          </cell>
        </row>
        <row r="1797">
          <cell r="I1797">
            <v>806013199</v>
          </cell>
          <cell r="J1797" t="str">
            <v>INSTITUCION EDUCATIV DE CAÑAVERAL</v>
          </cell>
          <cell r="K1797">
            <v>70695326</v>
          </cell>
        </row>
        <row r="1798">
          <cell r="I1798">
            <v>806013200</v>
          </cell>
          <cell r="J1798" t="str">
            <v>INSTITUCION EDUCATIVA TECNICA AGROINDUSTRIAL DE MALAGANA</v>
          </cell>
          <cell r="K1798">
            <v>193210735</v>
          </cell>
        </row>
        <row r="1799">
          <cell r="I1799">
            <v>806013210</v>
          </cell>
          <cell r="J1799" t="str">
            <v>INSTITUCION EDUCATIVA TECNICA AGROPECUARIA DE GUATACA</v>
          </cell>
          <cell r="K1799">
            <v>45637690</v>
          </cell>
        </row>
        <row r="1800">
          <cell r="I1800">
            <v>806013211</v>
          </cell>
          <cell r="J1800" t="str">
            <v>I. E. SAN JOSE DE ACHI</v>
          </cell>
          <cell r="K1800">
            <v>48678966</v>
          </cell>
        </row>
        <row r="1801">
          <cell r="I1801">
            <v>806013213</v>
          </cell>
          <cell r="J1801" t="str">
            <v>FOSE INSTITUCION EDUCATIVA ALEJANDRO DURAN DIAZ</v>
          </cell>
          <cell r="K1801">
            <v>98945367</v>
          </cell>
        </row>
        <row r="1802">
          <cell r="I1802">
            <v>806013215</v>
          </cell>
          <cell r="J1802" t="str">
            <v>INSTITUCION EDUCATIVA TENCHE</v>
          </cell>
          <cell r="K1802">
            <v>35355603</v>
          </cell>
        </row>
        <row r="1803">
          <cell r="I1803">
            <v>806013216</v>
          </cell>
          <cell r="J1803" t="str">
            <v>INSTITUCION EDUCATIVA GALINDO</v>
          </cell>
          <cell r="K1803">
            <v>32616002</v>
          </cell>
        </row>
        <row r="1804">
          <cell r="I1804">
            <v>806013217</v>
          </cell>
          <cell r="J1804" t="str">
            <v>INSTITUCION EDUCATIVA DE ARMENIA BOLIVAR</v>
          </cell>
          <cell r="K1804">
            <v>90585767</v>
          </cell>
        </row>
        <row r="1805">
          <cell r="I1805">
            <v>806013218</v>
          </cell>
          <cell r="J1805" t="str">
            <v>INSTITUCION EDUCATIVA EFIGENIO MENDOZA SIERRA</v>
          </cell>
          <cell r="K1805">
            <v>99820736</v>
          </cell>
        </row>
        <row r="1806">
          <cell r="I1806">
            <v>806013219</v>
          </cell>
          <cell r="J1806" t="str">
            <v>INSTITUCION EDUCATIVA MARIA MICHELSEN DE LOPEZ</v>
          </cell>
          <cell r="K1806">
            <v>119201805</v>
          </cell>
        </row>
        <row r="1807">
          <cell r="I1807">
            <v>806013241</v>
          </cell>
          <cell r="J1807" t="str">
            <v>INST EDUCATIVA TCA AGROP EZEQUIEL MARTELO PTA S JOAQUIN MAHATES</v>
          </cell>
          <cell r="K1807">
            <v>26461276</v>
          </cell>
        </row>
        <row r="1808">
          <cell r="I1808">
            <v>806013247</v>
          </cell>
          <cell r="J1808" t="str">
            <v>CENTRO EDUCATIVO DE ZIPACOA</v>
          </cell>
          <cell r="K1808">
            <v>34019637</v>
          </cell>
        </row>
        <row r="1809">
          <cell r="I1809">
            <v>806013250</v>
          </cell>
          <cell r="J1809" t="str">
            <v>INSTITUCION EDUCATIVA TECNICA AGROINDUSTRIAL DE GUAYMARAL</v>
          </cell>
          <cell r="K1809">
            <v>33794447</v>
          </cell>
        </row>
        <row r="1810">
          <cell r="I1810">
            <v>806013252</v>
          </cell>
          <cell r="J1810" t="str">
            <v>CENTRO EDUCATIVO DE RETIRO NUEVO</v>
          </cell>
          <cell r="K1810">
            <v>66254370</v>
          </cell>
        </row>
        <row r="1811">
          <cell r="I1811">
            <v>806013253</v>
          </cell>
          <cell r="J1811" t="str">
            <v>INSTITUCION EDUCATIVA LUIS VILLAFAÑE PAREJA</v>
          </cell>
          <cell r="K1811">
            <v>49464000</v>
          </cell>
        </row>
        <row r="1812">
          <cell r="I1812">
            <v>806013254</v>
          </cell>
          <cell r="J1812" t="str">
            <v>INSTITUCION EDUCATIVA DE PUERTO LOPEZ</v>
          </cell>
          <cell r="K1812">
            <v>71440956</v>
          </cell>
        </row>
        <row r="1813">
          <cell r="I1813">
            <v>806013255</v>
          </cell>
          <cell r="J1813" t="str">
            <v>INSTITUCION EDUCATIVA MAMONCITO</v>
          </cell>
          <cell r="K1813">
            <v>47599641</v>
          </cell>
        </row>
        <row r="1814">
          <cell r="I1814">
            <v>806013256</v>
          </cell>
          <cell r="J1814" t="str">
            <v>INSTITUCION EDUCATIVA TECNICA AGROPECUARIA Y ACUICOLA DE PUERTO BADEL</v>
          </cell>
          <cell r="K1814">
            <v>45656236</v>
          </cell>
        </row>
        <row r="1815">
          <cell r="I1815">
            <v>806013257</v>
          </cell>
          <cell r="J1815" t="str">
            <v>INSTITUCION EDUCATIVA DE SANTA ROSA</v>
          </cell>
          <cell r="K1815">
            <v>110395089</v>
          </cell>
        </row>
        <row r="1816">
          <cell r="I1816">
            <v>806013258</v>
          </cell>
          <cell r="J1816" t="str">
            <v>INSTITUCION EDUCATIVA SAN FRANCISCO DE LOBA</v>
          </cell>
          <cell r="K1816">
            <v>55084763</v>
          </cell>
        </row>
        <row r="1817">
          <cell r="I1817">
            <v>806013259</v>
          </cell>
          <cell r="J1817" t="str">
            <v>INSTITUCION EDUCATIVA NORMAL SUPERIOR MONTES DE MARIA</v>
          </cell>
          <cell r="K1817">
            <v>189692003</v>
          </cell>
        </row>
        <row r="1818">
          <cell r="I1818">
            <v>806013260</v>
          </cell>
          <cell r="J1818" t="str">
            <v>FONDO DE SERVICIO EDUCATIVO INSTITUCION EDUCATIVA TECNICA EN GESTION EMPRESARIAL GABRIELA MISTRAL</v>
          </cell>
          <cell r="K1818">
            <v>83507940</v>
          </cell>
        </row>
        <row r="1819">
          <cell r="I1819">
            <v>806013261</v>
          </cell>
          <cell r="J1819" t="str">
            <v>INSTITUCION EDUCATIV DE EL PEÑON</v>
          </cell>
          <cell r="K1819">
            <v>45372268</v>
          </cell>
        </row>
        <row r="1820">
          <cell r="I1820">
            <v>806013262</v>
          </cell>
          <cell r="J1820" t="str">
            <v>INSTIITUCION EDUCATIVA TECNICA INDUSTRIAL DON BOSCO</v>
          </cell>
          <cell r="K1820">
            <v>189969909</v>
          </cell>
        </row>
        <row r="1821">
          <cell r="I1821">
            <v>806013264</v>
          </cell>
          <cell r="J1821" t="str">
            <v>INSTITUCION EDUCATIVA FELIPE SANTIAGO ESCOBAR</v>
          </cell>
          <cell r="K1821">
            <v>84571754</v>
          </cell>
        </row>
        <row r="1822">
          <cell r="I1822">
            <v>806013316</v>
          </cell>
          <cell r="J1822" t="str">
            <v>INSTITUCION EDUCATIVA DIOGENES S A ARRIETA</v>
          </cell>
          <cell r="K1822">
            <v>145382496</v>
          </cell>
        </row>
        <row r="1823">
          <cell r="I1823">
            <v>806013319</v>
          </cell>
          <cell r="J1823" t="str">
            <v>INSTITUCION EDUCATIVA TECNICA ACUICOLA DE ROCHA</v>
          </cell>
          <cell r="K1823">
            <v>70197251</v>
          </cell>
        </row>
        <row r="1824">
          <cell r="I1824">
            <v>806013321</v>
          </cell>
          <cell r="J1824" t="str">
            <v>INSTITUCION EDUCATIV STA ROSA DE LIMA</v>
          </cell>
          <cell r="K1824">
            <v>139691164</v>
          </cell>
        </row>
        <row r="1825">
          <cell r="I1825">
            <v>806013324</v>
          </cell>
          <cell r="J1825" t="str">
            <v>INSTITUCION EDUCATIVA DE BALLESTAS</v>
          </cell>
          <cell r="K1825">
            <v>56830889</v>
          </cell>
        </row>
        <row r="1826">
          <cell r="I1826">
            <v>806013343</v>
          </cell>
          <cell r="J1826" t="str">
            <v>INSTITUCION EDUCATIVA FRANCISCO DE PAULA SANTANDER HIGUERETAL</v>
          </cell>
          <cell r="K1826">
            <v>37290645</v>
          </cell>
        </row>
        <row r="1827">
          <cell r="I1827">
            <v>806013344</v>
          </cell>
          <cell r="J1827" t="str">
            <v>INSTITUCION EDUCATIVA DE PALOMINO</v>
          </cell>
          <cell r="K1827">
            <v>29756646</v>
          </cell>
        </row>
        <row r="1828">
          <cell r="I1828">
            <v>806013346</v>
          </cell>
          <cell r="J1828" t="str">
            <v>INSTITUCION EDUCATIVA SAN PEDRO CONSOLADO</v>
          </cell>
          <cell r="K1828">
            <v>19171427</v>
          </cell>
        </row>
        <row r="1829">
          <cell r="I1829">
            <v>806013348</v>
          </cell>
          <cell r="J1829" t="str">
            <v>INSTITUCION EDUCATIVA DE SAN M,</v>
          </cell>
          <cell r="K1829">
            <v>42448711</v>
          </cell>
        </row>
        <row r="1830">
          <cell r="I1830">
            <v>806013349</v>
          </cell>
          <cell r="J1830" t="str">
            <v>INSTITUCION EDUCATIVA TECNICA AGROPECUARIA DE PLAYA ALTA</v>
          </cell>
          <cell r="K1830">
            <v>34771119</v>
          </cell>
        </row>
        <row r="1831">
          <cell r="I1831">
            <v>806013350</v>
          </cell>
          <cell r="J1831" t="str">
            <v>INSTITUCION EDUCATIVA TECNICA AGROPECUARIA LOS NISPEROS</v>
          </cell>
          <cell r="K1831">
            <v>42213192</v>
          </cell>
        </row>
        <row r="1832">
          <cell r="I1832">
            <v>806013356</v>
          </cell>
          <cell r="J1832" t="str">
            <v>INSTITUCION EDUCATIVA OSWALDO OCHOA BECERRA</v>
          </cell>
          <cell r="K1832">
            <v>76912447</v>
          </cell>
        </row>
        <row r="1833">
          <cell r="I1833">
            <v>806013357</v>
          </cell>
          <cell r="J1833" t="str">
            <v>INSTITUCION EDUCATIV DE LA VICTORIA</v>
          </cell>
          <cell r="K1833">
            <v>58181726</v>
          </cell>
        </row>
        <row r="1834">
          <cell r="I1834">
            <v>806013358</v>
          </cell>
          <cell r="J1834" t="str">
            <v>INSTITUCION EDUCATIVA DE PUERTO RICO</v>
          </cell>
          <cell r="K1834">
            <v>126930884</v>
          </cell>
        </row>
        <row r="1835">
          <cell r="I1835">
            <v>806013361</v>
          </cell>
          <cell r="J1835" t="str">
            <v>INSTITUCION EDUCATIVA TECNICA AGROPECUARIA LA BUENA ESPERANZA</v>
          </cell>
          <cell r="K1835">
            <v>133304891</v>
          </cell>
        </row>
        <row r="1836">
          <cell r="I1836">
            <v>806013374</v>
          </cell>
          <cell r="J1836" t="str">
            <v>INSTITUCION EDUCATIVA SAL LUIS BELTRAN</v>
          </cell>
          <cell r="K1836">
            <v>135082929</v>
          </cell>
        </row>
        <row r="1837">
          <cell r="I1837">
            <v>806013375</v>
          </cell>
          <cell r="J1837" t="str">
            <v>INST EDUC TECNI AGROP BENKOS BIOHO DE SAN BASILIO DE PALENQUE</v>
          </cell>
          <cell r="K1837">
            <v>65468216</v>
          </cell>
        </row>
        <row r="1838">
          <cell r="I1838">
            <v>806013386</v>
          </cell>
          <cell r="J1838" t="str">
            <v>INSTITUCION EDUCATIVA TECNICA AGROPECUARIA DE EL VESUBIO</v>
          </cell>
          <cell r="K1838">
            <v>42537383</v>
          </cell>
        </row>
        <row r="1839">
          <cell r="I1839">
            <v>806013387</v>
          </cell>
          <cell r="J1839" t="str">
            <v>I. E. TEC. AGROP. NUESTRA SEÑORA DEL CARMEN</v>
          </cell>
          <cell r="K1839">
            <v>130310216</v>
          </cell>
        </row>
        <row r="1840">
          <cell r="I1840">
            <v>806013391</v>
          </cell>
          <cell r="J1840" t="str">
            <v>INSTITUCION EDUCATIV JUANA SANCHEZ</v>
          </cell>
          <cell r="K1840">
            <v>27032182</v>
          </cell>
        </row>
        <row r="1841">
          <cell r="I1841">
            <v>806013392</v>
          </cell>
          <cell r="J1841" t="str">
            <v>INSTITUCION EDUCATIVA TECNICA AGROINDUSTRIAL DE SAN PABL</v>
          </cell>
          <cell r="K1841">
            <v>119643490</v>
          </cell>
        </row>
        <row r="1842">
          <cell r="I1842">
            <v>806013393</v>
          </cell>
          <cell r="J1842" t="str">
            <v>INSTITUCION EDUCATIVA TECNICA IND DE TURBANA</v>
          </cell>
          <cell r="K1842">
            <v>117542807</v>
          </cell>
        </row>
        <row r="1843">
          <cell r="I1843">
            <v>806013394</v>
          </cell>
          <cell r="J1843" t="str">
            <v>INSTITUCION EDUCATIVA ANTONIA SANTOS</v>
          </cell>
          <cell r="K1843">
            <v>58239050</v>
          </cell>
        </row>
        <row r="1844">
          <cell r="I1844">
            <v>806013395</v>
          </cell>
          <cell r="J1844" t="str">
            <v>INSTITUCION EDUC ELVIRA LOPEZ DE FACIOLINCE</v>
          </cell>
          <cell r="K1844">
            <v>66396823</v>
          </cell>
        </row>
        <row r="1845">
          <cell r="I1845">
            <v>806013403</v>
          </cell>
          <cell r="J1845" t="str">
            <v>INSTITUCION EDUCATIVA CUARTA POZA DE MANGA</v>
          </cell>
          <cell r="K1845">
            <v>113365882</v>
          </cell>
        </row>
        <row r="1846">
          <cell r="I1846">
            <v>806013430</v>
          </cell>
          <cell r="J1846" t="str">
            <v>INSTITUCION EDUCATIVA CAMILO TORRES DE MAHATES</v>
          </cell>
          <cell r="K1846">
            <v>69196908</v>
          </cell>
        </row>
        <row r="1847">
          <cell r="I1847">
            <v>806013431</v>
          </cell>
          <cell r="J1847" t="str">
            <v>INSTITUCION EDUCATIVA NUESTRA SEÑORA DEL CARMEN DE LAS CARAS</v>
          </cell>
          <cell r="K1847">
            <v>34103467</v>
          </cell>
        </row>
        <row r="1848">
          <cell r="I1848">
            <v>806013440</v>
          </cell>
          <cell r="J1848" t="str">
            <v>INSTITUCION EDUCATIVA TECNICA AGROPECUARIA SANTA TERESA</v>
          </cell>
          <cell r="K1848">
            <v>17792308</v>
          </cell>
        </row>
        <row r="1849">
          <cell r="I1849">
            <v>806013441</v>
          </cell>
          <cell r="J1849" t="str">
            <v>INSTITUCION EDUCATIVA TECNICA ACUICOLA DE CASCAJAL</v>
          </cell>
          <cell r="K1849">
            <v>89804695</v>
          </cell>
        </row>
        <row r="1850">
          <cell r="I1850">
            <v>806013442</v>
          </cell>
          <cell r="J1850" t="str">
            <v>INSTITUCION EDUCATIVA EL HOBO</v>
          </cell>
          <cell r="K1850">
            <v>61534100</v>
          </cell>
        </row>
        <row r="1851">
          <cell r="I1851">
            <v>806013443</v>
          </cell>
          <cell r="J1851" t="str">
            <v>INSTITUCION EDUCATIVA RAFAEL NUÑEZ DE SAN ANDRES</v>
          </cell>
          <cell r="K1851">
            <v>53185443</v>
          </cell>
        </row>
        <row r="1852">
          <cell r="I1852">
            <v>806013447</v>
          </cell>
          <cell r="J1852" t="str">
            <v>INSTITUCION EDUCATIVA TECNICA AGROPECUARIA DE DESARROLLO</v>
          </cell>
          <cell r="K1852">
            <v>135919199</v>
          </cell>
        </row>
        <row r="1853">
          <cell r="I1853">
            <v>806013463</v>
          </cell>
          <cell r="J1853" t="str">
            <v>INSTITUCION EDUCATIVA TECNICA AGROPECUARIA DE LAS CONCHI</v>
          </cell>
          <cell r="K1853">
            <v>33864385</v>
          </cell>
        </row>
        <row r="1854">
          <cell r="I1854">
            <v>806013473</v>
          </cell>
          <cell r="J1854" t="str">
            <v>INSTITUCION EDUCATIVA TECNICA ACUICOLA MIGUEL NEVADO NEVADO</v>
          </cell>
          <cell r="K1854">
            <v>32268007</v>
          </cell>
        </row>
        <row r="1855">
          <cell r="I1855">
            <v>806013477</v>
          </cell>
          <cell r="J1855" t="str">
            <v>FOSE INSTITUCION EDUCATIVA SAGRADO CORAZON DE JESUS</v>
          </cell>
          <cell r="K1855">
            <v>61775439</v>
          </cell>
        </row>
        <row r="1856">
          <cell r="I1856">
            <v>806013478</v>
          </cell>
          <cell r="J1856" t="str">
            <v>INSTITUCION EDUCATIVA SIMON ALMANZA JULIO</v>
          </cell>
          <cell r="K1856">
            <v>41245122</v>
          </cell>
        </row>
        <row r="1857">
          <cell r="I1857">
            <v>806013479</v>
          </cell>
          <cell r="J1857" t="str">
            <v>INSTITUCION EDUCATIVA DE EL PEÑONCITO</v>
          </cell>
          <cell r="K1857">
            <v>31017050</v>
          </cell>
        </row>
        <row r="1858">
          <cell r="I1858">
            <v>806013489</v>
          </cell>
          <cell r="J1858" t="str">
            <v>INSTITUCION EDUCATIVA DE TALAIGUA NUEVO</v>
          </cell>
          <cell r="K1858">
            <v>115069976</v>
          </cell>
        </row>
        <row r="1859">
          <cell r="I1859">
            <v>806013490</v>
          </cell>
          <cell r="J1859" t="str">
            <v>FONDO SERVICIO EDUCATIVO (FOSE) - INSTITUCION EDUCATIVA TOMAS DANIELS DE PATICO</v>
          </cell>
          <cell r="K1859">
            <v>70383502</v>
          </cell>
        </row>
        <row r="1860">
          <cell r="I1860">
            <v>806013491</v>
          </cell>
          <cell r="J1860" t="str">
            <v>I. E. TECNICA AGROPECUARIA DE LA RINCONADA</v>
          </cell>
          <cell r="K1860">
            <v>67654276</v>
          </cell>
        </row>
        <row r="1861">
          <cell r="I1861">
            <v>806013492</v>
          </cell>
          <cell r="J1861" t="str">
            <v>INSTITUCION EDUCATIVA JULIO RAMON FACIOLINCE</v>
          </cell>
          <cell r="K1861">
            <v>142909106</v>
          </cell>
        </row>
        <row r="1862">
          <cell r="I1862">
            <v>806013493</v>
          </cell>
          <cell r="J1862" t="str">
            <v>FONDO DE SERVICIOS EDUCATIVOS EL YUCAL</v>
          </cell>
          <cell r="K1862">
            <v>75957074</v>
          </cell>
        </row>
        <row r="1863">
          <cell r="I1863">
            <v>806013495</v>
          </cell>
          <cell r="J1863" t="str">
            <v>INSTITUCION EDUCATIVA DE MARGARITA</v>
          </cell>
          <cell r="K1863">
            <v>45209476</v>
          </cell>
        </row>
        <row r="1864">
          <cell r="I1864">
            <v>806013496</v>
          </cell>
          <cell r="J1864" t="str">
            <v>INSTITUCION EDUCATIVA EL GUAMO</v>
          </cell>
          <cell r="K1864">
            <v>71738674</v>
          </cell>
        </row>
        <row r="1865">
          <cell r="I1865">
            <v>806013522</v>
          </cell>
          <cell r="J1865" t="str">
            <v>INSTITUCION EDUCATIVA TECNICA AGROPECUARIA LAS PIEDRAS</v>
          </cell>
          <cell r="K1865">
            <v>116504200</v>
          </cell>
        </row>
        <row r="1866">
          <cell r="I1866">
            <v>806013523</v>
          </cell>
          <cell r="J1866" t="str">
            <v>INSTITUCION EDUCATIVA DE ARROY</v>
          </cell>
          <cell r="K1866">
            <v>116172401</v>
          </cell>
        </row>
        <row r="1867">
          <cell r="I1867">
            <v>806013524</v>
          </cell>
          <cell r="J1867" t="str">
            <v>INSTITUTO EDUCATIVO CRISANTO LUQUE</v>
          </cell>
          <cell r="K1867">
            <v>219685166</v>
          </cell>
        </row>
        <row r="1868">
          <cell r="I1868">
            <v>806013525</v>
          </cell>
          <cell r="J1868" t="str">
            <v>INSTITUCION EDUCATIVA TECNICA AGROINDUSTRIAL DE CALAMAR</v>
          </cell>
          <cell r="K1868">
            <v>122865361</v>
          </cell>
        </row>
        <row r="1869">
          <cell r="I1869">
            <v>806013526</v>
          </cell>
          <cell r="J1869" t="str">
            <v>INSTITUCION EDUCATIVA TECNICA JOSE ANTONIO GALAN DE HATOVIEJO</v>
          </cell>
          <cell r="K1869">
            <v>94319014</v>
          </cell>
        </row>
        <row r="1870">
          <cell r="I1870">
            <v>806013530</v>
          </cell>
          <cell r="J1870" t="str">
            <v>INSTITUCION EDUCATIVA DE YATI</v>
          </cell>
          <cell r="K1870">
            <v>115147869</v>
          </cell>
        </row>
        <row r="1871">
          <cell r="I1871">
            <v>806013543</v>
          </cell>
          <cell r="J1871" t="str">
            <v>INSTITUCION EDUCATIVA DE CHILLOA</v>
          </cell>
          <cell r="K1871">
            <v>66533668</v>
          </cell>
        </row>
        <row r="1872">
          <cell r="I1872">
            <v>806013547</v>
          </cell>
          <cell r="J1872" t="str">
            <v>FOSE INSTITUCION EDUCATIVA SEGUNDO AMARIS MATUTE</v>
          </cell>
          <cell r="K1872">
            <v>64641198</v>
          </cell>
        </row>
        <row r="1873">
          <cell r="I1873">
            <v>806013548</v>
          </cell>
          <cell r="J1873" t="str">
            <v>INSTITUCION EDUCATIVA CATALINA HERRERA</v>
          </cell>
          <cell r="K1873">
            <v>80828403</v>
          </cell>
        </row>
        <row r="1874">
          <cell r="I1874">
            <v>806013549</v>
          </cell>
          <cell r="J1874" t="str">
            <v>INSTITUCION EDUCATIVA DE RIOVIEJO</v>
          </cell>
          <cell r="K1874">
            <v>90860265</v>
          </cell>
        </row>
        <row r="1875">
          <cell r="I1875">
            <v>806013550</v>
          </cell>
          <cell r="J1875" t="str">
            <v>CENTRO EDUCATIVO ALFONSO LOPEZ PUMAREJO</v>
          </cell>
          <cell r="K1875">
            <v>99263077</v>
          </cell>
        </row>
        <row r="1876">
          <cell r="I1876">
            <v>806013571</v>
          </cell>
          <cell r="J1876" t="str">
            <v>INSTITUCION EDUCATIVA RAFAEL URIBE URIBE</v>
          </cell>
          <cell r="K1876">
            <v>127811981</v>
          </cell>
        </row>
        <row r="1877">
          <cell r="I1877">
            <v>806013572</v>
          </cell>
          <cell r="J1877" t="str">
            <v>INSTITUCION EDUCATIV LAZARO MARTINEZ OLIER</v>
          </cell>
          <cell r="K1877">
            <v>100455335</v>
          </cell>
        </row>
        <row r="1878">
          <cell r="I1878">
            <v>806013574</v>
          </cell>
          <cell r="J1878" t="str">
            <v>INSTITUCION EDUCATIVA DE CEIBAL</v>
          </cell>
          <cell r="K1878">
            <v>31422824</v>
          </cell>
        </row>
        <row r="1879">
          <cell r="I1879">
            <v>806013575</v>
          </cell>
          <cell r="J1879" t="str">
            <v>INSTITUCION EDUCATIVA DE CASTAÑAL</v>
          </cell>
          <cell r="K1879">
            <v>25253026</v>
          </cell>
        </row>
        <row r="1880">
          <cell r="I1880">
            <v>806013576</v>
          </cell>
          <cell r="J1880" t="str">
            <v>INSTITUCION EDUC. TECNICA AGROPECUARIA DE BUENOS AIRES</v>
          </cell>
          <cell r="K1880">
            <v>25876080</v>
          </cell>
        </row>
        <row r="1881">
          <cell r="I1881">
            <v>806013578</v>
          </cell>
          <cell r="J1881" t="str">
            <v>INSTITUCION EDUCATIVA SAN CAYETANO</v>
          </cell>
          <cell r="K1881">
            <v>119258352</v>
          </cell>
        </row>
        <row r="1882">
          <cell r="I1882">
            <v>806013623</v>
          </cell>
          <cell r="J1882" t="str">
            <v>INSTITUCION EDUCATIVA DE VILLANUEVA</v>
          </cell>
          <cell r="K1882">
            <v>158618011</v>
          </cell>
        </row>
        <row r="1883">
          <cell r="I1883">
            <v>806013640</v>
          </cell>
          <cell r="J1883" t="str">
            <v>INST EDUCATIVA SAN JOSE DE PLA</v>
          </cell>
          <cell r="K1883">
            <v>129763423</v>
          </cell>
        </row>
        <row r="1884">
          <cell r="I1884">
            <v>806013641</v>
          </cell>
          <cell r="J1884" t="str">
            <v>INSTITUCION  EDUCATIVA MANUEL EDMUNDO MENDOZA</v>
          </cell>
          <cell r="K1884">
            <v>87462431</v>
          </cell>
        </row>
        <row r="1885">
          <cell r="I1885">
            <v>806013649</v>
          </cell>
          <cell r="J1885" t="str">
            <v>INSTITUCION EDUCATIVA FRANCISCO DE PAULA SANTANDER</v>
          </cell>
          <cell r="K1885">
            <v>93676824</v>
          </cell>
        </row>
        <row r="1886">
          <cell r="I1886">
            <v>806013661</v>
          </cell>
          <cell r="J1886" t="str">
            <v>INSTITUCION EDUCATIVA SAN JUAN BAUTISTA DE RETIRO</v>
          </cell>
          <cell r="K1886">
            <v>56778250</v>
          </cell>
        </row>
        <row r="1887">
          <cell r="I1887">
            <v>806013679</v>
          </cell>
          <cell r="J1887" t="str">
            <v>INSTITUCION EDUCATIVA SAN MATEO</v>
          </cell>
          <cell r="K1887">
            <v>160291288</v>
          </cell>
        </row>
        <row r="1888">
          <cell r="I1888">
            <v>806013680</v>
          </cell>
          <cell r="J1888" t="str">
            <v>INSTITUCION EDUCATIVA SAN JOSE N° 1</v>
          </cell>
          <cell r="K1888">
            <v>184992367</v>
          </cell>
        </row>
        <row r="1889">
          <cell r="I1889">
            <v>806013691</v>
          </cell>
          <cell r="J1889" t="str">
            <v>INSTITUCION EDUCATIVA DE PLAYITAS</v>
          </cell>
          <cell r="K1889">
            <v>37418483</v>
          </cell>
        </row>
        <row r="1890">
          <cell r="I1890">
            <v>806013702</v>
          </cell>
          <cell r="J1890" t="str">
            <v>INSTITUCION EDUCATIVA TECNICA AGROAMBIENTAL SANTA ROSA DE LIMA</v>
          </cell>
          <cell r="K1890">
            <v>61152499</v>
          </cell>
        </row>
        <row r="1891">
          <cell r="I1891">
            <v>806013705</v>
          </cell>
          <cell r="J1891" t="str">
            <v>INSTITUCION EDUCATIVA DE LAS BOQUILLAS</v>
          </cell>
          <cell r="K1891">
            <v>109211334</v>
          </cell>
        </row>
        <row r="1892">
          <cell r="I1892">
            <v>806013717</v>
          </cell>
          <cell r="J1892" t="str">
            <v>INSTITUCION EDUCATIVA DE SINCERIN</v>
          </cell>
          <cell r="K1892">
            <v>75054342</v>
          </cell>
        </row>
        <row r="1893">
          <cell r="I1893">
            <v>806013718</v>
          </cell>
          <cell r="J1893" t="str">
            <v>INSTITUCION EDUCATIVA NUESTRA SEÑORA DEL CARMEN DE BARBOSA</v>
          </cell>
          <cell r="K1893">
            <v>125557251</v>
          </cell>
        </row>
        <row r="1894">
          <cell r="I1894">
            <v>806013772</v>
          </cell>
          <cell r="J1894" t="str">
            <v>CENTRO EDUCATIVO DEL VIOLO</v>
          </cell>
          <cell r="K1894">
            <v>42164884</v>
          </cell>
        </row>
        <row r="1895">
          <cell r="I1895">
            <v>806013798</v>
          </cell>
          <cell r="J1895" t="str">
            <v>INSTITUCION EDUCATIVA DOMINGO TARRA GUARDO</v>
          </cell>
          <cell r="K1895">
            <v>59396590</v>
          </cell>
        </row>
        <row r="1896">
          <cell r="I1896">
            <v>806013822</v>
          </cell>
          <cell r="J1896" t="str">
            <v>INSTITUCION EDUCATIVA FELIPE SANTIAGO ESCOBAR</v>
          </cell>
          <cell r="K1896">
            <v>77978755</v>
          </cell>
        </row>
        <row r="1897">
          <cell r="I1897">
            <v>806013824</v>
          </cell>
          <cell r="J1897" t="str">
            <v>INSTITUCION EDUCATIVA SAN JOSE N. 2</v>
          </cell>
          <cell r="K1897">
            <v>131180015</v>
          </cell>
        </row>
        <row r="1898">
          <cell r="I1898">
            <v>806013825</v>
          </cell>
          <cell r="J1898" t="str">
            <v>INSTITUCION EDUCATIVA LICEO JOAQUIN FERNANDO VELEZ</v>
          </cell>
          <cell r="K1898">
            <v>183065978</v>
          </cell>
        </row>
        <row r="1899">
          <cell r="I1899">
            <v>806013832</v>
          </cell>
          <cell r="J1899" t="str">
            <v>INSTITUCION EDUCATIVA DOCENTE DE TURBACO</v>
          </cell>
          <cell r="K1899">
            <v>247812287</v>
          </cell>
        </row>
        <row r="1900">
          <cell r="I1900">
            <v>806013851</v>
          </cell>
          <cell r="J1900" t="str">
            <v>INSTITUCION EDUCATIVA TECNICA DE PROMOCION SOCIAL</v>
          </cell>
          <cell r="K1900">
            <v>91732756</v>
          </cell>
        </row>
        <row r="1901">
          <cell r="I1901">
            <v>806013852</v>
          </cell>
          <cell r="J1901" t="str">
            <v>CENTRO EDUCATIVO DELICIAS MINAS DE SANTA CRUZ</v>
          </cell>
          <cell r="K1901">
            <v>59728976</v>
          </cell>
        </row>
        <row r="1902">
          <cell r="I1902">
            <v>806013865</v>
          </cell>
          <cell r="J1902" t="str">
            <v>INSTITUCION EDUCATIVA LA PASCUALA</v>
          </cell>
          <cell r="K1902">
            <v>55212611</v>
          </cell>
        </row>
        <row r="1903">
          <cell r="I1903">
            <v>806013888</v>
          </cell>
          <cell r="J1903" t="str">
            <v>INSTITUCION EDUCATIVA DE GUATACA SUR</v>
          </cell>
          <cell r="K1903">
            <v>33664396</v>
          </cell>
        </row>
        <row r="1904">
          <cell r="I1904">
            <v>806013889</v>
          </cell>
          <cell r="J1904" t="str">
            <v>INSTITUCION EDUCATIVA TECNICA AGROPECUARIA DE PUER</v>
          </cell>
          <cell r="K1904">
            <v>105472909</v>
          </cell>
        </row>
        <row r="1905">
          <cell r="I1905">
            <v>806013890</v>
          </cell>
          <cell r="J1905" t="str">
            <v>INSTITUCION EDUCATIVA LUIS GUILLERMO VIDES</v>
          </cell>
          <cell r="K1905">
            <v>46169023</v>
          </cell>
        </row>
        <row r="1906">
          <cell r="I1906">
            <v>806013899</v>
          </cell>
          <cell r="J1906" t="str">
            <v>CENTRO EDUCATIVO DE AGUAS PRIETAS</v>
          </cell>
          <cell r="K1906">
            <v>10562940</v>
          </cell>
        </row>
        <row r="1907">
          <cell r="I1907">
            <v>806013949</v>
          </cell>
          <cell r="J1907" t="str">
            <v>INSTITUCION EDUCATIVA DE BUENAVISTA</v>
          </cell>
          <cell r="K1907">
            <v>34916755</v>
          </cell>
        </row>
        <row r="1908">
          <cell r="I1908">
            <v>806013950</v>
          </cell>
          <cell r="J1908" t="str">
            <v>INSTITUCION EDUCATIVA DE GAMBOTE</v>
          </cell>
          <cell r="K1908">
            <v>41402363</v>
          </cell>
        </row>
        <row r="1909">
          <cell r="I1909">
            <v>806013958</v>
          </cell>
          <cell r="J1909" t="str">
            <v>INSTITUCION EDUCATIVA DE GUACAMAYO</v>
          </cell>
          <cell r="K1909">
            <v>29336428</v>
          </cell>
        </row>
        <row r="1910">
          <cell r="I1910">
            <v>806013978</v>
          </cell>
          <cell r="J1910" t="str">
            <v>INSTITUCION EDUCATIVA ISLA GRANDE</v>
          </cell>
          <cell r="K1910">
            <v>40437352</v>
          </cell>
        </row>
        <row r="1911">
          <cell r="I1911">
            <v>806014039</v>
          </cell>
          <cell r="J1911" t="str">
            <v>INSTITUCION EDUCATIVA DE RIO NUEVO</v>
          </cell>
          <cell r="K1911">
            <v>47722024</v>
          </cell>
        </row>
        <row r="1912">
          <cell r="I1912">
            <v>806014040</v>
          </cell>
          <cell r="J1912" t="str">
            <v>INST. EDUCATIVA TECNICO AGROPECUARIO SANTA BARBARA DE BARRANCA</v>
          </cell>
          <cell r="K1912">
            <v>131395645</v>
          </cell>
        </row>
        <row r="1913">
          <cell r="I1913">
            <v>806014051</v>
          </cell>
          <cell r="J1913" t="str">
            <v>INSTITUCION EDUCATIVA TECNICA INDUSTRIAL JUAN FEDERICO HOLLMANN</v>
          </cell>
          <cell r="K1913">
            <v>146143146</v>
          </cell>
        </row>
        <row r="1914">
          <cell r="I1914">
            <v>806014130</v>
          </cell>
          <cell r="J1914" t="str">
            <v>CENTRO EDUCATIVO DE GALLEGO</v>
          </cell>
          <cell r="K1914">
            <v>23201759</v>
          </cell>
        </row>
        <row r="1915">
          <cell r="I1915">
            <v>806014208</v>
          </cell>
          <cell r="J1915" t="str">
            <v>INSTITUCION EDUCATIVA TECNICA AGROPECUARIA DEL CHICAGUA</v>
          </cell>
          <cell r="K1915">
            <v>73892793</v>
          </cell>
        </row>
        <row r="1916">
          <cell r="I1916">
            <v>806014225</v>
          </cell>
          <cell r="J1916" t="str">
            <v>INSTITUCION EDUCATIVA GEOVANNY CRISTINI CRISTINI</v>
          </cell>
          <cell r="K1916">
            <v>103223788</v>
          </cell>
        </row>
        <row r="1917">
          <cell r="I1917">
            <v>806014233</v>
          </cell>
          <cell r="J1917" t="str">
            <v>INSTITUCION EDUCATIVA SANTA LUCIA</v>
          </cell>
          <cell r="K1917">
            <v>38697743</v>
          </cell>
        </row>
        <row r="1918">
          <cell r="I1918">
            <v>806014296</v>
          </cell>
          <cell r="J1918" t="str">
            <v>INSTITUCION EDUCATIVA TECNICA DE SAN JACINTO</v>
          </cell>
          <cell r="K1918">
            <v>111455854</v>
          </cell>
        </row>
        <row r="1919">
          <cell r="I1919">
            <v>806014352</v>
          </cell>
          <cell r="J1919" t="str">
            <v>I.E. LA CHAPETONA</v>
          </cell>
          <cell r="K1919">
            <v>27412581</v>
          </cell>
        </row>
        <row r="1920">
          <cell r="I1920">
            <v>806014353</v>
          </cell>
          <cell r="J1920" t="str">
            <v>INSTITUCION EDUCATIVA RIO GRANDE LA MAGDALENA</v>
          </cell>
          <cell r="K1920">
            <v>118392616</v>
          </cell>
        </row>
        <row r="1921">
          <cell r="I1921">
            <v>806014388</v>
          </cell>
          <cell r="J1921" t="str">
            <v>INSTITUCION EDUCATIVA DE EVITAR</v>
          </cell>
          <cell r="K1921">
            <v>46859374</v>
          </cell>
        </row>
        <row r="1922">
          <cell r="I1922">
            <v>806014503</v>
          </cell>
          <cell r="J1922" t="str">
            <v>CENTRO EDUCATIVO EL PARAISO</v>
          </cell>
          <cell r="K1922">
            <v>49750749</v>
          </cell>
        </row>
        <row r="1923">
          <cell r="I1923">
            <v>806014548</v>
          </cell>
          <cell r="J1923" t="str">
            <v>INSTITUCION EDUCATIV DE SANTA COA</v>
          </cell>
          <cell r="K1923">
            <v>59205067</v>
          </cell>
        </row>
        <row r="1924">
          <cell r="I1924">
            <v>806014555</v>
          </cell>
          <cell r="J1924" t="str">
            <v>CENTRO EDUCATIVO SAN AGUSTIN</v>
          </cell>
          <cell r="K1924">
            <v>6369997</v>
          </cell>
        </row>
        <row r="1925">
          <cell r="I1925">
            <v>806014561</v>
          </cell>
          <cell r="J1925" t="str">
            <v>INSTITUCION EDUCATIVA TECNICA ACUICOLA NUESTRA SEÑORA DE MONTECLARO</v>
          </cell>
          <cell r="K1925">
            <v>106110504</v>
          </cell>
        </row>
        <row r="1926">
          <cell r="I1926">
            <v>806014736</v>
          </cell>
          <cell r="J1926" t="str">
            <v>CENTRO EEDUCATIVO CHIRICOCO</v>
          </cell>
          <cell r="K1926">
            <v>15499828</v>
          </cell>
        </row>
        <row r="1927">
          <cell r="I1927">
            <v>806014845</v>
          </cell>
          <cell r="J1927" t="str">
            <v>INSTIT EDUCATIVA DE NOROSI</v>
          </cell>
          <cell r="K1927">
            <v>136479705</v>
          </cell>
        </row>
        <row r="1928">
          <cell r="I1928">
            <v>806014848</v>
          </cell>
          <cell r="J1928" t="str">
            <v>INSTITUCION EDUCATIVA RODOLFO BARRIOS CABRERA</v>
          </cell>
          <cell r="K1928">
            <v>40178076</v>
          </cell>
        </row>
        <row r="1929">
          <cell r="I1929">
            <v>806014883</v>
          </cell>
          <cell r="J1929" t="str">
            <v>INSTITUCION EDUCATIVA TECNICA EN INFORMATICA  DE SINCELEJITO</v>
          </cell>
          <cell r="K1929">
            <v>22912072</v>
          </cell>
        </row>
        <row r="1930">
          <cell r="I1930">
            <v>806014999</v>
          </cell>
          <cell r="J1930" t="str">
            <v>INSTITUCION EDUCATIVA TECNICA INDUSTRIAL MOISES CA</v>
          </cell>
          <cell r="K1930">
            <v>143028556</v>
          </cell>
        </row>
        <row r="1931">
          <cell r="I1931">
            <v>806015355</v>
          </cell>
          <cell r="J1931" t="str">
            <v>INSTITUCION EDUCATIVA DE TIQUISIO NUEVO</v>
          </cell>
          <cell r="K1931">
            <v>56736984</v>
          </cell>
        </row>
        <row r="1932">
          <cell r="I1932">
            <v>806016512</v>
          </cell>
          <cell r="J1932" t="str">
            <v>INSTITUCION EDUCATIVA JOSE MARIA CORDOBA</v>
          </cell>
          <cell r="K1932">
            <v>84900969</v>
          </cell>
        </row>
        <row r="1933">
          <cell r="I1933">
            <v>806016708</v>
          </cell>
          <cell r="J1933" t="str">
            <v>INSTITUCION EDUCATIVA AGROPECUARIA SAN ANTONIO</v>
          </cell>
          <cell r="K1933">
            <v>27726033</v>
          </cell>
        </row>
        <row r="1934">
          <cell r="I1934">
            <v>806016958</v>
          </cell>
          <cell r="J1934" t="str">
            <v>CENTRO EDUCATIVO SANTA FE ICOTEA</v>
          </cell>
          <cell r="K1934">
            <v>10064196</v>
          </cell>
        </row>
        <row r="1935">
          <cell r="I1935">
            <v>807000184</v>
          </cell>
          <cell r="J1935" t="str">
            <v>FONDO DE SERVICIO EDUCATIVO COL JOSE AQUILINO DURAN</v>
          </cell>
          <cell r="K1935">
            <v>92523074</v>
          </cell>
        </row>
        <row r="1936">
          <cell r="I1936">
            <v>807000210</v>
          </cell>
          <cell r="J1936" t="str">
            <v>FONDO DE SERVICIO EDUCATIVO COL FRAY MANUEL ALVAREZ</v>
          </cell>
          <cell r="K1936">
            <v>45175148</v>
          </cell>
        </row>
        <row r="1937">
          <cell r="I1937">
            <v>807000313</v>
          </cell>
          <cell r="J1937" t="str">
            <v>INSTITUCUON EDUCATIVA EUSTORGIO COLMENARES BAPTISTA</v>
          </cell>
          <cell r="K1937">
            <v>175459246</v>
          </cell>
        </row>
        <row r="1938">
          <cell r="I1938">
            <v>807000325</v>
          </cell>
          <cell r="J1938" t="str">
            <v>FONDO DE SERVICIO EDUCATIVO COL CAMILO TORRES</v>
          </cell>
          <cell r="K1938">
            <v>86984387</v>
          </cell>
        </row>
        <row r="1939">
          <cell r="I1939">
            <v>807000367</v>
          </cell>
          <cell r="J1939" t="str">
            <v>FONDO DE SERVICIO EDUCATIVO COL  RAFAEL URIBE URIBE-PAZ Y FUTURO</v>
          </cell>
          <cell r="K1939">
            <v>123791230</v>
          </cell>
        </row>
        <row r="1940">
          <cell r="I1940">
            <v>807000499</v>
          </cell>
          <cell r="J1940" t="str">
            <v>FONDO DE SERVICIO EDUCATIVO COL LOS SANTOS APOSTOLES</v>
          </cell>
          <cell r="K1940">
            <v>246644384</v>
          </cell>
        </row>
        <row r="1941">
          <cell r="I1941">
            <v>807000645</v>
          </cell>
          <cell r="J1941" t="str">
            <v>FONDO DE SERVICIO EDUCATIVO COL CARLOS TOLEDO PLATA</v>
          </cell>
          <cell r="K1941">
            <v>88894876</v>
          </cell>
        </row>
        <row r="1942">
          <cell r="I1942">
            <v>807000775</v>
          </cell>
          <cell r="J1942" t="str">
            <v>INSTITUCION EDUCATIVA EMILIANO SANTIAGO QUINTERO</v>
          </cell>
          <cell r="K1942">
            <v>44918087</v>
          </cell>
        </row>
        <row r="1943">
          <cell r="I1943">
            <v>807000831</v>
          </cell>
          <cell r="J1943" t="str">
            <v>FONDO DE SERVICIO EDUCATIVO COL PADRE RAFAEL GARCIA HERREROS</v>
          </cell>
          <cell r="K1943">
            <v>42648900</v>
          </cell>
        </row>
        <row r="1944">
          <cell r="I1944">
            <v>807000998</v>
          </cell>
          <cell r="J1944" t="str">
            <v>INST TECNICO MUNICIPAL DE LOS PATIOS</v>
          </cell>
          <cell r="K1944">
            <v>285581613</v>
          </cell>
        </row>
        <row r="1945">
          <cell r="I1945">
            <v>807001006</v>
          </cell>
          <cell r="J1945" t="str">
            <v>COL PRESBITERO ALVARO SUAREZ</v>
          </cell>
          <cell r="K1945">
            <v>119257646</v>
          </cell>
        </row>
        <row r="1946">
          <cell r="I1946">
            <v>807001044</v>
          </cell>
          <cell r="J1946" t="str">
            <v>FONDO DE SERVICIO EDUCATIVO COL ANTONIO NARIO</v>
          </cell>
          <cell r="K1946">
            <v>67173616</v>
          </cell>
        </row>
        <row r="1947">
          <cell r="I1947">
            <v>807001066</v>
          </cell>
          <cell r="J1947" t="str">
            <v>INSTITUTO AGRICOLA</v>
          </cell>
          <cell r="K1947">
            <v>57260347</v>
          </cell>
        </row>
        <row r="1948">
          <cell r="I1948">
            <v>807001331</v>
          </cell>
          <cell r="J1948" t="str">
            <v>instituto tecnico agropecuario juan frio</v>
          </cell>
          <cell r="K1948">
            <v>49536124</v>
          </cell>
        </row>
        <row r="1949">
          <cell r="I1949">
            <v>807001423</v>
          </cell>
          <cell r="J1949" t="str">
            <v>FONDO DE SERVICIO EDUCATIVO COL MANUEL ANTONIO FERNANDEZ DE NOVOA</v>
          </cell>
          <cell r="K1949">
            <v>69817008</v>
          </cell>
        </row>
        <row r="1950">
          <cell r="I1950">
            <v>807001445</v>
          </cell>
          <cell r="J1950" t="str">
            <v>INST ARQUIDIOCESANO SAN FRANCISCO DE ASIS</v>
          </cell>
          <cell r="K1950">
            <v>103249156</v>
          </cell>
        </row>
        <row r="1951">
          <cell r="I1951">
            <v>807001459</v>
          </cell>
          <cell r="J1951" t="str">
            <v>I.E COL SAN BERNARDO</v>
          </cell>
          <cell r="K1951">
            <v>45816146</v>
          </cell>
        </row>
        <row r="1952">
          <cell r="I1952">
            <v>807001474</v>
          </cell>
          <cell r="J1952" t="str">
            <v>FONDO DE SERVICIO EDUCATIVO COL MARIANO OSPINA RODRIGUEZ</v>
          </cell>
          <cell r="K1952">
            <v>229281641</v>
          </cell>
        </row>
        <row r="1953">
          <cell r="I1953">
            <v>807001561</v>
          </cell>
          <cell r="J1953" t="str">
            <v>FONDO DE SERVICIO EDUCATIVO INST EDUC COL MPAL AEROPUERTO</v>
          </cell>
          <cell r="K1953">
            <v>245505802</v>
          </cell>
        </row>
        <row r="1954">
          <cell r="I1954">
            <v>807001601</v>
          </cell>
          <cell r="J1954" t="str">
            <v>FONDO DE SERVICIO EDUCATIVO INST TEC RAFAEL GARCIA HERREROS</v>
          </cell>
          <cell r="K1954">
            <v>54988395</v>
          </cell>
        </row>
        <row r="1955">
          <cell r="I1955">
            <v>807001704</v>
          </cell>
          <cell r="J1955" t="str">
            <v>inst. edu. Col. Manuel antonio rueda jara</v>
          </cell>
          <cell r="K1955">
            <v>105807930</v>
          </cell>
        </row>
        <row r="1956">
          <cell r="I1956">
            <v>807001706</v>
          </cell>
          <cell r="J1956" t="str">
            <v>COL SAGRADO CORAZON DE JESUS</v>
          </cell>
          <cell r="K1956">
            <v>29164702</v>
          </cell>
        </row>
        <row r="1957">
          <cell r="I1957">
            <v>807001921</v>
          </cell>
          <cell r="J1957" t="str">
            <v>INSTITUCION EDUCATIVA JOSE EUSEBIO CARO DEL MUNICIPIO DE OCAÑA</v>
          </cell>
          <cell r="K1957">
            <v>234763034</v>
          </cell>
        </row>
        <row r="1958">
          <cell r="I1958">
            <v>807002004</v>
          </cell>
          <cell r="J1958" t="str">
            <v>centro educativo antonio jose de sucre</v>
          </cell>
          <cell r="K1958">
            <v>17744731</v>
          </cell>
        </row>
        <row r="1959">
          <cell r="I1959">
            <v>807002040</v>
          </cell>
          <cell r="J1959" t="str">
            <v>FONDO DE SERVICIO EDUCATIVO INST TEC PADRE MANUEL BRICEO JAUREGUI (FE Y ALEGRIA)</v>
          </cell>
          <cell r="K1959">
            <v>122243905</v>
          </cell>
        </row>
        <row r="1960">
          <cell r="I1960">
            <v>807002171</v>
          </cell>
          <cell r="J1960" t="str">
            <v>FONDO DE SERVICIO EDUCATIVO COL  JULIO PEREZ FERRERO</v>
          </cell>
          <cell r="K1960">
            <v>231579668</v>
          </cell>
        </row>
        <row r="1961">
          <cell r="I1961">
            <v>807002373</v>
          </cell>
          <cell r="J1961" t="str">
            <v>INSTITUCION EDUCATIVA TECNICA NUESTRA SEÑORA DE LA PRESENTACION</v>
          </cell>
          <cell r="K1961">
            <v>87878290</v>
          </cell>
        </row>
        <row r="1962">
          <cell r="I1962">
            <v>807002384</v>
          </cell>
          <cell r="J1962" t="str">
            <v>colegio gibraltar del municipio de toledo</v>
          </cell>
          <cell r="K1962">
            <v>30842665</v>
          </cell>
        </row>
        <row r="1963">
          <cell r="I1963">
            <v>807002615</v>
          </cell>
          <cell r="J1963" t="str">
            <v>FONDO DE SERVICIO EDUCATIVO COL JUANA RANGEL DE CUELLAR</v>
          </cell>
          <cell r="K1963">
            <v>62358075</v>
          </cell>
        </row>
        <row r="1964">
          <cell r="I1964">
            <v>807002632</v>
          </cell>
          <cell r="J1964" t="str">
            <v>COL SAN ANTONIO</v>
          </cell>
          <cell r="K1964">
            <v>52878960</v>
          </cell>
        </row>
        <row r="1965">
          <cell r="I1965">
            <v>807002663</v>
          </cell>
          <cell r="J1965" t="str">
            <v>FONDO DE SERVICIO EDUCATIVO COL BUENOS AIRES</v>
          </cell>
          <cell r="K1965">
            <v>89020180</v>
          </cell>
        </row>
        <row r="1966">
          <cell r="I1966">
            <v>807002720</v>
          </cell>
          <cell r="J1966" t="str">
            <v>INSTITUCION EDUCATIVA FRANCISCO DE PAULA SANTANDER DEL ZULIA</v>
          </cell>
          <cell r="K1966">
            <v>112451814</v>
          </cell>
        </row>
        <row r="1967">
          <cell r="I1967">
            <v>807002964</v>
          </cell>
          <cell r="J1967" t="str">
            <v>INSTITUCION EDUCATIVA NORMAL SUPERIOR MUNICIPIO DE CONVENCION</v>
          </cell>
          <cell r="K1967">
            <v>62797694</v>
          </cell>
        </row>
        <row r="1968">
          <cell r="I1968">
            <v>807003049</v>
          </cell>
          <cell r="J1968" t="str">
            <v>INST EDUCATIVA BETHLEMITAS BRIGHTON</v>
          </cell>
          <cell r="K1968">
            <v>72867684</v>
          </cell>
        </row>
        <row r="1969">
          <cell r="I1969">
            <v>807003793</v>
          </cell>
          <cell r="J1969" t="str">
            <v>CENT EDUC RUR LA UNION</v>
          </cell>
          <cell r="K1969">
            <v>15255497</v>
          </cell>
        </row>
        <row r="1970">
          <cell r="I1970">
            <v>807003826</v>
          </cell>
          <cell r="J1970" t="str">
            <v>CENTRO EDUCATIVO RURAL PEDRO CARREÑO LEMUS</v>
          </cell>
          <cell r="K1970">
            <v>50919275</v>
          </cell>
        </row>
        <row r="1971">
          <cell r="I1971">
            <v>807004097</v>
          </cell>
          <cell r="J1971" t="str">
            <v>INSTITUCION EDUCATIVA AGRICOLA RISARALDA</v>
          </cell>
          <cell r="K1971">
            <v>90879127</v>
          </cell>
        </row>
        <row r="1972">
          <cell r="I1972">
            <v>807004145</v>
          </cell>
          <cell r="J1972" t="str">
            <v>COL INTEGRADO NUESTRA SEÑORA DEL CARMEN</v>
          </cell>
          <cell r="K1972">
            <v>26678166</v>
          </cell>
        </row>
        <row r="1973">
          <cell r="I1973">
            <v>807004227</v>
          </cell>
          <cell r="J1973" t="str">
            <v>fondos servicios educ. col. Reyes araque</v>
          </cell>
          <cell r="K1973">
            <v>39563833</v>
          </cell>
        </row>
        <row r="1974">
          <cell r="I1974">
            <v>807004378</v>
          </cell>
          <cell r="J1974" t="str">
            <v>institucion educativa la garita</v>
          </cell>
          <cell r="K1974">
            <v>48892388</v>
          </cell>
        </row>
        <row r="1975">
          <cell r="I1975">
            <v>807005032</v>
          </cell>
          <cell r="J1975" t="str">
            <v>COL LA SALLE</v>
          </cell>
          <cell r="K1975">
            <v>197751778</v>
          </cell>
        </row>
        <row r="1976">
          <cell r="I1976">
            <v>807005239</v>
          </cell>
          <cell r="J1976" t="str">
            <v>FONDO DE SERVICIO EDUCATIVO INST TEC MISAEL PASTRANA BORRERO PAZ Y FUTURO</v>
          </cell>
          <cell r="K1976">
            <v>104991038</v>
          </cell>
        </row>
        <row r="1977">
          <cell r="I1977">
            <v>807005564</v>
          </cell>
          <cell r="J1977" t="str">
            <v>INST TECNICO NUESTRA SEÑORA DE BELEN</v>
          </cell>
          <cell r="K1977">
            <v>50659728</v>
          </cell>
        </row>
        <row r="1978">
          <cell r="I1978">
            <v>807005884</v>
          </cell>
          <cell r="J1978" t="str">
            <v>COLEGIO NSTRA SRA DEL ROSARIO</v>
          </cell>
          <cell r="K1978">
            <v>28173714</v>
          </cell>
        </row>
        <row r="1979">
          <cell r="I1979">
            <v>807005982</v>
          </cell>
          <cell r="J1979" t="str">
            <v>COL INTEGRADO NUESTRA SEORA DE LAS ANGUSTIAS</v>
          </cell>
          <cell r="K1979">
            <v>37783052</v>
          </cell>
        </row>
        <row r="1980">
          <cell r="I1980">
            <v>807006133</v>
          </cell>
          <cell r="J1980" t="str">
            <v>INST EDUCATIVA COL INTEGRADO GILBERTO CLARO LOZANO</v>
          </cell>
          <cell r="K1980">
            <v>21615196</v>
          </cell>
        </row>
        <row r="1981">
          <cell r="I1981">
            <v>807006276</v>
          </cell>
          <cell r="J1981" t="str">
            <v>fondo de servicios educ del cer chichira</v>
          </cell>
          <cell r="K1981">
            <v>18472044</v>
          </cell>
        </row>
        <row r="1982">
          <cell r="I1982">
            <v>807006596</v>
          </cell>
          <cell r="J1982" t="str">
            <v>CENT EDUC RUR AGUAS CLARAS</v>
          </cell>
          <cell r="K1982">
            <v>54092620</v>
          </cell>
        </row>
        <row r="1983">
          <cell r="I1983">
            <v>807006792</v>
          </cell>
          <cell r="J1983" t="str">
            <v>FONDO DE SERVICIO EDUCATIVO INST TEC CRISTO OBRERO PAZ Y FUTURO</v>
          </cell>
          <cell r="K1983">
            <v>50001535</v>
          </cell>
        </row>
        <row r="1984">
          <cell r="I1984">
            <v>807006864</v>
          </cell>
          <cell r="J1984" t="str">
            <v>INSTITUCION EDUCATIVA COLEGIO EDUARDO COTE LAMUS DE LA ESPERANZA NORTE DE SANTANDER</v>
          </cell>
          <cell r="K1984">
            <v>38414823</v>
          </cell>
        </row>
        <row r="1985">
          <cell r="I1985">
            <v>807007089</v>
          </cell>
          <cell r="J1985" t="str">
            <v>INSTITUCION EDUCATIVA CONDE SAN GERMAN</v>
          </cell>
          <cell r="K1985">
            <v>40274611</v>
          </cell>
        </row>
        <row r="1986">
          <cell r="I1986">
            <v>807007119</v>
          </cell>
          <cell r="J1986" t="str">
            <v>I.E. COL FRANCISCO FERNANDEZ DE CONTRERAS</v>
          </cell>
          <cell r="K1986">
            <v>196838925</v>
          </cell>
        </row>
        <row r="1987">
          <cell r="I1987">
            <v>807007191</v>
          </cell>
          <cell r="J1987" t="str">
            <v>FONDO DE SERVICIO EDUCATIVO INST TEC CARLOS RAMIREZ PARIS - PAZ Y FUTURO</v>
          </cell>
          <cell r="K1987">
            <v>265283110</v>
          </cell>
        </row>
        <row r="1988">
          <cell r="I1988">
            <v>807007504</v>
          </cell>
          <cell r="J1988" t="str">
            <v>FONDO DE SERVICIO EDUCATIVO COL SAN JOSE DE CUCUTA</v>
          </cell>
          <cell r="K1988">
            <v>183376992</v>
          </cell>
        </row>
        <row r="1989">
          <cell r="I1989">
            <v>807007694</v>
          </cell>
          <cell r="J1989" t="str">
            <v>INSTITUCION EDUCATIVA JESUS ANTONIO RAMIREZ FONDO DE SERVICIO AL DOCENTE</v>
          </cell>
          <cell r="K1989">
            <v>34035136</v>
          </cell>
        </row>
        <row r="1990">
          <cell r="I1990">
            <v>807007748</v>
          </cell>
          <cell r="J1990" t="str">
            <v>INSTITUCION EDUCATIVA "CARLOS JULIO TORRADO PEÑARANDA" ABREGO-NTE SANTANDER</v>
          </cell>
          <cell r="K1990">
            <v>126736575</v>
          </cell>
        </row>
        <row r="1991">
          <cell r="I1991">
            <v>807007898</v>
          </cell>
          <cell r="J1991" t="str">
            <v>COLEGIO INTEGRADO FE Y ALEGRIA</v>
          </cell>
          <cell r="K1991">
            <v>111089020</v>
          </cell>
        </row>
        <row r="1992">
          <cell r="I1992">
            <v>807008076</v>
          </cell>
          <cell r="J1992" t="str">
            <v>INST EDUCATIVA INTEGRADO LA LLANA</v>
          </cell>
          <cell r="K1992">
            <v>37635481</v>
          </cell>
        </row>
        <row r="1993">
          <cell r="I1993">
            <v>807008314</v>
          </cell>
          <cell r="J1993" t="str">
            <v>INST EDUCATIVA INTEGRADO PETROLEA</v>
          </cell>
          <cell r="K1993">
            <v>58951275</v>
          </cell>
        </row>
        <row r="1994">
          <cell r="I1994">
            <v>807008467</v>
          </cell>
          <cell r="J1994" t="str">
            <v>instituto educativo colegio samore</v>
          </cell>
          <cell r="K1994">
            <v>26733206</v>
          </cell>
        </row>
        <row r="1995">
          <cell r="I1995">
            <v>807008696</v>
          </cell>
          <cell r="J1995" t="str">
            <v>INSTITUTO AGRICOLA CACHIRA FONDOS DE SERVICIOS</v>
          </cell>
          <cell r="K1995">
            <v>16284083</v>
          </cell>
        </row>
        <row r="1996">
          <cell r="I1996">
            <v>807009550</v>
          </cell>
          <cell r="J1996" t="str">
            <v>FONDO DE SERVICIO EDUCATIVO COL CLAUDIA MARIA PRADA AYALA</v>
          </cell>
          <cell r="K1996">
            <v>174421650</v>
          </cell>
        </row>
        <row r="1997">
          <cell r="I1997">
            <v>808000288</v>
          </cell>
          <cell r="J1997" t="str">
            <v>INSTITUCION EDUCATIVA FUNDADORES RAMON BUENO Y JOSE TRIANA</v>
          </cell>
          <cell r="K1997">
            <v>89069703</v>
          </cell>
        </row>
        <row r="1998">
          <cell r="I1998">
            <v>808000314</v>
          </cell>
          <cell r="J1998" t="str">
            <v>INSTITUCION EDUCATIVA DEPARTAMENTAL PRADILLA</v>
          </cell>
          <cell r="K1998">
            <v>66054634</v>
          </cell>
        </row>
        <row r="1999">
          <cell r="I1999">
            <v>808000332</v>
          </cell>
          <cell r="J1999" t="str">
            <v>Institución Educativa Municipal Técnica de Acción Comunal</v>
          </cell>
          <cell r="K1999">
            <v>145370816</v>
          </cell>
        </row>
        <row r="2000">
          <cell r="I2000">
            <v>808000563</v>
          </cell>
          <cell r="J2000" t="str">
            <v>Institución Educativa Municipal Francisco José de Caldas</v>
          </cell>
          <cell r="K2000">
            <v>56188380</v>
          </cell>
        </row>
        <row r="2001">
          <cell r="I2001">
            <v>808000763</v>
          </cell>
          <cell r="J2001" t="str">
            <v>INSTITUCION EDUCATIVA DEPARTAMENTAL ORESTE SINDICI</v>
          </cell>
          <cell r="K2001">
            <v>52333624</v>
          </cell>
        </row>
        <row r="2002">
          <cell r="I2002">
            <v>808000766</v>
          </cell>
          <cell r="J2002" t="str">
            <v>Institucion Educativa Municipal Manuel Humberto Cardenas Velez</v>
          </cell>
          <cell r="K2002">
            <v>107838637</v>
          </cell>
        </row>
        <row r="2003">
          <cell r="I2003">
            <v>808000833</v>
          </cell>
          <cell r="J2003" t="str">
            <v>NORMAL SUPERIOR PASCA</v>
          </cell>
          <cell r="K2003">
            <v>124543710</v>
          </cell>
        </row>
        <row r="2004">
          <cell r="I2004">
            <v>808000851</v>
          </cell>
          <cell r="J2004" t="str">
            <v>Institución Educativa Municipal Luis Carlos Galán Sarmiento</v>
          </cell>
          <cell r="K2004">
            <v>63769783</v>
          </cell>
        </row>
        <row r="2005">
          <cell r="I2005">
            <v>808000852</v>
          </cell>
          <cell r="J2005" t="str">
            <v>Institucion Educativa Municipal Campestre Nuevo Horizonte</v>
          </cell>
          <cell r="K2005">
            <v>76211636</v>
          </cell>
        </row>
        <row r="2006">
          <cell r="I2006">
            <v>808001150</v>
          </cell>
          <cell r="J2006" t="str">
            <v>Unidad Educativa Municipal Jose Celestino Mutis</v>
          </cell>
          <cell r="K2006">
            <v>130793659</v>
          </cell>
        </row>
        <row r="2007">
          <cell r="I2007">
            <v>808001253</v>
          </cell>
          <cell r="J2007" t="str">
            <v>COLEGIO TECNICO AGROPECUARIO JAIME DE NARVAEZ BELTRAN</v>
          </cell>
          <cell r="K2007">
            <v>21059900</v>
          </cell>
        </row>
        <row r="2008">
          <cell r="I2008">
            <v>808001257</v>
          </cell>
          <cell r="J2008" t="str">
            <v>Institucion Educativa Municipal Guavio Bajo</v>
          </cell>
          <cell r="K2008">
            <v>47999814</v>
          </cell>
        </row>
        <row r="2009">
          <cell r="I2009">
            <v>808001340</v>
          </cell>
          <cell r="J2009" t="str">
            <v>INSTITUCION EDUCATIVA DEPARTAMENTAL POLICARPA SALAVARRIETA</v>
          </cell>
          <cell r="K2009">
            <v>108012128</v>
          </cell>
        </row>
        <row r="2010">
          <cell r="I2010">
            <v>808001733</v>
          </cell>
          <cell r="J2010" t="str">
            <v xml:space="preserve">INSTITUCION EDUCATIVA DEPARTAMENTAL BETULIA </v>
          </cell>
          <cell r="K2010">
            <v>70828932</v>
          </cell>
        </row>
        <row r="2011">
          <cell r="I2011">
            <v>808002143</v>
          </cell>
          <cell r="J2011" t="str">
            <v>INSTITUCION EDUCATIVA RURAL DEPARTAMENTAL ERNESTO APARICIO JARAMILLO</v>
          </cell>
          <cell r="K2011">
            <v>51434984</v>
          </cell>
        </row>
        <row r="2012">
          <cell r="I2012">
            <v>808002273</v>
          </cell>
          <cell r="J2012" t="str">
            <v>INSTITUCION EDUCATIVA DEPARTAMENTAL PUEBLO NUEVO</v>
          </cell>
          <cell r="K2012">
            <v>20513202</v>
          </cell>
        </row>
        <row r="2013">
          <cell r="I2013">
            <v>808002503</v>
          </cell>
          <cell r="J2013" t="str">
            <v>COLEGIO DEPARTAMENTAL NACIONALIZADO</v>
          </cell>
          <cell r="K2013">
            <v>34335752</v>
          </cell>
        </row>
        <row r="2014">
          <cell r="I2014">
            <v>808003282</v>
          </cell>
          <cell r="J2014" t="str">
            <v>INSTITUCION EDUCATIVA LUIS ANTONIO DUQUE PEÑA</v>
          </cell>
          <cell r="K2014">
            <v>71850082</v>
          </cell>
        </row>
        <row r="2015">
          <cell r="I2015">
            <v>808003386</v>
          </cell>
          <cell r="J2015" t="str">
            <v>INSTITUCION EDUCATIVA DEPARTAMENTAL LA ESMERALDA</v>
          </cell>
          <cell r="K2015">
            <v>40081752</v>
          </cell>
        </row>
        <row r="2016">
          <cell r="I2016">
            <v>808003430</v>
          </cell>
          <cell r="J2016" t="str">
            <v>INSTITUCION EDUCATIVA DEPARTAMENTAL SABIO MUTIS</v>
          </cell>
          <cell r="K2016">
            <v>50363114</v>
          </cell>
        </row>
        <row r="2017">
          <cell r="I2017">
            <v>808003471</v>
          </cell>
          <cell r="J2017" t="str">
            <v>INSTITUCION EDUCATIVA DEPARTMAENTAL BATEAS</v>
          </cell>
          <cell r="K2017">
            <v>13003986</v>
          </cell>
        </row>
        <row r="2018">
          <cell r="I2018">
            <v>808003510</v>
          </cell>
          <cell r="J2018" t="str">
            <v>INSTITUCION EDUCATIVA SAN NICOLAS</v>
          </cell>
          <cell r="K2018">
            <v>34510943</v>
          </cell>
        </row>
        <row r="2019">
          <cell r="I2019">
            <v>808003526</v>
          </cell>
          <cell r="J2019" t="str">
            <v>INSTITUCION EDUCATIVA RURAL DEPARTAMENTAL SANTA TERESA</v>
          </cell>
          <cell r="K2019">
            <v>26367632</v>
          </cell>
        </row>
        <row r="2020">
          <cell r="I2020">
            <v>808003547</v>
          </cell>
          <cell r="J2020" t="str">
            <v>INSTITUCION EDUCATIVA RURAL DEPARTMANETAL ANDES</v>
          </cell>
          <cell r="K2020">
            <v>30964822</v>
          </cell>
        </row>
        <row r="2021">
          <cell r="I2021">
            <v>808003762</v>
          </cell>
          <cell r="J2021" t="str">
            <v>FONDO EDUCATIVO IERD SUBIA</v>
          </cell>
          <cell r="K2021">
            <v>122715430</v>
          </cell>
        </row>
        <row r="2022">
          <cell r="I2022">
            <v>808003773</v>
          </cell>
          <cell r="J2022" t="str">
            <v>INSTITUCION EDUCATIVA DEPARTAMENTAL SAN JAVIER</v>
          </cell>
          <cell r="K2022">
            <v>19699507</v>
          </cell>
        </row>
        <row r="2023">
          <cell r="I2023">
            <v>808003783</v>
          </cell>
          <cell r="J2023" t="str">
            <v>IED AGUA BONITA</v>
          </cell>
          <cell r="K2023">
            <v>47736879</v>
          </cell>
        </row>
        <row r="2024">
          <cell r="I2024">
            <v>808003784</v>
          </cell>
          <cell r="J2024" t="str">
            <v>FONDO DE SERVICIOS EDUCATIVOS</v>
          </cell>
          <cell r="K2024">
            <v>39648476</v>
          </cell>
        </row>
        <row r="2025">
          <cell r="I2025">
            <v>808003795</v>
          </cell>
          <cell r="J2025" t="str">
            <v>INSTITUCION EDUCATIVA DEPARTAMENTAL TECNICO AGROPECUARIO JAIME DE NARVAEZ PAQUILO</v>
          </cell>
          <cell r="K2025">
            <v>16808874</v>
          </cell>
        </row>
        <row r="2026">
          <cell r="I2026">
            <v>808003801</v>
          </cell>
          <cell r="J2026" t="str">
            <v>FONDO DE SERVICIOS EDUCATIVOS</v>
          </cell>
          <cell r="K2026">
            <v>24515112</v>
          </cell>
        </row>
        <row r="2027">
          <cell r="I2027">
            <v>808004112</v>
          </cell>
          <cell r="J2027" t="str">
            <v>IED COLEGIO KIRPALAMAR RECURSOS GENERALES</v>
          </cell>
          <cell r="K2027">
            <v>60575833</v>
          </cell>
        </row>
        <row r="2028">
          <cell r="I2028">
            <v>809000010</v>
          </cell>
          <cell r="J2028" t="str">
            <v>FONDO DE SERVICIOS DE LA INSTITUCION EDUCATIVA TECNICA CIUDAD ARKALA</v>
          </cell>
          <cell r="K2028">
            <v>70270766</v>
          </cell>
        </row>
        <row r="2029">
          <cell r="I2029">
            <v>809000090</v>
          </cell>
          <cell r="J2029" t="str">
            <v>FONDO DE SERVICIOS EDUCATIVOS INSTITUCION EDUCATIVA NIÑO JESUS DE PRAGA</v>
          </cell>
          <cell r="K2029">
            <v>80143322</v>
          </cell>
        </row>
        <row r="2030">
          <cell r="I2030">
            <v>809000117</v>
          </cell>
          <cell r="J2030" t="str">
            <v>INSTITUCION EDUCATIVA JOSE CELESTINO MUTIS</v>
          </cell>
          <cell r="K2030">
            <v>34297793</v>
          </cell>
        </row>
        <row r="2031">
          <cell r="I2031">
            <v>809000190</v>
          </cell>
          <cell r="J2031" t="str">
            <v>INSTITUCION EDUCATIVA TECNICA LA AURORA</v>
          </cell>
          <cell r="K2031">
            <v>28910306</v>
          </cell>
        </row>
        <row r="2032">
          <cell r="I2032">
            <v>809000232</v>
          </cell>
          <cell r="J2032" t="str">
            <v>COLEGIO NUESTRA SEñORA DE LA ASUNCION</v>
          </cell>
          <cell r="K2032">
            <v>68560918</v>
          </cell>
        </row>
        <row r="2033">
          <cell r="I2033">
            <v>809000260</v>
          </cell>
          <cell r="J2033" t="str">
            <v>INTITUCION EDUCATIVA TECNICA COMERCIAL CELMIRA HUERTAS</v>
          </cell>
          <cell r="K2033">
            <v>51641754</v>
          </cell>
        </row>
        <row r="2034">
          <cell r="I2034">
            <v>809000271</v>
          </cell>
          <cell r="J2034" t="str">
            <v>INSTITUCION EDUCATIVA LOS ALPES</v>
          </cell>
          <cell r="K2034">
            <v>32826046</v>
          </cell>
        </row>
        <row r="2035">
          <cell r="I2035">
            <v>809000419</v>
          </cell>
          <cell r="J2035" t="str">
            <v>INSTITUCION EDUCATIVA DARIO ECHANDIA</v>
          </cell>
          <cell r="K2035">
            <v>50071866</v>
          </cell>
        </row>
        <row r="2036">
          <cell r="I2036">
            <v>809000692</v>
          </cell>
          <cell r="J2036" t="str">
            <v>FONDO DE SERVICIOS EDUCATIVOS DE LA INSTITUCION EDUCATIVA TECNICA SAN MIGUEL</v>
          </cell>
          <cell r="K2036">
            <v>39984273</v>
          </cell>
        </row>
        <row r="2037">
          <cell r="I2037">
            <v>809000750</v>
          </cell>
          <cell r="J2037" t="str">
            <v>INSTITUCION EDUCATIVA TéCNICA EL DANUBIO FSE</v>
          </cell>
          <cell r="K2037">
            <v>22690767</v>
          </cell>
        </row>
        <row r="2038">
          <cell r="I2038">
            <v>809000929</v>
          </cell>
          <cell r="J2038" t="str">
            <v>INSTITUCION EDUCATIVA MANUELA OMAÑA</v>
          </cell>
          <cell r="K2038">
            <v>67643531</v>
          </cell>
        </row>
        <row r="2039">
          <cell r="I2039">
            <v>809000941</v>
          </cell>
          <cell r="J2039" t="str">
            <v>INSTITUCION EDUCATIVA TECNICA INDUSTRIAL ANTONIO HERRAN ZALDUA</v>
          </cell>
          <cell r="K2039">
            <v>33852098</v>
          </cell>
        </row>
        <row r="2040">
          <cell r="I2040">
            <v>809001031</v>
          </cell>
          <cell r="J2040" t="str">
            <v>INSTITICION EDUCATIVA TECNICA JUAN MANUEL RUDAS</v>
          </cell>
          <cell r="K2040">
            <v>32476709</v>
          </cell>
        </row>
        <row r="2041">
          <cell r="I2041">
            <v>809001075</v>
          </cell>
          <cell r="J2041" t="str">
            <v>FONDO DE SERVICIOS EDUCATIVOS INSTITUCION EDUCATIVA SANTA MARTA</v>
          </cell>
          <cell r="K2041">
            <v>27119721</v>
          </cell>
        </row>
        <row r="2042">
          <cell r="I2042">
            <v>809001097</v>
          </cell>
          <cell r="J2042" t="str">
            <v>FONDO DE SERVICIO EDUCATIVOS DE LA INSTITUCION EDUCATIVA MIGUEL DE CERVANTES SAAVEDRA</v>
          </cell>
          <cell r="K2042">
            <v>38597061</v>
          </cell>
        </row>
        <row r="2043">
          <cell r="I2043">
            <v>809001106</v>
          </cell>
          <cell r="J2043" t="str">
            <v>INST EDUCATIVA JORGE ELIECER GAITAN</v>
          </cell>
          <cell r="K2043">
            <v>103992937</v>
          </cell>
        </row>
        <row r="2044">
          <cell r="I2044">
            <v>809001400</v>
          </cell>
          <cell r="J2044" t="str">
            <v>FONDO DE SERVICIOS EDUCATIVOS INSTITUCIóN EDUCATIVA PATIO BONITO</v>
          </cell>
          <cell r="K2044">
            <v>26232451</v>
          </cell>
        </row>
        <row r="2045">
          <cell r="I2045">
            <v>809001475</v>
          </cell>
          <cell r="J2045" t="str">
            <v>FONDO DE SERVICIOS EDUCATIVOS I.E.T. MINUTO DE DIOS FE Y ALEGRIA</v>
          </cell>
          <cell r="K2045">
            <v>40975946</v>
          </cell>
        </row>
        <row r="2046">
          <cell r="I2046">
            <v>809001503</v>
          </cell>
          <cell r="J2046" t="str">
            <v>INSTITUTO DOCENTE ALBERTO CASTILLO</v>
          </cell>
          <cell r="K2046">
            <v>151294738</v>
          </cell>
        </row>
        <row r="2047">
          <cell r="I2047">
            <v>809001544</v>
          </cell>
          <cell r="J2047" t="str">
            <v>INSTITUCIÓN EDUCATIVA TÉCNICA GUASIMAL</v>
          </cell>
          <cell r="K2047">
            <v>45808083</v>
          </cell>
        </row>
        <row r="2048">
          <cell r="I2048">
            <v>809001546</v>
          </cell>
          <cell r="J2048" t="str">
            <v>INSTITUCION EDUCATIVA DINDALITO CENTRO</v>
          </cell>
          <cell r="K2048">
            <v>42532970</v>
          </cell>
        </row>
        <row r="2049">
          <cell r="I2049">
            <v>809001547</v>
          </cell>
          <cell r="J2049" t="str">
            <v>INSTITUCION EDUCATIVA TECNICA MARIANO SANCHEZ ANDRADE</v>
          </cell>
          <cell r="K2049">
            <v>80390868</v>
          </cell>
        </row>
        <row r="2050">
          <cell r="I2050">
            <v>809001576</v>
          </cell>
          <cell r="J2050" t="str">
            <v>FONDO DE SERVICIOS EDUCATIVOS DE LA INSTITUCION EDUCATIVA BOYACA</v>
          </cell>
          <cell r="K2050">
            <v>47035784</v>
          </cell>
        </row>
        <row r="2051">
          <cell r="I2051">
            <v>809001647</v>
          </cell>
          <cell r="J2051" t="str">
            <v>FONDO DE SERVICIOS EDUCATIVOS INSTITUCION EDUCATIVA TECNICA ALBERTO CASTILLA</v>
          </cell>
          <cell r="K2051">
            <v>32476382</v>
          </cell>
        </row>
        <row r="2052">
          <cell r="I2052">
            <v>809001987</v>
          </cell>
          <cell r="J2052" t="str">
            <v>INST  EDUC SAN JUAN DE LA CHINA</v>
          </cell>
          <cell r="K2052">
            <v>46946581</v>
          </cell>
        </row>
        <row r="2053">
          <cell r="I2053">
            <v>809002448</v>
          </cell>
          <cell r="J2053" t="str">
            <v>INSTITUCION EDUCATIVA PUENTE CUCUANA</v>
          </cell>
          <cell r="K2053">
            <v>33283391</v>
          </cell>
        </row>
        <row r="2054">
          <cell r="I2054">
            <v>809002576</v>
          </cell>
          <cell r="J2054" t="str">
            <v>INSTITUCIóN EDUCATIVA MARíA INMACULADA</v>
          </cell>
          <cell r="K2054">
            <v>48903535</v>
          </cell>
        </row>
        <row r="2055">
          <cell r="I2055">
            <v>809002637</v>
          </cell>
          <cell r="J2055" t="str">
            <v>MUNICIPIO DE PALOCABILDO</v>
          </cell>
          <cell r="K2055">
            <v>84354977</v>
          </cell>
        </row>
        <row r="2056">
          <cell r="I2056">
            <v>809002778</v>
          </cell>
          <cell r="J2056" t="str">
            <v>FONDO DE SERVICIOS EDUCATIVOS INSTITUCION EDUCATIVA DIEGO FALLON</v>
          </cell>
          <cell r="K2056">
            <v>45231423</v>
          </cell>
        </row>
        <row r="2057">
          <cell r="I2057">
            <v>809002779</v>
          </cell>
          <cell r="J2057" t="str">
            <v>FONDO DE SERVICIOS EDUCATIVOS</v>
          </cell>
          <cell r="K2057">
            <v>54598645</v>
          </cell>
        </row>
        <row r="2058">
          <cell r="I2058">
            <v>809002781</v>
          </cell>
          <cell r="J2058" t="str">
            <v>INSTITUCION EDUCATIVA SANTIAGO VILLA ESCOBAR</v>
          </cell>
          <cell r="K2058">
            <v>76747065</v>
          </cell>
        </row>
        <row r="2059">
          <cell r="I2059">
            <v>809002791</v>
          </cell>
          <cell r="J2059" t="str">
            <v>FONDO DE SERVICIOS EDUCATIVOS</v>
          </cell>
          <cell r="K2059">
            <v>21583379</v>
          </cell>
        </row>
        <row r="2060">
          <cell r="I2060">
            <v>809002832</v>
          </cell>
          <cell r="J2060" t="str">
            <v>INSTITUCION EDUCATIVA TECNICA MORENO Y ESCANDON</v>
          </cell>
          <cell r="K2060">
            <v>102621780</v>
          </cell>
        </row>
        <row r="2061">
          <cell r="I2061">
            <v>809003024</v>
          </cell>
          <cell r="J2061" t="str">
            <v>FONDO DE SERVICIOS EDUCATIVOS INSTITUCION EDUCATIVA SAN JOSE</v>
          </cell>
          <cell r="K2061">
            <v>58183301</v>
          </cell>
        </row>
        <row r="2062">
          <cell r="I2062">
            <v>809003050</v>
          </cell>
          <cell r="J2062" t="str">
            <v>FONDO DE SERVICIOS EDUCATIVOS INSTITUCION EDUCATIVA FERNANDO VILLALOBOS ARANGO</v>
          </cell>
          <cell r="K2062">
            <v>71756672</v>
          </cell>
        </row>
        <row r="2063">
          <cell r="I2063">
            <v>809003117</v>
          </cell>
          <cell r="J2063" t="str">
            <v>FONDOS SERV EDUC INS EDUC TEC CHAMBA</v>
          </cell>
          <cell r="K2063">
            <v>28795217</v>
          </cell>
        </row>
        <row r="2064">
          <cell r="I2064">
            <v>809003472</v>
          </cell>
          <cell r="J2064" t="str">
            <v>FONDOS DE SERVICIOS EDUCATIVOS DE LA INSTITUCION EDUCATIVA</v>
          </cell>
          <cell r="K2064">
            <v>68298178</v>
          </cell>
        </row>
        <row r="2065">
          <cell r="I2065">
            <v>809003573</v>
          </cell>
          <cell r="J2065" t="str">
            <v>I.E.GUSTAVO PERDOMO AVILA</v>
          </cell>
          <cell r="K2065">
            <v>52725366</v>
          </cell>
        </row>
        <row r="2066">
          <cell r="I2066">
            <v>809004464</v>
          </cell>
          <cell r="J2066" t="str">
            <v>INSTITUCION EDUCATIVA ALTO DEL ROMPE</v>
          </cell>
          <cell r="K2066">
            <v>22753018</v>
          </cell>
        </row>
        <row r="2067">
          <cell r="I2067">
            <v>809004471</v>
          </cell>
          <cell r="J2067" t="str">
            <v>FONDO DE SERVICIOS EDUCATIVOS INST EDUC JUAN XXIII</v>
          </cell>
          <cell r="K2067">
            <v>54546279</v>
          </cell>
        </row>
        <row r="2068">
          <cell r="I2068">
            <v>809004517</v>
          </cell>
          <cell r="J2068" t="str">
            <v>INSTITUCION EDUCATIVA CENTRAL</v>
          </cell>
          <cell r="K2068">
            <v>87671298</v>
          </cell>
        </row>
        <row r="2069">
          <cell r="I2069">
            <v>809004527</v>
          </cell>
          <cell r="J2069" t="str">
            <v>INSTITUCIóN EDUCATIVA GONZALO JIMENEZ DE QUEZADA</v>
          </cell>
          <cell r="K2069">
            <v>116227717</v>
          </cell>
        </row>
        <row r="2070">
          <cell r="I2070">
            <v>809004566</v>
          </cell>
          <cell r="J2070" t="str">
            <v>FONDS DE SERVICIOS EDUCATIVOS INSTITUCIION EDUCATIVA TECNICA COMERCIAL CAÑADA RODEO</v>
          </cell>
          <cell r="K2070">
            <v>20615938</v>
          </cell>
        </row>
        <row r="2071">
          <cell r="I2071">
            <v>809004569</v>
          </cell>
          <cell r="J2071" t="str">
            <v>INSTITUCION EDUCATIVA FERNANDO GONZALEZ MESA</v>
          </cell>
          <cell r="K2071">
            <v>21057403</v>
          </cell>
        </row>
        <row r="2072">
          <cell r="I2072">
            <v>809004589</v>
          </cell>
          <cell r="J2072" t="str">
            <v>FONDO DE SERVICIOS EDUCATIVOS</v>
          </cell>
          <cell r="K2072">
            <v>82090674</v>
          </cell>
        </row>
        <row r="2073">
          <cell r="I2073">
            <v>809004609</v>
          </cell>
          <cell r="J2073" t="str">
            <v>INSTITUCION EDUCATIVA JULIO ERNESTO ANDRADE</v>
          </cell>
          <cell r="K2073">
            <v>19322209</v>
          </cell>
        </row>
        <row r="2074">
          <cell r="I2074">
            <v>809004671</v>
          </cell>
          <cell r="J2074" t="str">
            <v>CENTRO EDUCATIVO JOSE MARIA CORDOBA</v>
          </cell>
          <cell r="K2074">
            <v>29187660</v>
          </cell>
        </row>
        <row r="2075">
          <cell r="I2075">
            <v>809004709</v>
          </cell>
          <cell r="J2075" t="str">
            <v>INSTITUCION EDUCATIVA LA LIBERTAD</v>
          </cell>
          <cell r="K2075">
            <v>41267821</v>
          </cell>
        </row>
        <row r="2076">
          <cell r="I2076">
            <v>809004849</v>
          </cell>
          <cell r="J2076" t="str">
            <v>INSTITUCIOPN EDUCATIVA RIOMANSO</v>
          </cell>
          <cell r="K2076">
            <v>25424479</v>
          </cell>
        </row>
        <row r="2077">
          <cell r="I2077">
            <v>809004932</v>
          </cell>
          <cell r="J2077" t="str">
            <v>FONDO DE SERVICIOS EDUCATIVOS TECNICA CIUDAD DE IBAGUE COMPES</v>
          </cell>
          <cell r="K2077">
            <v>173816209</v>
          </cell>
        </row>
        <row r="2078">
          <cell r="I2078">
            <v>809005052</v>
          </cell>
          <cell r="J2078" t="str">
            <v>IE REAL CAMPESTRE LA SAGRADA FAMILIA</v>
          </cell>
          <cell r="K2078">
            <v>57522822</v>
          </cell>
        </row>
        <row r="2079">
          <cell r="I2079">
            <v>809005101</v>
          </cell>
          <cell r="J2079" t="str">
            <v>INSTITUCIóN EDUCATIVA SANTO DOMINGO SAVIO</v>
          </cell>
          <cell r="K2079">
            <v>70263058</v>
          </cell>
        </row>
        <row r="2080">
          <cell r="I2080">
            <v>809005164</v>
          </cell>
          <cell r="J2080" t="str">
            <v>INSTITUCION EDUCATIVA EL RUBI</v>
          </cell>
          <cell r="K2080">
            <v>62615475</v>
          </cell>
        </row>
        <row r="2081">
          <cell r="I2081">
            <v>809005215</v>
          </cell>
          <cell r="J2081" t="str">
            <v>INSTITUCION EDUCATIVA JORGE ELIECER GAITAN</v>
          </cell>
          <cell r="K2081">
            <v>65739198</v>
          </cell>
        </row>
        <row r="2082">
          <cell r="I2082">
            <v>809005242</v>
          </cell>
          <cell r="J2082" t="str">
            <v>INSTITUCIÓN EDUCATIVA SAN PEDRO</v>
          </cell>
          <cell r="K2082">
            <v>25267647</v>
          </cell>
        </row>
        <row r="2083">
          <cell r="I2083">
            <v>809005293</v>
          </cell>
          <cell r="J2083" t="str">
            <v>FONDO DE SERVICIOS EDUCATIVOS INSTITUCION EDUCATIVA JOSE JOAQUIN FLOREZ HERNANDEZ</v>
          </cell>
          <cell r="K2083">
            <v>182380096</v>
          </cell>
        </row>
        <row r="2084">
          <cell r="I2084">
            <v>809005406</v>
          </cell>
          <cell r="J2084" t="str">
            <v>FONDO DE SERVICIOS EDUCATIVOS INST. EDUC. LA PAZ</v>
          </cell>
          <cell r="K2084">
            <v>56629011</v>
          </cell>
        </row>
        <row r="2085">
          <cell r="I2085">
            <v>809005562</v>
          </cell>
          <cell r="J2085" t="str">
            <v>INST. EDUC. JOHN F. KENNEDY</v>
          </cell>
          <cell r="K2085">
            <v>66502685</v>
          </cell>
        </row>
        <row r="2086">
          <cell r="I2086">
            <v>809005849</v>
          </cell>
          <cell r="J2086" t="str">
            <v>FONDOS DE SERVICIOS EDUCATIVOS DE LA INSTITUCIóN EDUCATIVA CAMPOALEGRE EUCLIDES BARRAGáN MéNDEZ</v>
          </cell>
          <cell r="K2086">
            <v>26229853</v>
          </cell>
        </row>
        <row r="2087">
          <cell r="I2087">
            <v>809005894</v>
          </cell>
          <cell r="J2087" t="str">
            <v>INSTITUCION EDUCATIVA LUIS FLOREZ TIERRADENTRO</v>
          </cell>
          <cell r="K2087">
            <v>19179755</v>
          </cell>
        </row>
        <row r="2088">
          <cell r="I2088">
            <v>809005933</v>
          </cell>
          <cell r="J2088" t="str">
            <v>FONDOS DE SERVICIOS EDUCATIVOS DE LA INSTITUCIóN EDUCATIVA SAN FERNANDO</v>
          </cell>
          <cell r="K2088">
            <v>20717316</v>
          </cell>
        </row>
        <row r="2089">
          <cell r="I2089">
            <v>809005989</v>
          </cell>
          <cell r="J2089" t="str">
            <v>FONDO DE SERVICIOS EDUCATIVOS FE Y ALEGRIA</v>
          </cell>
          <cell r="K2089">
            <v>33075474</v>
          </cell>
        </row>
        <row r="2090">
          <cell r="I2090">
            <v>809005992</v>
          </cell>
          <cell r="J2090" t="str">
            <v>institucion educativa san isidro</v>
          </cell>
          <cell r="K2090">
            <v>83034824</v>
          </cell>
        </row>
        <row r="2091">
          <cell r="I2091">
            <v>809006041</v>
          </cell>
          <cell r="J2091" t="str">
            <v>FONDOS SERV ED CIUDAD LUZ</v>
          </cell>
          <cell r="K2091">
            <v>77364556</v>
          </cell>
        </row>
        <row r="2092">
          <cell r="I2092">
            <v>809006078</v>
          </cell>
          <cell r="J2092" t="str">
            <v>INSTITUCION EDUCATIVATECNICA VEGA DE LOS PADRES</v>
          </cell>
          <cell r="K2092">
            <v>26520464</v>
          </cell>
        </row>
        <row r="2093">
          <cell r="I2093">
            <v>809006104</v>
          </cell>
          <cell r="J2093" t="str">
            <v>I.E.T. JUAN CARLOS BARRAGAN TRONCOSO</v>
          </cell>
          <cell r="K2093">
            <v>51412169</v>
          </cell>
        </row>
        <row r="2094">
          <cell r="I2094">
            <v>809006164</v>
          </cell>
          <cell r="J2094" t="str">
            <v>INSTITUCION EDUCATIVA LAS MERCEDES</v>
          </cell>
          <cell r="K2094">
            <v>19352586</v>
          </cell>
        </row>
        <row r="2095">
          <cell r="I2095">
            <v>809006238</v>
          </cell>
          <cell r="J2095" t="str">
            <v>FONDO DE SERVICIOS EDUCATIVOS INSTITUCION EDUCATIVA VALLECITOS</v>
          </cell>
          <cell r="K2095">
            <v>30028272</v>
          </cell>
        </row>
        <row r="2096">
          <cell r="I2096">
            <v>809006555</v>
          </cell>
          <cell r="J2096" t="str">
            <v>INSTITUCION EDUCATIVA MAXIMILIANO NEIRA LAMUS</v>
          </cell>
          <cell r="K2096">
            <v>82901525</v>
          </cell>
        </row>
        <row r="2097">
          <cell r="I2097">
            <v>809006581</v>
          </cell>
          <cell r="J2097" t="str">
            <v>FONDO SERVICIOS EDUCATIVOS LUIS CARLOS GALAN SARMIENTO</v>
          </cell>
          <cell r="K2097">
            <v>30824255</v>
          </cell>
        </row>
        <row r="2098">
          <cell r="I2098">
            <v>809006752</v>
          </cell>
          <cell r="J2098" t="str">
            <v>I.E.FELIPE SALAME</v>
          </cell>
          <cell r="K2098">
            <v>28495152</v>
          </cell>
        </row>
        <row r="2099">
          <cell r="I2099">
            <v>809006850</v>
          </cell>
          <cell r="J2099" t="str">
            <v>FONDO DE SERVICIOS EDUCATIVOS INSTITUCIóN EDUCATIVA LA FILA</v>
          </cell>
          <cell r="K2099">
            <v>24416656</v>
          </cell>
        </row>
        <row r="2100">
          <cell r="I2100">
            <v>809007014</v>
          </cell>
          <cell r="J2100" t="str">
            <v>EL FONDO DE SERVICIOS EDUCATIVOS INSTITUCION EDUCATIVA CARACOLI</v>
          </cell>
          <cell r="K2100">
            <v>20466806</v>
          </cell>
        </row>
        <row r="2101">
          <cell r="I2101">
            <v>809007059</v>
          </cell>
          <cell r="J2101" t="str">
            <v>INSTITUCION EDUCATIVA TERESA CAMACHO DE SUAREZ</v>
          </cell>
          <cell r="K2101">
            <v>28570203</v>
          </cell>
        </row>
        <row r="2102">
          <cell r="I2102">
            <v>809007159</v>
          </cell>
          <cell r="J2102" t="str">
            <v>FONDO SERVICIOS EDUC I E T LA CEIBA</v>
          </cell>
          <cell r="K2102">
            <v>53678758</v>
          </cell>
        </row>
        <row r="2103">
          <cell r="I2103">
            <v>809007194</v>
          </cell>
          <cell r="J2103" t="str">
            <v>INSTITUCION EDUCATIVA TECNICA ALFONSO PALACIO RUDAS</v>
          </cell>
          <cell r="K2103">
            <v>57709307</v>
          </cell>
        </row>
        <row r="2104">
          <cell r="I2104">
            <v>809007250</v>
          </cell>
          <cell r="J2104" t="str">
            <v>FONDO DE SERVICIOS EDUCATIVOS CARLOS LLERAS RESTREPO</v>
          </cell>
          <cell r="K2104">
            <v>27278966</v>
          </cell>
        </row>
        <row r="2105">
          <cell r="I2105">
            <v>809007275</v>
          </cell>
          <cell r="J2105" t="str">
            <v>INSTITUCIÓN EDUCATIVA POLICARPA SALAVARRIETA</v>
          </cell>
          <cell r="K2105">
            <v>25045192</v>
          </cell>
        </row>
        <row r="2106">
          <cell r="I2106">
            <v>809007288</v>
          </cell>
          <cell r="J2106" t="str">
            <v>CENTRO EDUCATIVO GENERAL ANZOATEGUI</v>
          </cell>
          <cell r="K2106">
            <v>43745426</v>
          </cell>
        </row>
        <row r="2107">
          <cell r="I2107">
            <v>809007307</v>
          </cell>
          <cell r="J2107" t="str">
            <v>institucion educativa san luis gonzaga</v>
          </cell>
          <cell r="K2107">
            <v>30031422</v>
          </cell>
        </row>
        <row r="2108">
          <cell r="I2108">
            <v>809007439</v>
          </cell>
          <cell r="J2108" t="str">
            <v>FONDO DE SERVICIOS EDUCATIVOS DE LA INSTITUCION EDUCATIVA TECNICA SAN RAFAEL</v>
          </cell>
          <cell r="K2108">
            <v>40267196</v>
          </cell>
        </row>
        <row r="2109">
          <cell r="I2109">
            <v>809007513</v>
          </cell>
          <cell r="J2109" t="str">
            <v>INSTITUCION EDUCATIVA TECNICA PAPAGALA</v>
          </cell>
          <cell r="K2109">
            <v>17734452</v>
          </cell>
        </row>
        <row r="2110">
          <cell r="I2110">
            <v>809007796</v>
          </cell>
          <cell r="J2110" t="str">
            <v>INSTITUCION EDUCATIVA SAN ANDRES</v>
          </cell>
          <cell r="K2110">
            <v>30629184</v>
          </cell>
        </row>
        <row r="2111">
          <cell r="I2111">
            <v>809008297</v>
          </cell>
          <cell r="J2111" t="str">
            <v>FONDOS DE SERVICIOS EDUCATIVOS INSTITUCION EDUCATIVA SAN FRANCISCO DE LA SIERRA</v>
          </cell>
          <cell r="K2111">
            <v>41386852</v>
          </cell>
        </row>
        <row r="2112">
          <cell r="I2112">
            <v>809008325</v>
          </cell>
          <cell r="J2112" t="str">
            <v>INST EDUC OTONIEL GUZMAN FDO SERV EDUCAT</v>
          </cell>
          <cell r="K2112">
            <v>17877573</v>
          </cell>
        </row>
        <row r="2113">
          <cell r="I2113">
            <v>809008644</v>
          </cell>
          <cell r="J2113" t="str">
            <v>FONDO DE SERVICIOS EDUCATIVOS INSTITUCION TOTARCO DINDE COYAIMA TOLIMA</v>
          </cell>
          <cell r="K2113">
            <v>59765261</v>
          </cell>
        </row>
        <row r="2114">
          <cell r="I2114">
            <v>809008702</v>
          </cell>
          <cell r="J2114" t="str">
            <v>FONDO DE SERVICIOS EDUCATIVOS INSTITUCION EDUCATIVA SAN JORGE</v>
          </cell>
          <cell r="K2114">
            <v>19462767</v>
          </cell>
        </row>
        <row r="2115">
          <cell r="I2115">
            <v>809009013</v>
          </cell>
          <cell r="J2115" t="str">
            <v>CENTRO EDUCATIVO RURAL MIXTO CAIRO SOCORRO</v>
          </cell>
          <cell r="K2115">
            <v>23480582</v>
          </cell>
        </row>
        <row r="2116">
          <cell r="I2116">
            <v>809009355</v>
          </cell>
          <cell r="J2116" t="str">
            <v>FONDO DE SERVICIOS EDUCATIVOS INS EDUCATIVA FRANCISCO DE PAULA SANTANDER</v>
          </cell>
          <cell r="K2116">
            <v>213094953</v>
          </cell>
        </row>
        <row r="2117">
          <cell r="I2117">
            <v>809009472</v>
          </cell>
          <cell r="J2117" t="str">
            <v>INSTITUCION EDUCATIVA NICANOR VELASQUEZ ORTIZ FONDOS DE SERVICIOS EDUCACTIVO</v>
          </cell>
          <cell r="K2117">
            <v>60025977</v>
          </cell>
        </row>
        <row r="2118">
          <cell r="I2118">
            <v>809009518</v>
          </cell>
          <cell r="J2118" t="str">
            <v>CONSERVATORIO DE IBAGUE INSTITUCION EDUCATIVA TECNICA MUSICAL AMINA MELENDRO DE PULECIO</v>
          </cell>
          <cell r="K2118">
            <v>139790703</v>
          </cell>
        </row>
        <row r="2119">
          <cell r="I2119">
            <v>809009531</v>
          </cell>
          <cell r="J2119" t="str">
            <v>INSTITUCION EDUCATIVA GABRIELA MISTRAL</v>
          </cell>
          <cell r="K2119">
            <v>144564923</v>
          </cell>
        </row>
        <row r="2120">
          <cell r="I2120">
            <v>809009780</v>
          </cell>
          <cell r="J2120" t="str">
            <v>INSTITUCION EDUCATIVA EL BOSQUE (FONDOS DE SERVICIOS EDUCATIVOS)</v>
          </cell>
          <cell r="K2120">
            <v>22234285</v>
          </cell>
        </row>
        <row r="2121">
          <cell r="I2121">
            <v>809010059</v>
          </cell>
          <cell r="J2121" t="str">
            <v>FONDO DE SERVICIOS EDUCATIVOS NUESTRA SEÑORA DEL CARMEN</v>
          </cell>
          <cell r="K2121">
            <v>27474659</v>
          </cell>
        </row>
        <row r="2122">
          <cell r="I2122">
            <v>809010612</v>
          </cell>
          <cell r="J2122" t="str">
            <v>FONDO DE SERVICIOS EDUCATIVOS INSTITUCION EDUCATIVA TECNICA COMERCIAL SAN JUAN BOSCO</v>
          </cell>
          <cell r="K2122">
            <v>61398059</v>
          </cell>
        </row>
        <row r="2123">
          <cell r="I2123">
            <v>809010642</v>
          </cell>
          <cell r="J2123" t="str">
            <v>CEAR   SANTO ANGEL</v>
          </cell>
          <cell r="K2123">
            <v>44894841</v>
          </cell>
        </row>
        <row r="2124">
          <cell r="I2124">
            <v>809010672</v>
          </cell>
          <cell r="J2124" t="str">
            <v>INSTITUCIóN EDUCATIVA CUALAMANá</v>
          </cell>
          <cell r="K2124">
            <v>93748092</v>
          </cell>
        </row>
        <row r="2125">
          <cell r="I2125">
            <v>809011406</v>
          </cell>
          <cell r="J2125" t="str">
            <v>FONDO DE SERVICIOS EDUCATIVOS INSTITUCION EDUCATIVA TECNICA AMBIENTAL COMBEIMA</v>
          </cell>
          <cell r="K2125">
            <v>71939464</v>
          </cell>
        </row>
        <row r="2126">
          <cell r="I2126">
            <v>809011409</v>
          </cell>
          <cell r="J2126" t="str">
            <v>FONDO DE SERVICIOS EDUCATIVOS DE LA INSTITUCIóN EDUCATIVA TéCNICA PANAMERICANA</v>
          </cell>
          <cell r="K2126">
            <v>17848120</v>
          </cell>
        </row>
        <row r="2127">
          <cell r="I2127">
            <v>809011608</v>
          </cell>
          <cell r="J2127" t="str">
            <v>CENTRO EDUCATIVO LAURELES</v>
          </cell>
          <cell r="K2127">
            <v>20721393</v>
          </cell>
        </row>
        <row r="2128">
          <cell r="I2128">
            <v>809012726</v>
          </cell>
          <cell r="J2128" t="str">
            <v>INSTITUCION EDUCATIVA TAPIAS</v>
          </cell>
          <cell r="K2128">
            <v>38952710</v>
          </cell>
        </row>
        <row r="2129">
          <cell r="I2129">
            <v>810000192</v>
          </cell>
          <cell r="J2129" t="str">
            <v>Institucion Educativa La Iberia</v>
          </cell>
          <cell r="K2129">
            <v>23203918</v>
          </cell>
        </row>
        <row r="2130">
          <cell r="I2130">
            <v>810000214</v>
          </cell>
          <cell r="J2130" t="str">
            <v>Institucion Educativa Marmato</v>
          </cell>
          <cell r="K2130">
            <v>42729508</v>
          </cell>
        </row>
        <row r="2131">
          <cell r="I2131">
            <v>810000561</v>
          </cell>
          <cell r="J2131" t="str">
            <v>INSTITUCION EDUCATIVA ESCUELA NORMAL SUPERIOR CLAUDINA MUNERA</v>
          </cell>
          <cell r="K2131">
            <v>46784364</v>
          </cell>
        </row>
        <row r="2132">
          <cell r="I2132">
            <v>810000855</v>
          </cell>
          <cell r="J2132" t="str">
            <v>Inst Docente Santagueda</v>
          </cell>
          <cell r="K2132">
            <v>33099638</v>
          </cell>
        </row>
        <row r="2133">
          <cell r="I2133">
            <v>810000880</v>
          </cell>
          <cell r="J2133" t="str">
            <v>Colegio Daniel Maria Lopez Rodriguez</v>
          </cell>
          <cell r="K2133">
            <v>32608548</v>
          </cell>
        </row>
        <row r="2134">
          <cell r="I2134">
            <v>810000966</v>
          </cell>
          <cell r="J2134" t="str">
            <v>INSTITUCION EDUCATIVA PENSILVANIA</v>
          </cell>
          <cell r="K2134">
            <v>50883500</v>
          </cell>
        </row>
        <row r="2135">
          <cell r="I2135">
            <v>810001089</v>
          </cell>
          <cell r="J2135" t="str">
            <v>INSTITUCION EDUCATIVA  SAN FELIX</v>
          </cell>
          <cell r="K2135">
            <v>26800710</v>
          </cell>
        </row>
        <row r="2136">
          <cell r="I2136">
            <v>810001204</v>
          </cell>
          <cell r="J2136" t="str">
            <v>Institucion Educativa San Pedro Claver</v>
          </cell>
          <cell r="K2136">
            <v>91086140</v>
          </cell>
        </row>
        <row r="2137">
          <cell r="I2137">
            <v>810001236</v>
          </cell>
          <cell r="J2137" t="str">
            <v>Institucion Educativa Gomez Fernandez</v>
          </cell>
          <cell r="K2137">
            <v>31299194</v>
          </cell>
        </row>
        <row r="2138">
          <cell r="I2138">
            <v>810001277</v>
          </cell>
          <cell r="J2138" t="str">
            <v>INSTITUCION EDUCATIVA  RIOSUCIO</v>
          </cell>
          <cell r="K2138">
            <v>100245408</v>
          </cell>
        </row>
        <row r="2139">
          <cell r="I2139">
            <v>810001288</v>
          </cell>
          <cell r="J2139" t="str">
            <v>Colegio San Victor</v>
          </cell>
          <cell r="K2139">
            <v>28741627</v>
          </cell>
        </row>
        <row r="2140">
          <cell r="I2140">
            <v>810001317</v>
          </cell>
          <cell r="J2140" t="str">
            <v>Institucion Educativa El Roble</v>
          </cell>
          <cell r="K2140">
            <v>22393803</v>
          </cell>
        </row>
        <row r="2141">
          <cell r="I2141">
            <v>810001347</v>
          </cell>
          <cell r="J2141" t="str">
            <v>Institucion Educativa Francisco Julian Olaya</v>
          </cell>
          <cell r="K2141">
            <v>23103360</v>
          </cell>
        </row>
        <row r="2142">
          <cell r="I2142">
            <v>810001369</v>
          </cell>
          <cell r="J2142" t="str">
            <v>Institucion Educativa San Luis</v>
          </cell>
          <cell r="K2142">
            <v>26123479</v>
          </cell>
        </row>
        <row r="2143">
          <cell r="I2143">
            <v>810001422</v>
          </cell>
          <cell r="J2143" t="str">
            <v>Fondo de Servicios Educativos Institucion Educativa Dorada</v>
          </cell>
          <cell r="K2143">
            <v>132381489</v>
          </cell>
        </row>
        <row r="2144">
          <cell r="I2144">
            <v>810001464</v>
          </cell>
          <cell r="J2144" t="str">
            <v>FONDO DE SERVICIOS EDUCATIVOS ATANASIO GIRARDOT</v>
          </cell>
          <cell r="K2144">
            <v>25644678</v>
          </cell>
        </row>
        <row r="2145">
          <cell r="I2145">
            <v>810001502</v>
          </cell>
          <cell r="J2145" t="str">
            <v>INSTITUCION EDUCATIVA MIXTO PIO XII</v>
          </cell>
          <cell r="K2145">
            <v>38010836</v>
          </cell>
        </row>
        <row r="2146">
          <cell r="I2146">
            <v>810001508</v>
          </cell>
          <cell r="J2146" t="str">
            <v>INSTITUCION EDUCATIVA  ELIAS MEJIA ANGEL</v>
          </cell>
          <cell r="K2146">
            <v>30182645</v>
          </cell>
        </row>
        <row r="2147">
          <cell r="I2147">
            <v>810001532</v>
          </cell>
          <cell r="J2147" t="str">
            <v>FONDO SERVICIOS DOCENTES FE Y ALEGRIA -EL PARAISO</v>
          </cell>
          <cell r="K2147">
            <v>27407350</v>
          </cell>
        </row>
        <row r="2148">
          <cell r="I2148">
            <v>810001533</v>
          </cell>
          <cell r="J2148" t="str">
            <v>COLEGIO FE Y ALEGRIA</v>
          </cell>
          <cell r="K2148">
            <v>159700054</v>
          </cell>
        </row>
        <row r="2149">
          <cell r="I2149">
            <v>810001565</v>
          </cell>
          <cell r="J2149" t="str">
            <v>Institucion Educativa Camilo Olimpo Cardona</v>
          </cell>
          <cell r="K2149">
            <v>24969751</v>
          </cell>
        </row>
        <row r="2150">
          <cell r="I2150">
            <v>810001604</v>
          </cell>
          <cell r="J2150" t="str">
            <v>Institución Educativa Buenavista</v>
          </cell>
          <cell r="K2150">
            <v>33760184</v>
          </cell>
        </row>
        <row r="2151">
          <cell r="I2151">
            <v>810001642</v>
          </cell>
          <cell r="J2151" t="str">
            <v>Institucion educatica El silencio</v>
          </cell>
          <cell r="K2151">
            <v>23800880</v>
          </cell>
        </row>
        <row r="2152">
          <cell r="I2152">
            <v>810001682</v>
          </cell>
          <cell r="J2152" t="str">
            <v>Institución Educativa Llanogrande</v>
          </cell>
          <cell r="K2152">
            <v>37446881</v>
          </cell>
        </row>
        <row r="2153">
          <cell r="I2153">
            <v>810001721</v>
          </cell>
          <cell r="J2153" t="str">
            <v>Colegio Colombia</v>
          </cell>
          <cell r="K2153">
            <v>24828284</v>
          </cell>
        </row>
        <row r="2154">
          <cell r="I2154">
            <v>810001723</v>
          </cell>
          <cell r="J2154" t="str">
            <v>Institucion Educativa San Lorenzo</v>
          </cell>
          <cell r="K2154">
            <v>83168870</v>
          </cell>
        </row>
        <row r="2155">
          <cell r="I2155">
            <v>810001733</v>
          </cell>
          <cell r="J2155" t="str">
            <v>Institucion Educativa Cabras</v>
          </cell>
          <cell r="K2155">
            <v>21669817</v>
          </cell>
        </row>
        <row r="2156">
          <cell r="I2156">
            <v>810001863</v>
          </cell>
          <cell r="J2156" t="str">
            <v>INSTITUCION EDUCATIVA INTEGRADO VILLA DEL PILAR</v>
          </cell>
          <cell r="K2156">
            <v>35516958</v>
          </cell>
        </row>
        <row r="2157">
          <cell r="I2157">
            <v>810001864</v>
          </cell>
          <cell r="J2157" t="str">
            <v>Institucion Educativa Montebonito</v>
          </cell>
          <cell r="K2157">
            <v>14255190</v>
          </cell>
        </row>
        <row r="2158">
          <cell r="I2158">
            <v>810001886</v>
          </cell>
          <cell r="J2158" t="str">
            <v>Colegio Antonio Narino Fdo Servicios Docent</v>
          </cell>
          <cell r="K2158">
            <v>31957966</v>
          </cell>
        </row>
        <row r="2159">
          <cell r="I2159">
            <v>810001933</v>
          </cell>
          <cell r="J2159" t="str">
            <v>Institucion Educativa Partidas</v>
          </cell>
          <cell r="K2159">
            <v>25974196</v>
          </cell>
        </row>
        <row r="2160">
          <cell r="I2160">
            <v>810001937</v>
          </cell>
          <cell r="J2160" t="str">
            <v>FONDO DE SERVICIOS EDUCATIVOS - COLEGIO PERPETUO SOCORRO</v>
          </cell>
          <cell r="K2160">
            <v>34512199</v>
          </cell>
        </row>
        <row r="2161">
          <cell r="I2161">
            <v>810001946</v>
          </cell>
          <cell r="J2161" t="str">
            <v>Colegio Quiebra de Santa Barbara</v>
          </cell>
          <cell r="K2161">
            <v>21256447</v>
          </cell>
        </row>
        <row r="2162">
          <cell r="I2162">
            <v>810001948</v>
          </cell>
          <cell r="J2162" t="str">
            <v>Institucion Educativa Dulcenombre</v>
          </cell>
          <cell r="K2162">
            <v>21399275</v>
          </cell>
        </row>
        <row r="2163">
          <cell r="I2163">
            <v>810001971</v>
          </cell>
          <cell r="J2163" t="str">
            <v>Institución Educativa Marco Fidel Suarez</v>
          </cell>
          <cell r="K2163">
            <v>69501233</v>
          </cell>
        </row>
        <row r="2164">
          <cell r="I2164">
            <v>810001980</v>
          </cell>
          <cell r="J2164" t="str">
            <v>COLEGIO ANDRES BELLO</v>
          </cell>
          <cell r="K2164">
            <v>45929134</v>
          </cell>
        </row>
        <row r="2165">
          <cell r="I2165">
            <v>810001998</v>
          </cell>
          <cell r="J2165" t="str">
            <v>MUNICIPIO DE SAN JOSE</v>
          </cell>
          <cell r="K2165">
            <v>53648119</v>
          </cell>
        </row>
        <row r="2166">
          <cell r="I2166">
            <v>810002040</v>
          </cell>
          <cell r="J2166" t="str">
            <v>INSTITUCION EDUCATIVA INSTITUTO LATINOAMERICANO</v>
          </cell>
          <cell r="K2166">
            <v>65354312</v>
          </cell>
        </row>
        <row r="2167">
          <cell r="I2167">
            <v>810002043</v>
          </cell>
          <cell r="J2167" t="str">
            <v>CENTRO EDUCATIVO RURAL LA PALMA</v>
          </cell>
          <cell r="K2167">
            <v>12315058</v>
          </cell>
        </row>
        <row r="2168">
          <cell r="I2168">
            <v>810002052</v>
          </cell>
          <cell r="J2168" t="str">
            <v>INSTITUCION EDUCATIVA RURAL LA TRINIDAD</v>
          </cell>
          <cell r="K2168">
            <v>24728332</v>
          </cell>
        </row>
        <row r="2169">
          <cell r="I2169">
            <v>810002088</v>
          </cell>
          <cell r="J2169" t="str">
            <v>Institucion Educativa Crisanto Luque</v>
          </cell>
          <cell r="K2169">
            <v>58381954</v>
          </cell>
        </row>
        <row r="2170">
          <cell r="I2170">
            <v>810002138</v>
          </cell>
          <cell r="J2170" t="str">
            <v>Centro Educativo El Japón</v>
          </cell>
          <cell r="K2170">
            <v>22199291</v>
          </cell>
        </row>
        <row r="2171">
          <cell r="I2171">
            <v>810002142</v>
          </cell>
          <cell r="J2171" t="str">
            <v>Fondo de Servicios Educativos Colegio Purnio</v>
          </cell>
          <cell r="K2171">
            <v>29214223</v>
          </cell>
        </row>
        <row r="2172">
          <cell r="I2172">
            <v>810002281</v>
          </cell>
          <cell r="J2172" t="str">
            <v>CENTRO EDUCATIVO  LA VIOLETA</v>
          </cell>
          <cell r="K2172">
            <v>15695761</v>
          </cell>
        </row>
        <row r="2173">
          <cell r="I2173">
            <v>810002307</v>
          </cell>
          <cell r="J2173" t="str">
            <v>Normal Maria Escolastica</v>
          </cell>
          <cell r="K2173">
            <v>23421217</v>
          </cell>
        </row>
        <row r="2174">
          <cell r="I2174">
            <v>810002338</v>
          </cell>
          <cell r="J2174" t="str">
            <v>INSTITUCION EDUCATIVA JUAN PABLO II</v>
          </cell>
          <cell r="K2174">
            <v>15674968</v>
          </cell>
        </row>
        <row r="2175">
          <cell r="I2175">
            <v>810002453</v>
          </cell>
          <cell r="J2175" t="str">
            <v>Institucion Educativa Juan Crisostomo Osorio</v>
          </cell>
          <cell r="K2175">
            <v>19955844</v>
          </cell>
        </row>
        <row r="2176">
          <cell r="I2176">
            <v>810002512</v>
          </cell>
          <cell r="J2176" t="str">
            <v>Centro Educativo El Bosque</v>
          </cell>
          <cell r="K2176">
            <v>9940238</v>
          </cell>
        </row>
        <row r="2177">
          <cell r="I2177">
            <v>810002560</v>
          </cell>
          <cell r="J2177" t="str">
            <v>Centro Educativo El Madroño</v>
          </cell>
          <cell r="K2177">
            <v>16032705</v>
          </cell>
        </row>
        <row r="2178">
          <cell r="I2178">
            <v>810002607</v>
          </cell>
          <cell r="J2178" t="str">
            <v>INSTITUTO PABLO VI IPVI</v>
          </cell>
          <cell r="K2178">
            <v>44963412</v>
          </cell>
        </row>
        <row r="2179">
          <cell r="I2179">
            <v>810002628</v>
          </cell>
          <cell r="J2179" t="str">
            <v>Centro Educativo San Pedro</v>
          </cell>
          <cell r="K2179">
            <v>15980525</v>
          </cell>
        </row>
        <row r="2180">
          <cell r="I2180">
            <v>810002635</v>
          </cell>
          <cell r="J2180" t="str">
            <v>Institucion Educativa Llanadas</v>
          </cell>
          <cell r="K2180">
            <v>34529291</v>
          </cell>
        </row>
        <row r="2181">
          <cell r="I2181">
            <v>810002655</v>
          </cell>
          <cell r="J2181" t="str">
            <v>Institucion Educativa Juan XXIII</v>
          </cell>
          <cell r="K2181">
            <v>22195214</v>
          </cell>
        </row>
        <row r="2182">
          <cell r="I2182">
            <v>810002706</v>
          </cell>
          <cell r="J2182" t="str">
            <v>Centro Educativo el Águila</v>
          </cell>
          <cell r="K2182">
            <v>30864559</v>
          </cell>
        </row>
        <row r="2183">
          <cell r="I2183">
            <v>810002750</v>
          </cell>
          <cell r="J2183" t="str">
            <v>Centro Educativo El Perro</v>
          </cell>
          <cell r="K2183">
            <v>14991657</v>
          </cell>
        </row>
        <row r="2184">
          <cell r="I2184">
            <v>810002767</v>
          </cell>
          <cell r="J2184" t="str">
            <v>COLEGIO GRANADA</v>
          </cell>
          <cell r="K2184">
            <v>28801069</v>
          </cell>
        </row>
        <row r="2185">
          <cell r="I2185">
            <v>810002769</v>
          </cell>
          <cell r="J2185" t="str">
            <v>INSTITUCION EDUCATIVA RURAL RAFAEL POMBO</v>
          </cell>
          <cell r="K2185">
            <v>27307948</v>
          </cell>
        </row>
        <row r="2186">
          <cell r="I2186">
            <v>810002807</v>
          </cell>
          <cell r="J2186" t="str">
            <v>COLEGIO MARIA GORETTI</v>
          </cell>
          <cell r="K2186">
            <v>33422691</v>
          </cell>
        </row>
        <row r="2187">
          <cell r="I2187">
            <v>810002926</v>
          </cell>
          <cell r="J2187" t="str">
            <v>Centro Educativo Pio XII</v>
          </cell>
          <cell r="K2187">
            <v>22396176</v>
          </cell>
        </row>
        <row r="2188">
          <cell r="I2188">
            <v>810002963</v>
          </cell>
          <cell r="J2188" t="str">
            <v>MUNICIPIO DE NORCASIA</v>
          </cell>
          <cell r="K2188">
            <v>70111342</v>
          </cell>
        </row>
        <row r="2189">
          <cell r="I2189">
            <v>810002978</v>
          </cell>
          <cell r="J2189" t="str">
            <v>Insitucion Educativa Francisco Jose de Caldas</v>
          </cell>
          <cell r="K2189">
            <v>49531332</v>
          </cell>
        </row>
        <row r="2190">
          <cell r="I2190">
            <v>810003071</v>
          </cell>
          <cell r="J2190" t="str">
            <v>COLEGIO OFICIAL SAN PIO X</v>
          </cell>
          <cell r="K2190">
            <v>87693800</v>
          </cell>
        </row>
        <row r="2191">
          <cell r="I2191">
            <v>810003197</v>
          </cell>
          <cell r="J2191" t="str">
            <v>Institucion Educativa el Llano</v>
          </cell>
          <cell r="K2191">
            <v>45991074</v>
          </cell>
        </row>
        <row r="2192">
          <cell r="I2192">
            <v>810003255</v>
          </cell>
          <cell r="J2192" t="str">
            <v>Institucion Educativa La Felisa</v>
          </cell>
          <cell r="K2192">
            <v>30508914</v>
          </cell>
        </row>
        <row r="2193">
          <cell r="I2193">
            <v>810003430</v>
          </cell>
          <cell r="J2193" t="str">
            <v>Institucion Educativa el Placer</v>
          </cell>
          <cell r="K2193">
            <v>20256142</v>
          </cell>
        </row>
        <row r="2194">
          <cell r="I2194">
            <v>810003436</v>
          </cell>
          <cell r="J2194" t="str">
            <v>Centro Educativo Patio Bonito</v>
          </cell>
          <cell r="K2194">
            <v>21919184</v>
          </cell>
        </row>
        <row r="2195">
          <cell r="I2195">
            <v>810003516</v>
          </cell>
          <cell r="J2195" t="str">
            <v>LICEO MIXTO SINAI</v>
          </cell>
          <cell r="K2195">
            <v>82004620</v>
          </cell>
        </row>
        <row r="2196">
          <cell r="I2196">
            <v>810003714</v>
          </cell>
          <cell r="J2196" t="str">
            <v>Institucion Educativa Las Coles</v>
          </cell>
          <cell r="K2196">
            <v>41922966</v>
          </cell>
        </row>
        <row r="2197">
          <cell r="I2197">
            <v>810004027</v>
          </cell>
          <cell r="J2197" t="str">
            <v>Centro Educativo Cañaveral</v>
          </cell>
          <cell r="K2197">
            <v>38430178</v>
          </cell>
        </row>
        <row r="2198">
          <cell r="I2198">
            <v>810004148</v>
          </cell>
          <cell r="J2198" t="str">
            <v>INSTITUCION EDUCATIVA BOSQUES DEL NORTE</v>
          </cell>
          <cell r="K2198">
            <v>114888979</v>
          </cell>
        </row>
        <row r="2199">
          <cell r="I2199">
            <v>810004883</v>
          </cell>
          <cell r="J2199" t="str">
            <v>Colegio General Ramon Marin</v>
          </cell>
          <cell r="K2199">
            <v>33009474</v>
          </cell>
        </row>
        <row r="2200">
          <cell r="I2200">
            <v>810005240</v>
          </cell>
          <cell r="J2200" t="str">
            <v>INSTITUCION EDUCATIVA LA MERMITA</v>
          </cell>
          <cell r="K2200">
            <v>32342244</v>
          </cell>
        </row>
        <row r="2201">
          <cell r="I2201">
            <v>810005241</v>
          </cell>
          <cell r="J2201" t="str">
            <v>Centro Educativo el Eden</v>
          </cell>
          <cell r="K2201">
            <v>26127881</v>
          </cell>
        </row>
        <row r="2202">
          <cell r="I2202">
            <v>810005243</v>
          </cell>
          <cell r="J2202" t="str">
            <v>Centro Educativo Florencia</v>
          </cell>
          <cell r="K2202">
            <v>21984970</v>
          </cell>
        </row>
        <row r="2203">
          <cell r="I2203">
            <v>810005244</v>
          </cell>
          <cell r="J2203" t="str">
            <v>Instituto Ecativa Nuestra Señora de Fátima</v>
          </cell>
          <cell r="K2203">
            <v>24771360</v>
          </cell>
        </row>
        <row r="2204">
          <cell r="I2204">
            <v>810005256</v>
          </cell>
          <cell r="J2204" t="str">
            <v>Institucion Educativa La Libertad</v>
          </cell>
          <cell r="K2204">
            <v>35303472</v>
          </cell>
        </row>
        <row r="2205">
          <cell r="I2205">
            <v>810005268</v>
          </cell>
          <cell r="J2205" t="str">
            <v>Colegio La Milagrosa</v>
          </cell>
          <cell r="K2205">
            <v>26917551</v>
          </cell>
        </row>
        <row r="2206">
          <cell r="I2206">
            <v>810005295</v>
          </cell>
          <cell r="J2206" t="str">
            <v>LICEO LEON DE GREIFF</v>
          </cell>
          <cell r="K2206">
            <v>77384464</v>
          </cell>
        </row>
        <row r="2207">
          <cell r="I2207">
            <v>810005350</v>
          </cell>
          <cell r="J2207" t="str">
            <v>Centro Educativo La Quiebra</v>
          </cell>
          <cell r="K2207">
            <v>22786654</v>
          </cell>
        </row>
        <row r="2208">
          <cell r="I2208">
            <v>810005578</v>
          </cell>
          <cell r="J2208" t="str">
            <v>INSTITUCION EDUCATIVA SIETE DE AGOSTO</v>
          </cell>
          <cell r="K2208">
            <v>52999123</v>
          </cell>
        </row>
        <row r="2209">
          <cell r="I2209">
            <v>810005648</v>
          </cell>
          <cell r="J2209" t="str">
            <v>INSTITUCION EDUCATIVA GRAN COLOMBIA</v>
          </cell>
          <cell r="K2209">
            <v>46019668</v>
          </cell>
        </row>
        <row r="2210">
          <cell r="I2210">
            <v>810005706</v>
          </cell>
          <cell r="J2210" t="str">
            <v>Centro Educativo Ocuzca</v>
          </cell>
          <cell r="K2210">
            <v>36003569</v>
          </cell>
        </row>
        <row r="2211">
          <cell r="I2211">
            <v>810005729</v>
          </cell>
          <cell r="J2211" t="str">
            <v>Institucion Educativa Jeronimo de Tejelo</v>
          </cell>
          <cell r="K2211">
            <v>19344311</v>
          </cell>
        </row>
        <row r="2212">
          <cell r="I2212">
            <v>810005772</v>
          </cell>
          <cell r="J2212" t="str">
            <v>Institucion Educativa Pio XII</v>
          </cell>
          <cell r="K2212">
            <v>38074300</v>
          </cell>
        </row>
        <row r="2213">
          <cell r="I2213">
            <v>810005830</v>
          </cell>
          <cell r="J2213" t="str">
            <v>IE la presentacion</v>
          </cell>
          <cell r="K2213">
            <v>37671824</v>
          </cell>
        </row>
        <row r="2214">
          <cell r="I2214">
            <v>810005846</v>
          </cell>
          <cell r="J2214" t="str">
            <v>Institucion Educativa San Jeronimo</v>
          </cell>
          <cell r="K2214">
            <v>81631511</v>
          </cell>
        </row>
        <row r="2215">
          <cell r="I2215">
            <v>810005988</v>
          </cell>
          <cell r="J2215" t="str">
            <v>Centro Educativo Alto Nubia</v>
          </cell>
          <cell r="K2215">
            <v>16142709</v>
          </cell>
        </row>
        <row r="2216">
          <cell r="I2216">
            <v>810006007</v>
          </cell>
          <cell r="J2216" t="str">
            <v>Centro Educativo Eladia Mejia</v>
          </cell>
          <cell r="K2216">
            <v>9200828</v>
          </cell>
        </row>
        <row r="2217">
          <cell r="I2217">
            <v>810006015</v>
          </cell>
          <cell r="J2217" t="str">
            <v>Institucion Educativa Rafael Pombo</v>
          </cell>
          <cell r="K2217">
            <v>16043596</v>
          </cell>
        </row>
        <row r="2218">
          <cell r="I2218">
            <v>810006026</v>
          </cell>
          <cell r="J2218" t="str">
            <v>Institucion Educativa Santa Teresita</v>
          </cell>
          <cell r="K2218">
            <v>12885106</v>
          </cell>
        </row>
        <row r="2219">
          <cell r="I2219">
            <v>810006027</v>
          </cell>
          <cell r="J2219" t="str">
            <v>Centro Educativo Rioarriba</v>
          </cell>
          <cell r="K2219">
            <v>24501645</v>
          </cell>
        </row>
        <row r="2220">
          <cell r="I2220">
            <v>810006028</v>
          </cell>
          <cell r="J2220" t="str">
            <v>INSTITUCION EDUCATIVA ENCIMADAS</v>
          </cell>
          <cell r="K2220">
            <v>16270714</v>
          </cell>
        </row>
        <row r="2221">
          <cell r="I2221">
            <v>810006030</v>
          </cell>
          <cell r="J2221" t="str">
            <v>Centro Educativo La Palma</v>
          </cell>
          <cell r="K2221">
            <v>15331440</v>
          </cell>
        </row>
        <row r="2222">
          <cell r="I2222">
            <v>810006039</v>
          </cell>
          <cell r="J2222" t="str">
            <v>Colegio Jose Antonio Galan</v>
          </cell>
          <cell r="K2222">
            <v>15748019</v>
          </cell>
        </row>
        <row r="2223">
          <cell r="I2223">
            <v>810006049</v>
          </cell>
          <cell r="J2223" t="str">
            <v>Centro Educativo Aguabonita</v>
          </cell>
          <cell r="K2223">
            <v>17934294</v>
          </cell>
        </row>
        <row r="2224">
          <cell r="I2224">
            <v>810006071</v>
          </cell>
          <cell r="J2224" t="str">
            <v>Centro Educativo Los Chancos</v>
          </cell>
          <cell r="K2224">
            <v>7865499</v>
          </cell>
        </row>
        <row r="2225">
          <cell r="I2225">
            <v>810006081</v>
          </cell>
          <cell r="J2225" t="str">
            <v>Centro Educativo Santa Rita</v>
          </cell>
          <cell r="K2225">
            <v>12023126</v>
          </cell>
        </row>
        <row r="2226">
          <cell r="I2226">
            <v>810006089</v>
          </cell>
          <cell r="J2226" t="str">
            <v>Centro Educativo Eduardo Gomez Arrubla</v>
          </cell>
          <cell r="K2226">
            <v>32280806</v>
          </cell>
        </row>
        <row r="2227">
          <cell r="I2227">
            <v>810006102</v>
          </cell>
          <cell r="J2227" t="str">
            <v>Centro Educativo Marco Fidel Suarez</v>
          </cell>
          <cell r="K2227">
            <v>6152361</v>
          </cell>
        </row>
        <row r="2228">
          <cell r="I2228">
            <v>810006103</v>
          </cell>
          <cell r="J2228" t="str">
            <v>Centro Educativo Portachuelo</v>
          </cell>
          <cell r="K2228">
            <v>21401056</v>
          </cell>
        </row>
        <row r="2229">
          <cell r="I2229">
            <v>810006105</v>
          </cell>
          <cell r="J2229" t="str">
            <v>Centro Educativo Quiebralomo</v>
          </cell>
          <cell r="K2229">
            <v>18979467</v>
          </cell>
        </row>
        <row r="2230">
          <cell r="I2230">
            <v>810006109</v>
          </cell>
          <cell r="J2230" t="str">
            <v>Institucion Educativa San Jose</v>
          </cell>
          <cell r="K2230">
            <v>27903145</v>
          </cell>
        </row>
        <row r="2231">
          <cell r="I2231">
            <v>810006111</v>
          </cell>
          <cell r="J2231" t="str">
            <v>Centro Educativo Sipirra</v>
          </cell>
          <cell r="K2231">
            <v>15305932</v>
          </cell>
        </row>
        <row r="2232">
          <cell r="I2232">
            <v>810006121</v>
          </cell>
          <cell r="J2232" t="str">
            <v>Institucion Educativa La Rioja</v>
          </cell>
          <cell r="K2232">
            <v>12845319</v>
          </cell>
        </row>
        <row r="2233">
          <cell r="I2233">
            <v>810006138</v>
          </cell>
          <cell r="J2233" t="str">
            <v>Institucion Educativa Guacas</v>
          </cell>
          <cell r="K2233">
            <v>18972715</v>
          </cell>
        </row>
        <row r="2234">
          <cell r="I2234">
            <v>810006140</v>
          </cell>
          <cell r="J2234" t="str">
            <v>Centro Educativo Jhon F kennedy</v>
          </cell>
          <cell r="K2234">
            <v>20978036</v>
          </cell>
        </row>
        <row r="2235">
          <cell r="I2235">
            <v>810006146</v>
          </cell>
          <cell r="J2235" t="str">
            <v>Centro Educativo El Cairo</v>
          </cell>
          <cell r="K2235">
            <v>23473158</v>
          </cell>
        </row>
        <row r="2236">
          <cell r="I2236">
            <v>810006148</v>
          </cell>
          <cell r="J2236" t="str">
            <v>Centro Educativo Maria Fabiola Largo Cano</v>
          </cell>
          <cell r="K2236">
            <v>27892430</v>
          </cell>
        </row>
        <row r="2237">
          <cell r="I2237">
            <v>810006169</v>
          </cell>
          <cell r="J2237" t="str">
            <v>Centro Educativo Rancho Largo</v>
          </cell>
          <cell r="K2237">
            <v>26877010</v>
          </cell>
        </row>
        <row r="2238">
          <cell r="I2238">
            <v>810006185</v>
          </cell>
          <cell r="J2238" t="str">
            <v>Institucion Educatica Isaza</v>
          </cell>
          <cell r="K2238">
            <v>32487201</v>
          </cell>
        </row>
        <row r="2239">
          <cell r="I2239">
            <v>810006315</v>
          </cell>
          <cell r="J2239" t="str">
            <v>Centro Educativo La Quiebra</v>
          </cell>
          <cell r="K2239">
            <v>33949179</v>
          </cell>
        </row>
        <row r="2240">
          <cell r="I2240">
            <v>810006480</v>
          </cell>
          <cell r="J2240" t="str">
            <v>Centro Educativo Cartagena</v>
          </cell>
          <cell r="K2240">
            <v>11081820</v>
          </cell>
        </row>
        <row r="2241">
          <cell r="I2241">
            <v>811006541</v>
          </cell>
          <cell r="J2241" t="str">
            <v>IE FUNDACION CELIA DUQUE DE DUQUE - Abejorral</v>
          </cell>
          <cell r="K2241">
            <v>60011123</v>
          </cell>
        </row>
        <row r="2242">
          <cell r="I2242">
            <v>811008893</v>
          </cell>
          <cell r="J2242" t="str">
            <v>SGP INSTITUCION EDUCATIVA ALBERTO DIAZ MUÑOZ</v>
          </cell>
          <cell r="K2242">
            <v>132929632</v>
          </cell>
        </row>
        <row r="2243">
          <cell r="I2243">
            <v>811009017</v>
          </cell>
          <cell r="J2243" t="str">
            <v>MUNICIPIO DE LA PINTADA</v>
          </cell>
          <cell r="K2243">
            <v>73976280</v>
          </cell>
        </row>
        <row r="2244">
          <cell r="I2244">
            <v>811010025</v>
          </cell>
          <cell r="J2244" t="str">
            <v>I.E ATANASIO GIRARDOT SGP</v>
          </cell>
          <cell r="K2244">
            <v>125643984</v>
          </cell>
        </row>
        <row r="2245">
          <cell r="I2245">
            <v>811010745</v>
          </cell>
          <cell r="J2245" t="str">
            <v>institucion educativa Esteban Ochoa</v>
          </cell>
          <cell r="K2245">
            <v>97076281</v>
          </cell>
        </row>
        <row r="2246">
          <cell r="I2246">
            <v>811011120</v>
          </cell>
          <cell r="J2246" t="str">
            <v>F.S.E. CER CLAUDINA  MUNERA</v>
          </cell>
          <cell r="K2246">
            <v>17919416</v>
          </cell>
        </row>
        <row r="2247">
          <cell r="I2247">
            <v>811011585</v>
          </cell>
          <cell r="J2247" t="str">
            <v>F.S.E. I.E. JOSE  MARIA BERNAL</v>
          </cell>
          <cell r="K2247">
            <v>248011127</v>
          </cell>
        </row>
        <row r="2248">
          <cell r="I2248">
            <v>811013378</v>
          </cell>
          <cell r="J2248" t="str">
            <v>INST EDUC MONSEOR VICTOR WIEDEMANN</v>
          </cell>
          <cell r="K2248">
            <v>95339049</v>
          </cell>
        </row>
        <row r="2249">
          <cell r="I2249">
            <v>811013474</v>
          </cell>
          <cell r="J2249" t="str">
            <v>INST EDUC SAN JUAN BOSCO</v>
          </cell>
          <cell r="K2249">
            <v>69390702</v>
          </cell>
        </row>
        <row r="2250">
          <cell r="I2250">
            <v>811013520</v>
          </cell>
          <cell r="J2250" t="str">
            <v>IE SAN RAFAEL - Heliconia</v>
          </cell>
          <cell r="K2250">
            <v>36573501</v>
          </cell>
        </row>
        <row r="2251">
          <cell r="I2251">
            <v>811013756</v>
          </cell>
          <cell r="J2251" t="str">
            <v>SISTEMA GENERAL DE PARTICIPACION</v>
          </cell>
          <cell r="K2251">
            <v>105868963</v>
          </cell>
        </row>
        <row r="2252">
          <cell r="I2252">
            <v>811013764</v>
          </cell>
          <cell r="J2252" t="str">
            <v>IE NORMAL SUPERIOR RAFAEL MARIA GIRALDO - Marinilla</v>
          </cell>
          <cell r="K2252">
            <v>106953502</v>
          </cell>
        </row>
        <row r="2253">
          <cell r="I2253">
            <v>811014080</v>
          </cell>
          <cell r="J2253" t="str">
            <v>F.S.E. INST EDUCATIVA FEDERICO OZANAM</v>
          </cell>
          <cell r="K2253">
            <v>152186649</v>
          </cell>
        </row>
        <row r="2254">
          <cell r="I2254">
            <v>811014433</v>
          </cell>
          <cell r="J2254" t="str">
            <v>INST EDUC REPUBLICA DE BARBADOS</v>
          </cell>
          <cell r="K2254">
            <v>138992957</v>
          </cell>
        </row>
        <row r="2255">
          <cell r="I2255">
            <v>811015194</v>
          </cell>
          <cell r="J2255" t="str">
            <v>INST EDUC FE Y ALEGRIA SAN JOSE</v>
          </cell>
          <cell r="K2255">
            <v>73037368</v>
          </cell>
        </row>
        <row r="2256">
          <cell r="I2256">
            <v>811015262</v>
          </cell>
          <cell r="J2256" t="str">
            <v>IE PUERTO VENUS - Nariño</v>
          </cell>
          <cell r="K2256">
            <v>32522075</v>
          </cell>
        </row>
        <row r="2257">
          <cell r="I2257">
            <v>811015293</v>
          </cell>
          <cell r="J2257" t="str">
            <v>F.S.E.INSTITUCION EDUCATIVA JOSE ANTONIO GALAN</v>
          </cell>
          <cell r="K2257">
            <v>66192055</v>
          </cell>
        </row>
        <row r="2258">
          <cell r="I2258">
            <v>811015341</v>
          </cell>
          <cell r="J2258" t="str">
            <v>IE  PEDRO LUIS ALVAREZ C - Caldas</v>
          </cell>
          <cell r="K2258">
            <v>163143088</v>
          </cell>
        </row>
        <row r="2259">
          <cell r="I2259">
            <v>811015434</v>
          </cell>
          <cell r="J2259" t="str">
            <v>IE ESCUELA NORMAL SUPERIOR DE ABEJORRAL - Abejorral</v>
          </cell>
          <cell r="K2259">
            <v>62841735</v>
          </cell>
        </row>
        <row r="2260">
          <cell r="I2260">
            <v>811015684</v>
          </cell>
          <cell r="J2260" t="str">
            <v>I. E. ESCUELA NORMAL SUPERIOR DE MARIA</v>
          </cell>
          <cell r="K2260">
            <v>107910435</v>
          </cell>
        </row>
        <row r="2261">
          <cell r="I2261">
            <v>811015695</v>
          </cell>
          <cell r="J2261" t="str">
            <v>f.s.e. institucion educativa nornmal superior amaga</v>
          </cell>
          <cell r="K2261">
            <v>67086007</v>
          </cell>
        </row>
        <row r="2262">
          <cell r="I2262">
            <v>811015994</v>
          </cell>
          <cell r="J2262" t="str">
            <v>FONDO DE SERVICIOS EDUCATIVOS INSTITUCION EDUCATIVA LOS ANGELES</v>
          </cell>
          <cell r="K2262">
            <v>32618678</v>
          </cell>
        </row>
        <row r="2263">
          <cell r="I2263">
            <v>811015999</v>
          </cell>
          <cell r="J2263" t="str">
            <v>CER SANTA RITA - Angelópolis</v>
          </cell>
          <cell r="K2263">
            <v>10380609</v>
          </cell>
        </row>
        <row r="2264">
          <cell r="I2264">
            <v>811016123</v>
          </cell>
          <cell r="J2264" t="str">
            <v>IE PRESBITERO GABRIEL YEPES YEPES - Ebéjico</v>
          </cell>
          <cell r="K2264">
            <v>55059028</v>
          </cell>
        </row>
        <row r="2265">
          <cell r="I2265">
            <v>811016276</v>
          </cell>
          <cell r="J2265" t="str">
            <v>IE INMACULADA CONCEPCION - Nariño</v>
          </cell>
          <cell r="K2265">
            <v>123527265</v>
          </cell>
        </row>
        <row r="2266">
          <cell r="I2266">
            <v>811016855</v>
          </cell>
          <cell r="J2266" t="str">
            <v>F.S.E.INST EDU EL TRIUNFO STA TERESA</v>
          </cell>
          <cell r="K2266">
            <v>105863144</v>
          </cell>
        </row>
        <row r="2267">
          <cell r="I2267">
            <v>811016864</v>
          </cell>
          <cell r="J2267" t="str">
            <v>INST EDUC SANTA ROSA DE LIMA</v>
          </cell>
          <cell r="K2267">
            <v>102299264</v>
          </cell>
        </row>
        <row r="2268">
          <cell r="I2268">
            <v>811016885</v>
          </cell>
          <cell r="J2268" t="str">
            <v>INST EDUC FRANCISCO ANTONIO ZEA</v>
          </cell>
          <cell r="K2268">
            <v>114692867</v>
          </cell>
        </row>
        <row r="2269">
          <cell r="I2269">
            <v>811016950</v>
          </cell>
          <cell r="J2269" t="str">
            <v>INST EDUC MANUELA BELTRAN</v>
          </cell>
          <cell r="K2269">
            <v>92123355</v>
          </cell>
        </row>
        <row r="2270">
          <cell r="I2270">
            <v>811016955</v>
          </cell>
          <cell r="J2270" t="str">
            <v>INST EDUC RAFAEL URIBE URIBE</v>
          </cell>
          <cell r="K2270">
            <v>82652548</v>
          </cell>
        </row>
        <row r="2271">
          <cell r="I2271">
            <v>811016981</v>
          </cell>
          <cell r="J2271" t="str">
            <v>INSTITUCION EDUCATIVA JUAN DE DIOS URIBE</v>
          </cell>
          <cell r="K2271">
            <v>59521656</v>
          </cell>
        </row>
        <row r="2272">
          <cell r="I2272">
            <v>811016998</v>
          </cell>
          <cell r="J2272" t="str">
            <v>INST EDUC CRISTOBAL COLON</v>
          </cell>
          <cell r="K2272">
            <v>95906098</v>
          </cell>
        </row>
        <row r="2273">
          <cell r="I2273">
            <v>811017032</v>
          </cell>
          <cell r="J2273" t="str">
            <v>IE VALDIVIA - Valdivia</v>
          </cell>
          <cell r="K2273">
            <v>99279346</v>
          </cell>
        </row>
        <row r="2274">
          <cell r="I2274">
            <v>811017036</v>
          </cell>
          <cell r="J2274" t="str">
            <v>institucion educativa el rosario</v>
          </cell>
          <cell r="K2274">
            <v>71042060</v>
          </cell>
        </row>
        <row r="2275">
          <cell r="I2275">
            <v>811017044</v>
          </cell>
          <cell r="J2275" t="str">
            <v>IE JOSE MIGUEL DE RESTREPO Y PUERTA - Copacabana</v>
          </cell>
          <cell r="K2275">
            <v>171128591</v>
          </cell>
        </row>
        <row r="2276">
          <cell r="I2276">
            <v>811017053</v>
          </cell>
          <cell r="J2276" t="str">
            <v>INST EDUC LOMA HERMOSA</v>
          </cell>
          <cell r="K2276">
            <v>60926893</v>
          </cell>
        </row>
        <row r="2277">
          <cell r="I2277">
            <v>811017112</v>
          </cell>
          <cell r="J2277" t="str">
            <v>IE GABRIELA MISTRAL - Copacabana</v>
          </cell>
          <cell r="K2277">
            <v>37972984</v>
          </cell>
        </row>
        <row r="2278">
          <cell r="I2278">
            <v>811017152</v>
          </cell>
          <cell r="J2278" t="str">
            <v>INST EDUC SAMUEL BARRIENTOS RESTREPO</v>
          </cell>
          <cell r="K2278">
            <v>174726355</v>
          </cell>
        </row>
        <row r="2279">
          <cell r="I2279">
            <v>811017209</v>
          </cell>
          <cell r="J2279" t="str">
            <v>Institucion educativa Maria Jesus Mejia</v>
          </cell>
          <cell r="K2279">
            <v>65375363</v>
          </cell>
        </row>
        <row r="2280">
          <cell r="I2280">
            <v>811017215</v>
          </cell>
          <cell r="J2280" t="str">
            <v>INST EDUC GONZALO RESTREPO JARAMILLO</v>
          </cell>
          <cell r="K2280">
            <v>145001246</v>
          </cell>
        </row>
        <row r="2281">
          <cell r="I2281">
            <v>811017223</v>
          </cell>
          <cell r="J2281" t="str">
            <v>INST EDUC FEDERICO CARRASQUILLA</v>
          </cell>
          <cell r="K2281">
            <v>103500763</v>
          </cell>
        </row>
        <row r="2282">
          <cell r="I2282">
            <v>811017251</v>
          </cell>
          <cell r="J2282" t="str">
            <v>IE BERNARDO URIBE LONDOÑO - La Ceja</v>
          </cell>
          <cell r="K2282">
            <v>110049068</v>
          </cell>
        </row>
        <row r="2283">
          <cell r="I2283">
            <v>811017265</v>
          </cell>
          <cell r="J2283" t="str">
            <v>INST EDUC ASAMBLEA DEPARTAMENTAL</v>
          </cell>
          <cell r="K2283">
            <v>130626099</v>
          </cell>
        </row>
        <row r="2284">
          <cell r="I2284">
            <v>811017266</v>
          </cell>
          <cell r="J2284" t="str">
            <v>INST EDUC ALFONSO MORA NARANJO</v>
          </cell>
          <cell r="K2284">
            <v>42607732</v>
          </cell>
        </row>
        <row r="2285">
          <cell r="I2285">
            <v>811017283</v>
          </cell>
          <cell r="J2285" t="str">
            <v>IE BERNARDO ARANGO MACIAS - La Estrella</v>
          </cell>
          <cell r="K2285">
            <v>173073503</v>
          </cell>
        </row>
        <row r="2286">
          <cell r="I2286">
            <v>811017291</v>
          </cell>
          <cell r="J2286" t="str">
            <v>INST EDUC JOSE MARIA BRAVO MARQUEZ</v>
          </cell>
          <cell r="K2286">
            <v>139548377</v>
          </cell>
        </row>
        <row r="2287">
          <cell r="I2287">
            <v>811017293</v>
          </cell>
          <cell r="J2287" t="str">
            <v>INST EDUC ALFONSO LOPEZ PUMAREJO</v>
          </cell>
          <cell r="K2287">
            <v>137030764</v>
          </cell>
        </row>
        <row r="2288">
          <cell r="I2288">
            <v>811017307</v>
          </cell>
          <cell r="J2288" t="str">
            <v>INST EDUC JOSE CELESTINO MUTIS</v>
          </cell>
          <cell r="K2288">
            <v>52709284</v>
          </cell>
        </row>
        <row r="2289">
          <cell r="I2289">
            <v>811017314</v>
          </cell>
          <cell r="J2289" t="str">
            <v>INST EDUC SAN JUAN BAUTISTA DE LA SALLE</v>
          </cell>
          <cell r="K2289">
            <v>103570395</v>
          </cell>
        </row>
        <row r="2290">
          <cell r="I2290">
            <v>811017315</v>
          </cell>
          <cell r="J2290" t="str">
            <v>INST EDUC JOSE ROBERTO VASQUEZ</v>
          </cell>
          <cell r="K2290">
            <v>168212458</v>
          </cell>
        </row>
        <row r="2291">
          <cell r="I2291">
            <v>811017316</v>
          </cell>
          <cell r="J2291" t="str">
            <v>INST EDUC LORENZA VILLEGAS DE SANTOS</v>
          </cell>
          <cell r="K2291">
            <v>123065343</v>
          </cell>
        </row>
        <row r="2292">
          <cell r="I2292">
            <v>811017317</v>
          </cell>
          <cell r="J2292" t="str">
            <v>INST EDUC CAMILO MORA CARRASQUILLA</v>
          </cell>
          <cell r="K2292">
            <v>70416435</v>
          </cell>
        </row>
        <row r="2293">
          <cell r="I2293">
            <v>811017345</v>
          </cell>
          <cell r="J2293" t="str">
            <v>INST EDUC BENEDIKTA ZUR NIEDEN</v>
          </cell>
          <cell r="K2293">
            <v>88338329</v>
          </cell>
        </row>
        <row r="2294">
          <cell r="I2294">
            <v>811017355</v>
          </cell>
          <cell r="J2294" t="str">
            <v>IER EL  HATILLO - Barbosa</v>
          </cell>
          <cell r="K2294">
            <v>101831118</v>
          </cell>
        </row>
        <row r="2295">
          <cell r="I2295">
            <v>811017359</v>
          </cell>
          <cell r="J2295" t="str">
            <v>INST EDUC PEDRO LUIS VILLA</v>
          </cell>
          <cell r="K2295">
            <v>151400024</v>
          </cell>
        </row>
        <row r="2296">
          <cell r="I2296">
            <v>811017366</v>
          </cell>
          <cell r="J2296" t="str">
            <v>INST EDUC LA MILAGROSA</v>
          </cell>
          <cell r="K2296">
            <v>124721592</v>
          </cell>
        </row>
        <row r="2297">
          <cell r="I2297">
            <v>811017374</v>
          </cell>
          <cell r="J2297" t="str">
            <v>F.S.E INSTITUCION EDUCATUVA SAN FELIX-SGP</v>
          </cell>
          <cell r="K2297">
            <v>45685862</v>
          </cell>
        </row>
        <row r="2298">
          <cell r="I2298">
            <v>811017376</v>
          </cell>
          <cell r="J2298" t="str">
            <v>FONDO DE SERVICIO EDUCATIVO INSTITUCION EDUCATIVA MANUEL URIBE ANGEL</v>
          </cell>
          <cell r="K2298">
            <v>108190055</v>
          </cell>
        </row>
        <row r="2299">
          <cell r="I2299">
            <v>811017377</v>
          </cell>
          <cell r="J2299" t="str">
            <v>INST EDUC CEFA</v>
          </cell>
          <cell r="K2299">
            <v>237379811</v>
          </cell>
        </row>
        <row r="2300">
          <cell r="I2300">
            <v>811017439</v>
          </cell>
          <cell r="J2300" t="str">
            <v>IE EL SALVADOR - Pueblorrico</v>
          </cell>
          <cell r="K2300">
            <v>99188885</v>
          </cell>
        </row>
        <row r="2301">
          <cell r="I2301">
            <v>811017464</v>
          </cell>
          <cell r="J2301" t="str">
            <v>IE PIO XI - La Unión</v>
          </cell>
          <cell r="K2301">
            <v>120677457</v>
          </cell>
        </row>
        <row r="2302">
          <cell r="I2302">
            <v>811017472</v>
          </cell>
          <cell r="J2302" t="str">
            <v>INST EDUC SAN CRISTOBAL</v>
          </cell>
          <cell r="K2302">
            <v>138767360</v>
          </cell>
        </row>
        <row r="2303">
          <cell r="I2303">
            <v>811017493</v>
          </cell>
          <cell r="J2303" t="str">
            <v>FONDO DE SERVICIOS EDUCATIVOS CARLOS PEREZ MEJÍA</v>
          </cell>
          <cell r="K2303">
            <v>136841888</v>
          </cell>
        </row>
        <row r="2304">
          <cell r="I2304">
            <v>811017496</v>
          </cell>
          <cell r="J2304" t="str">
            <v>F.S.E. INSTITUCION EDUCATIVA CRISTO REY</v>
          </cell>
          <cell r="K2304">
            <v>52165267</v>
          </cell>
        </row>
        <row r="2305">
          <cell r="I2305">
            <v>811017505</v>
          </cell>
          <cell r="J2305" t="str">
            <v>INST EDUC LA SALLE DE CAMPOAMOR</v>
          </cell>
          <cell r="K2305">
            <v>98558069</v>
          </cell>
        </row>
        <row r="2306">
          <cell r="I2306">
            <v>811017537</v>
          </cell>
          <cell r="J2306" t="str">
            <v>INST EDUC HERNAN TORO AGUDELO</v>
          </cell>
          <cell r="K2306">
            <v>73160636</v>
          </cell>
        </row>
        <row r="2307">
          <cell r="I2307">
            <v>811017538</v>
          </cell>
          <cell r="J2307" t="str">
            <v>INST EDUC JOSE ACEVEDO Y GOMEZ</v>
          </cell>
          <cell r="K2307">
            <v>104182936</v>
          </cell>
        </row>
        <row r="2308">
          <cell r="I2308">
            <v>811017539</v>
          </cell>
          <cell r="J2308" t="str">
            <v>FSE. INSTITUCION EDUCATIVA NORMAL SUPERIOR</v>
          </cell>
          <cell r="K2308">
            <v>170641766</v>
          </cell>
        </row>
        <row r="2309">
          <cell r="I2309">
            <v>811017572</v>
          </cell>
          <cell r="J2309" t="str">
            <v>Fondo de Servicios Educativos Institución Educativa Jose Félix de Restrepo Vélez</v>
          </cell>
          <cell r="K2309">
            <v>94547219</v>
          </cell>
        </row>
        <row r="2310">
          <cell r="I2310">
            <v>811017581</v>
          </cell>
          <cell r="J2310" t="str">
            <v>insitucin educativa enrique Velez Escobar</v>
          </cell>
          <cell r="K2310">
            <v>167964752</v>
          </cell>
        </row>
        <row r="2311">
          <cell r="I2311">
            <v>811017582</v>
          </cell>
          <cell r="J2311" t="str">
            <v>Institucion educativa Carlos Enrique Cortes</v>
          </cell>
          <cell r="K2311">
            <v>32280110</v>
          </cell>
        </row>
        <row r="2312">
          <cell r="I2312">
            <v>811017583</v>
          </cell>
          <cell r="J2312" t="str">
            <v>institucion educativa Jhon F. Keneddy</v>
          </cell>
          <cell r="K2312">
            <v>97076463</v>
          </cell>
        </row>
        <row r="2313">
          <cell r="I2313">
            <v>811017593</v>
          </cell>
          <cell r="J2313" t="str">
            <v>institucion educativa Luis Carlos Galan Sarmiento</v>
          </cell>
          <cell r="K2313">
            <v>59931722</v>
          </cell>
        </row>
        <row r="2314">
          <cell r="I2314">
            <v>811017604</v>
          </cell>
          <cell r="J2314" t="str">
            <v>INST EDUC TULIO OSPINA</v>
          </cell>
          <cell r="K2314">
            <v>74097052</v>
          </cell>
        </row>
        <row r="2315">
          <cell r="I2315">
            <v>811017615</v>
          </cell>
          <cell r="J2315" t="str">
            <v>INST EDUC KENNEDY</v>
          </cell>
          <cell r="K2315">
            <v>195975443</v>
          </cell>
        </row>
        <row r="2316">
          <cell r="I2316">
            <v>811017635</v>
          </cell>
          <cell r="J2316" t="str">
            <v>IE OCHALI - Yarumal</v>
          </cell>
          <cell r="K2316">
            <v>20629935</v>
          </cell>
        </row>
        <row r="2317">
          <cell r="I2317">
            <v>811017650</v>
          </cell>
          <cell r="J2317" t="str">
            <v>IER ROMAN GOMEZ - Marinilla</v>
          </cell>
          <cell r="K2317">
            <v>152096028</v>
          </cell>
        </row>
        <row r="2318">
          <cell r="I2318">
            <v>811017718</v>
          </cell>
          <cell r="J2318" t="str">
            <v>INST EDUC JAVIERA LONDOO-SEVILLA</v>
          </cell>
          <cell r="K2318">
            <v>80867559</v>
          </cell>
        </row>
        <row r="2319">
          <cell r="I2319">
            <v>811017744</v>
          </cell>
          <cell r="J2319" t="str">
            <v>INST EDUC MANUEL JOSE GOMEZ S</v>
          </cell>
          <cell r="K2319">
            <v>80044787</v>
          </cell>
        </row>
        <row r="2320">
          <cell r="I2320">
            <v>811017766</v>
          </cell>
          <cell r="J2320" t="str">
            <v>INST EDUC CARACAS</v>
          </cell>
          <cell r="K2320">
            <v>89371385</v>
          </cell>
        </row>
        <row r="2321">
          <cell r="I2321">
            <v>811017771</v>
          </cell>
          <cell r="J2321" t="str">
            <v>FONDO  DE  SERVICIOS  EDUCATIVOS CALDAS</v>
          </cell>
          <cell r="K2321">
            <v>17482720</v>
          </cell>
        </row>
        <row r="2322">
          <cell r="I2322">
            <v>811017816</v>
          </cell>
          <cell r="J2322" t="str">
            <v>IER BOYACA - Ebéjico</v>
          </cell>
          <cell r="K2322">
            <v>43248106</v>
          </cell>
        </row>
        <row r="2323">
          <cell r="I2323">
            <v>811017824</v>
          </cell>
          <cell r="J2323" t="str">
            <v>LA FSE. INSTITUCION EDUCATIVA LA PAZ</v>
          </cell>
          <cell r="K2323">
            <v>248520072</v>
          </cell>
        </row>
        <row r="2324">
          <cell r="I2324">
            <v>811017835</v>
          </cell>
          <cell r="J2324" t="str">
            <v>INST EDUC HECTOR ABAD GOMEZ</v>
          </cell>
          <cell r="K2324">
            <v>141263691</v>
          </cell>
        </row>
        <row r="2325">
          <cell r="I2325">
            <v>811017836</v>
          </cell>
          <cell r="J2325" t="str">
            <v>INST EDUC SANTA ELENA</v>
          </cell>
          <cell r="K2325">
            <v>74624352</v>
          </cell>
        </row>
        <row r="2326">
          <cell r="I2326">
            <v>811017837</v>
          </cell>
          <cell r="J2326" t="str">
            <v>F.S.E. INSTITUCIÓN EDUCATIVA LICEO ANTIOQUEÑO SGP</v>
          </cell>
          <cell r="K2326">
            <v>184869276</v>
          </cell>
        </row>
        <row r="2327">
          <cell r="I2327">
            <v>811017858</v>
          </cell>
          <cell r="J2327" t="str">
            <v>CENT EDUC TRAVESISAS EL MORRO</v>
          </cell>
          <cell r="K2327">
            <v>47708948</v>
          </cell>
        </row>
        <row r="2328">
          <cell r="I2328">
            <v>811017875</v>
          </cell>
          <cell r="J2328" t="str">
            <v>INST EDUC VILLA DEL SOCORRO</v>
          </cell>
          <cell r="K2328">
            <v>249924626</v>
          </cell>
        </row>
        <row r="2329">
          <cell r="I2329">
            <v>811017900</v>
          </cell>
          <cell r="J2329" t="str">
            <v>INST EDUC BARRIO SANTA CRUZ</v>
          </cell>
          <cell r="K2329">
            <v>67656400</v>
          </cell>
        </row>
        <row r="2330">
          <cell r="I2330">
            <v>811017958</v>
          </cell>
          <cell r="J2330" t="str">
            <v>fondo de servicios educativos institucion educativa america</v>
          </cell>
          <cell r="K2330">
            <v>66371952</v>
          </cell>
        </row>
        <row r="2331">
          <cell r="I2331">
            <v>811017962</v>
          </cell>
          <cell r="J2331" t="str">
            <v>fon de servicios educativos institucion educativa escuela normal superior del magdalena medio</v>
          </cell>
          <cell r="K2331">
            <v>69753435</v>
          </cell>
        </row>
        <row r="2332">
          <cell r="I2332">
            <v>811017963</v>
          </cell>
          <cell r="J2332" t="str">
            <v>IE ALFONSO LOPEZ PUMAREJO - Puerto Berrío</v>
          </cell>
          <cell r="K2332">
            <v>120702630</v>
          </cell>
        </row>
        <row r="2333">
          <cell r="I2333">
            <v>811017999</v>
          </cell>
          <cell r="J2333" t="str">
            <v>INST EDUC PEDRO CLAVER AGUIRRE</v>
          </cell>
          <cell r="K2333">
            <v>50751278</v>
          </cell>
        </row>
        <row r="2334">
          <cell r="I2334">
            <v>811018008</v>
          </cell>
          <cell r="J2334" t="str">
            <v>IE PRESBITERO ABRAHAN JARAMILLO - San Roque</v>
          </cell>
          <cell r="K2334">
            <v>68873770</v>
          </cell>
        </row>
        <row r="2335">
          <cell r="I2335">
            <v>811018013</v>
          </cell>
          <cell r="J2335" t="str">
            <v>IE NORMAL SUPERIOR DE SAN ROQUE - San Roque</v>
          </cell>
          <cell r="K2335">
            <v>93023136</v>
          </cell>
        </row>
        <row r="2336">
          <cell r="I2336">
            <v>811018049</v>
          </cell>
          <cell r="J2336" t="str">
            <v>INST EDUC ALCALDIA DE MEDELLIN</v>
          </cell>
          <cell r="K2336">
            <v>100707799</v>
          </cell>
        </row>
        <row r="2337">
          <cell r="I2337">
            <v>811018066</v>
          </cell>
          <cell r="J2337" t="str">
            <v>INST EDUC LA LIBERTAD</v>
          </cell>
          <cell r="K2337">
            <v>55410688</v>
          </cell>
        </row>
        <row r="2338">
          <cell r="I2338">
            <v>811018082</v>
          </cell>
          <cell r="J2338" t="str">
            <v>IE COCORNA - Cocorná</v>
          </cell>
          <cell r="K2338">
            <v>132169873</v>
          </cell>
        </row>
        <row r="2339">
          <cell r="I2339">
            <v>811018101</v>
          </cell>
          <cell r="J2339" t="str">
            <v>INST EDUC REPUBLICA DE URUGUAY</v>
          </cell>
          <cell r="K2339">
            <v>104145524</v>
          </cell>
        </row>
        <row r="2340">
          <cell r="I2340">
            <v>811018113</v>
          </cell>
          <cell r="J2340" t="str">
            <v>IER CRISTALES - San Roque</v>
          </cell>
          <cell r="K2340">
            <v>34910497</v>
          </cell>
        </row>
        <row r="2341">
          <cell r="I2341">
            <v>811018144</v>
          </cell>
          <cell r="J2341" t="str">
            <v>IE ANTONIO ROLDAN BETANCUR - Briceño</v>
          </cell>
          <cell r="K2341">
            <v>133974353</v>
          </cell>
        </row>
        <row r="2342">
          <cell r="I2342">
            <v>811018145</v>
          </cell>
          <cell r="J2342" t="str">
            <v>FSE. INSTITUCION EDUCATIVA DE ENVIGADO</v>
          </cell>
          <cell r="K2342">
            <v>189299572</v>
          </cell>
        </row>
        <row r="2343">
          <cell r="I2343">
            <v>811018148</v>
          </cell>
          <cell r="J2343" t="str">
            <v>IER PEDRO PABLO CASTRILLON - Santo Domingo</v>
          </cell>
          <cell r="K2343">
            <v>35919325</v>
          </cell>
        </row>
        <row r="2344">
          <cell r="I2344">
            <v>811018169</v>
          </cell>
          <cell r="J2344" t="str">
            <v>INST EDUC RAMON MUNERA LOPERA</v>
          </cell>
          <cell r="K2344">
            <v>125517297</v>
          </cell>
        </row>
        <row r="2345">
          <cell r="I2345">
            <v>811018192</v>
          </cell>
          <cell r="J2345" t="str">
            <v>I. E. CONCEJO MUNICIPAL EL PORVENIR</v>
          </cell>
          <cell r="K2345">
            <v>150130610</v>
          </cell>
        </row>
        <row r="2346">
          <cell r="I2346">
            <v>811018193</v>
          </cell>
          <cell r="J2346" t="str">
            <v>I. E. JOSEFINA MUÑOZ GONZALEZ</v>
          </cell>
          <cell r="K2346">
            <v>200604011</v>
          </cell>
        </row>
        <row r="2347">
          <cell r="I2347">
            <v>811018194</v>
          </cell>
          <cell r="J2347" t="str">
            <v>IE CAMPESTRE NUEVO HORIZONTE - Carmen de Viboral</v>
          </cell>
          <cell r="K2347">
            <v>73234199</v>
          </cell>
        </row>
        <row r="2348">
          <cell r="I2348">
            <v>811018196</v>
          </cell>
          <cell r="J2348" t="str">
            <v>IE SANTA MARIA - Carmen de Viboral</v>
          </cell>
          <cell r="K2348">
            <v>84630336</v>
          </cell>
        </row>
        <row r="2349">
          <cell r="I2349">
            <v>811018197</v>
          </cell>
          <cell r="J2349" t="str">
            <v>IE FRAY JULIO TOBON B - Carmen de Viboral</v>
          </cell>
          <cell r="K2349">
            <v>208819340</v>
          </cell>
        </row>
        <row r="2350">
          <cell r="I2350">
            <v>811018224</v>
          </cell>
          <cell r="J2350" t="str">
            <v>IE JORGE ALBERTO GÓMEZ GÓMEZ - Granada</v>
          </cell>
          <cell r="K2350">
            <v>138412057</v>
          </cell>
        </row>
        <row r="2351">
          <cell r="I2351">
            <v>811018231</v>
          </cell>
          <cell r="J2351" t="str">
            <v>IE EVA TULIA QUINTERO DE TORO - Cocorná</v>
          </cell>
          <cell r="K2351">
            <v>101263514</v>
          </cell>
        </row>
        <row r="2352">
          <cell r="I2352">
            <v>811018233</v>
          </cell>
          <cell r="J2352" t="str">
            <v>INST EDUC JESUS REY</v>
          </cell>
          <cell r="K2352">
            <v>116495612</v>
          </cell>
        </row>
        <row r="2353">
          <cell r="I2353">
            <v>811018246</v>
          </cell>
          <cell r="J2353" t="str">
            <v>IE MUNICIPAL JOSE DE LOS SANTOS ZUÑIGA - Chigorodó</v>
          </cell>
          <cell r="K2353">
            <v>143335005</v>
          </cell>
        </row>
        <row r="2354">
          <cell r="I2354">
            <v>811018314</v>
          </cell>
          <cell r="J2354" t="str">
            <v>INST EDUC CIRO MENDIA</v>
          </cell>
          <cell r="K2354">
            <v>100336537</v>
          </cell>
        </row>
        <row r="2355">
          <cell r="I2355">
            <v>811018352</v>
          </cell>
          <cell r="J2355" t="str">
            <v>INST EDUC GABRIEL RESTREPO MORENO</v>
          </cell>
          <cell r="K2355">
            <v>74204400</v>
          </cell>
        </row>
        <row r="2356">
          <cell r="I2356">
            <v>811018354</v>
          </cell>
          <cell r="J2356" t="str">
            <v>IE SANTO TOMAS DE AQUINO - Guarne</v>
          </cell>
          <cell r="K2356">
            <v>135062502</v>
          </cell>
        </row>
        <row r="2357">
          <cell r="I2357">
            <v>811018372</v>
          </cell>
          <cell r="J2357" t="str">
            <v>INST EDUC FE Y ALEGRIA VILLA DE LA CANDELARIA</v>
          </cell>
          <cell r="K2357">
            <v>69959867</v>
          </cell>
        </row>
        <row r="2358">
          <cell r="I2358">
            <v>811018376</v>
          </cell>
          <cell r="J2358" t="str">
            <v>Institucion educativa Loma Linda</v>
          </cell>
          <cell r="K2358">
            <v>82204728</v>
          </cell>
        </row>
        <row r="2359">
          <cell r="I2359">
            <v>811018401</v>
          </cell>
          <cell r="J2359" t="str">
            <v>IER DARIO GUTIERREZ RAVE - Caldas</v>
          </cell>
          <cell r="K2359">
            <v>52030046</v>
          </cell>
        </row>
        <row r="2360">
          <cell r="I2360">
            <v>811018403</v>
          </cell>
          <cell r="J2360" t="str">
            <v>FONDO DE SERVICIOS EDUCATIVOS INSTITUCION EDUCATIVA JESUS MARIA ROJAS PAGOLA</v>
          </cell>
          <cell r="K2360">
            <v>65541358</v>
          </cell>
        </row>
        <row r="2361">
          <cell r="I2361">
            <v>811018413</v>
          </cell>
          <cell r="J2361" t="str">
            <v>INST EDUC MERCEDITAS GOMEZ MARTINEZ</v>
          </cell>
          <cell r="K2361">
            <v>147726634</v>
          </cell>
        </row>
        <row r="2362">
          <cell r="I2362">
            <v>811018422</v>
          </cell>
          <cell r="J2362" t="str">
            <v>SGP INSTITUCION EDUCATIVA CONCEJO DE BELLO</v>
          </cell>
          <cell r="K2362">
            <v>87752582</v>
          </cell>
        </row>
        <row r="2363">
          <cell r="I2363">
            <v>811018448</v>
          </cell>
          <cell r="J2363" t="str">
            <v>IE CAUCASIA - Caucasia</v>
          </cell>
          <cell r="K2363">
            <v>229108716</v>
          </cell>
        </row>
        <row r="2364">
          <cell r="I2364">
            <v>811018449</v>
          </cell>
          <cell r="J2364" t="str">
            <v>IE DE NECHI - Nechí</v>
          </cell>
          <cell r="K2364">
            <v>287194474</v>
          </cell>
        </row>
        <row r="2365">
          <cell r="I2365">
            <v>811018457</v>
          </cell>
          <cell r="J2365" t="str">
            <v>IE RAFAEL NUÑEZ - Tarazá</v>
          </cell>
          <cell r="K2365">
            <v>122476417</v>
          </cell>
        </row>
        <row r="2366">
          <cell r="I2366">
            <v>811018514</v>
          </cell>
          <cell r="J2366" t="str">
            <v>INST EDUC SAN VICENTE DE PAUL</v>
          </cell>
          <cell r="K2366">
            <v>101628343</v>
          </cell>
        </row>
        <row r="2367">
          <cell r="I2367">
            <v>811018517</v>
          </cell>
          <cell r="J2367" t="str">
            <v>IE PASCUAL CORREA FLOREZ - Amagá</v>
          </cell>
          <cell r="K2367">
            <v>48261219</v>
          </cell>
        </row>
        <row r="2368">
          <cell r="I2368">
            <v>811018519</v>
          </cell>
          <cell r="J2368" t="str">
            <v>INST EDUC MARIA MONTESSORI</v>
          </cell>
          <cell r="K2368">
            <v>68266584</v>
          </cell>
        </row>
        <row r="2369">
          <cell r="I2369">
            <v>811018538</v>
          </cell>
          <cell r="J2369" t="str">
            <v>F.S.E.  I.E. GABRIEL ECHAVARRIA</v>
          </cell>
          <cell r="K2369">
            <v>38472271</v>
          </cell>
        </row>
        <row r="2370">
          <cell r="I2370">
            <v>811018556</v>
          </cell>
          <cell r="J2370" t="str">
            <v>IE LA INMACULADA - Tarazá</v>
          </cell>
          <cell r="K2370">
            <v>95990452</v>
          </cell>
        </row>
        <row r="2371">
          <cell r="I2371">
            <v>811018564</v>
          </cell>
          <cell r="J2371" t="str">
            <v>INST EDUC SEBASTIAN DE BELALCAZAR</v>
          </cell>
          <cell r="K2371">
            <v>43536824</v>
          </cell>
        </row>
        <row r="2372">
          <cell r="I2372">
            <v>811018590</v>
          </cell>
          <cell r="J2372" t="str">
            <v>institucion gabriel correa velez</v>
          </cell>
          <cell r="K2372">
            <v>49089568</v>
          </cell>
        </row>
        <row r="2373">
          <cell r="I2373">
            <v>811018596</v>
          </cell>
          <cell r="J2373" t="str">
            <v>IER BELEN DE BAJIRA - Mutatá</v>
          </cell>
          <cell r="K2373">
            <v>159632177</v>
          </cell>
        </row>
        <row r="2374">
          <cell r="I2374">
            <v>811018599</v>
          </cell>
          <cell r="J2374" t="str">
            <v>INST EDUC AMERICA</v>
          </cell>
          <cell r="K2374">
            <v>86696304</v>
          </cell>
        </row>
        <row r="2375">
          <cell r="I2375">
            <v>811018605</v>
          </cell>
          <cell r="J2375" t="str">
            <v>F.S.E. INSTITUCION EDUCATIVA FE Y ALEGRIA LUIS AMIGO</v>
          </cell>
          <cell r="K2375">
            <v>65889436</v>
          </cell>
        </row>
        <row r="2376">
          <cell r="I2376">
            <v>811018648</v>
          </cell>
          <cell r="J2376" t="str">
            <v>IE SAN LUIS GONZAGA - Copacabana</v>
          </cell>
          <cell r="K2376">
            <v>118559837</v>
          </cell>
        </row>
        <row r="2377">
          <cell r="I2377">
            <v>811018651</v>
          </cell>
          <cell r="J2377" t="str">
            <v>F.S.E. INSTITUCION EDUCATIVA SANTA MARGARITA</v>
          </cell>
          <cell r="K2377">
            <v>125440267</v>
          </cell>
        </row>
        <row r="2378">
          <cell r="I2378">
            <v>811018659</v>
          </cell>
          <cell r="J2378" t="str">
            <v>IE PBRO. BERNARDO MONTOYA GIRALDO - Copacabana</v>
          </cell>
          <cell r="K2378">
            <v>105432429</v>
          </cell>
        </row>
        <row r="2379">
          <cell r="I2379">
            <v>811018660</v>
          </cell>
          <cell r="J2379" t="str">
            <v>IE GRANJAS INFANTILES - Copacabana</v>
          </cell>
          <cell r="K2379">
            <v>55799605</v>
          </cell>
        </row>
        <row r="2380">
          <cell r="I2380">
            <v>811018664</v>
          </cell>
          <cell r="J2380" t="str">
            <v>INST EDUC ARZOBISPO TULIO BOTERO SALAZAR</v>
          </cell>
          <cell r="K2380">
            <v>124399853</v>
          </cell>
        </row>
        <row r="2381">
          <cell r="I2381">
            <v>811018695</v>
          </cell>
          <cell r="J2381" t="str">
            <v>INST EDUC JUAN MARIA CESPEDES</v>
          </cell>
          <cell r="K2381">
            <v>124749941</v>
          </cell>
        </row>
        <row r="2382">
          <cell r="I2382">
            <v>811018709</v>
          </cell>
          <cell r="J2382" t="str">
            <v>I. E. SAN JOSE DE LAS CUCHILLAS</v>
          </cell>
          <cell r="K2382">
            <v>62307257</v>
          </cell>
        </row>
        <row r="2383">
          <cell r="I2383">
            <v>811018721</v>
          </cell>
          <cell r="J2383" t="str">
            <v>INST EDUC LA PIEDAD</v>
          </cell>
          <cell r="K2383">
            <v>77182323</v>
          </cell>
        </row>
        <row r="2384">
          <cell r="I2384">
            <v>811018722</v>
          </cell>
          <cell r="J2384" t="str">
            <v>INST EDUC GILBERTO ALZATE AVENDAO</v>
          </cell>
          <cell r="K2384">
            <v>220248917</v>
          </cell>
        </row>
        <row r="2385">
          <cell r="I2385">
            <v>811018723</v>
          </cell>
          <cell r="J2385" t="str">
            <v>INST EDUC YERMO Y PARRES</v>
          </cell>
          <cell r="K2385">
            <v>161860029</v>
          </cell>
        </row>
        <row r="2386">
          <cell r="I2386">
            <v>811018760</v>
          </cell>
          <cell r="J2386" t="str">
            <v>IE IGNACIO BOTERO VALLEJO - Retiro</v>
          </cell>
          <cell r="K2386">
            <v>141179262</v>
          </cell>
        </row>
        <row r="2387">
          <cell r="I2387">
            <v>811018761</v>
          </cell>
          <cell r="J2387" t="str">
            <v>I. E. DOMINGO SAVIO</v>
          </cell>
          <cell r="K2387">
            <v>28805036</v>
          </cell>
        </row>
        <row r="2388">
          <cell r="I2388">
            <v>811018762</v>
          </cell>
          <cell r="J2388" t="str">
            <v>IER CARLOS ARTURO QUINTERO - Tarazá</v>
          </cell>
          <cell r="K2388">
            <v>38614388</v>
          </cell>
        </row>
        <row r="2389">
          <cell r="I2389">
            <v>811018764</v>
          </cell>
          <cell r="J2389" t="str">
            <v>INST EDUC CAMPO VALDES</v>
          </cell>
          <cell r="K2389">
            <v>75743807</v>
          </cell>
        </row>
        <row r="2390">
          <cell r="I2390">
            <v>811018780</v>
          </cell>
          <cell r="J2390" t="str">
            <v>IE LLANOS DE CUIVA - Yarumal</v>
          </cell>
          <cell r="K2390">
            <v>57823618</v>
          </cell>
        </row>
        <row r="2391">
          <cell r="I2391">
            <v>811018834</v>
          </cell>
          <cell r="J2391" t="str">
            <v>IE FRANCISCO ABEL GALLEGO - San José de la Montaña</v>
          </cell>
          <cell r="K2391">
            <v>52273659</v>
          </cell>
        </row>
        <row r="2392">
          <cell r="I2392">
            <v>811018854</v>
          </cell>
          <cell r="J2392" t="str">
            <v>INSTITUCION EDUCATIVA OCTAVIO HARRY</v>
          </cell>
          <cell r="K2392">
            <v>70059196</v>
          </cell>
        </row>
        <row r="2393">
          <cell r="I2393">
            <v>811018855</v>
          </cell>
          <cell r="J2393" t="str">
            <v>INST EDUC REPUBLICA DE VENEZUELA</v>
          </cell>
          <cell r="K2393">
            <v>48898203</v>
          </cell>
        </row>
        <row r="2394">
          <cell r="I2394">
            <v>811018890</v>
          </cell>
          <cell r="J2394" t="str">
            <v>INST EDUC PBRO ANTONIO JOSE BERNAL LONDOO SJ</v>
          </cell>
          <cell r="K2394">
            <v>149774334</v>
          </cell>
        </row>
        <row r="2395">
          <cell r="I2395">
            <v>811018891</v>
          </cell>
          <cell r="J2395" t="str">
            <v>INST EDUC LUIS LOPEZ DE MESA</v>
          </cell>
          <cell r="K2395">
            <v>83564065</v>
          </cell>
        </row>
        <row r="2396">
          <cell r="I2396">
            <v>811018909</v>
          </cell>
          <cell r="J2396" t="str">
            <v>FONDO DE SERVICIOS EDUCATIVOS INSTITUCION EDUCATIVA JOSE PRIETO ARANGO -TARSO</v>
          </cell>
          <cell r="K2396">
            <v>78243604</v>
          </cell>
        </row>
        <row r="2397">
          <cell r="I2397">
            <v>811018924</v>
          </cell>
          <cell r="J2397" t="str">
            <v>IE MARIANO DE JESÚS EUSSE - Angostura</v>
          </cell>
          <cell r="K2397">
            <v>155025868</v>
          </cell>
        </row>
        <row r="2398">
          <cell r="I2398">
            <v>811018979</v>
          </cell>
          <cell r="J2398" t="str">
            <v>IE TOMAS EASTMAN - Santa Bárbara</v>
          </cell>
          <cell r="K2398">
            <v>122212880</v>
          </cell>
        </row>
        <row r="2399">
          <cell r="I2399">
            <v>811018982</v>
          </cell>
          <cell r="J2399" t="str">
            <v>IE SAN FRANCISCO DE ASIS - Liborina</v>
          </cell>
          <cell r="K2399">
            <v>105485976</v>
          </cell>
        </row>
        <row r="2400">
          <cell r="I2400">
            <v>811019000</v>
          </cell>
          <cell r="J2400" t="str">
            <v>INST EDUC SOL DE ORIENTE</v>
          </cell>
          <cell r="K2400">
            <v>169088543</v>
          </cell>
        </row>
        <row r="2401">
          <cell r="I2401">
            <v>811019010</v>
          </cell>
          <cell r="J2401" t="str">
            <v>IER LA FLORESTA - Maceo</v>
          </cell>
          <cell r="K2401">
            <v>52279887</v>
          </cell>
        </row>
        <row r="2402">
          <cell r="I2402">
            <v>811019064</v>
          </cell>
          <cell r="J2402" t="str">
            <v>INST EDUC DOCE DE OCTUBRE</v>
          </cell>
          <cell r="K2402">
            <v>132951574</v>
          </cell>
        </row>
        <row r="2403">
          <cell r="I2403">
            <v>811019065</v>
          </cell>
          <cell r="J2403" t="str">
            <v>INST EDUC ASIA IGNACIANA</v>
          </cell>
          <cell r="K2403">
            <v>150393126</v>
          </cell>
        </row>
        <row r="2404">
          <cell r="I2404">
            <v>811019071</v>
          </cell>
          <cell r="J2404" t="str">
            <v>INST EDUC FE Y ALEGRIA GRANIZAL</v>
          </cell>
          <cell r="K2404">
            <v>88995992</v>
          </cell>
        </row>
        <row r="2405">
          <cell r="I2405">
            <v>811019074</v>
          </cell>
          <cell r="J2405" t="str">
            <v>INST EDUC FE Y ALEGRIA LA CIMA</v>
          </cell>
          <cell r="K2405">
            <v>177751984</v>
          </cell>
        </row>
        <row r="2406">
          <cell r="I2406">
            <v>811019098</v>
          </cell>
          <cell r="J2406" t="str">
            <v>IE ZUNGO EMBARCADERO - Carepa</v>
          </cell>
          <cell r="K2406">
            <v>62334250</v>
          </cell>
        </row>
        <row r="2407">
          <cell r="I2407">
            <v>811019101</v>
          </cell>
          <cell r="J2407" t="str">
            <v>IER VILLA NELLY - Carepa</v>
          </cell>
          <cell r="K2407">
            <v>53218930</v>
          </cell>
        </row>
        <row r="2408">
          <cell r="I2408">
            <v>811019109</v>
          </cell>
          <cell r="J2408" t="str">
            <v>IE LUIS CARLOS GALAN SARMIENTO - Carepa</v>
          </cell>
          <cell r="K2408">
            <v>229857267</v>
          </cell>
        </row>
        <row r="2409">
          <cell r="I2409">
            <v>811019113</v>
          </cell>
          <cell r="J2409" t="str">
            <v>CER VIJAGUAL - Carepa</v>
          </cell>
          <cell r="K2409">
            <v>31891598</v>
          </cell>
        </row>
        <row r="2410">
          <cell r="I2410">
            <v>811019131</v>
          </cell>
          <cell r="J2410" t="str">
            <v>IE EDUARDO AGUILAR - Yolombó</v>
          </cell>
          <cell r="K2410">
            <v>83244518</v>
          </cell>
        </row>
        <row r="2411">
          <cell r="I2411">
            <v>811019139</v>
          </cell>
          <cell r="J2411" t="str">
            <v>INST EDUC LA INDEPENDENCIA</v>
          </cell>
          <cell r="K2411">
            <v>157604702</v>
          </cell>
        </row>
        <row r="2412">
          <cell r="I2412">
            <v>811019140</v>
          </cell>
          <cell r="J2412" t="str">
            <v>IE MARIA AUXILIADORA - Caldas</v>
          </cell>
          <cell r="K2412">
            <v>101112095</v>
          </cell>
        </row>
        <row r="2413">
          <cell r="I2413">
            <v>811019145</v>
          </cell>
          <cell r="J2413" t="str">
            <v>IE SANTA GEMA - Buriticá</v>
          </cell>
          <cell r="K2413">
            <v>67299046</v>
          </cell>
        </row>
        <row r="2414">
          <cell r="I2414">
            <v>811019146</v>
          </cell>
          <cell r="J2414" t="str">
            <v>IE ANZA - Anzá</v>
          </cell>
          <cell r="K2414">
            <v>33423433</v>
          </cell>
        </row>
        <row r="2415">
          <cell r="I2415">
            <v>811019153</v>
          </cell>
          <cell r="J2415" t="str">
            <v>INST EDUC FRANCISCO LUIS HERNANDEZ BETANCUR</v>
          </cell>
          <cell r="K2415">
            <v>57525000</v>
          </cell>
        </row>
        <row r="2416">
          <cell r="I2416">
            <v>811019156</v>
          </cell>
          <cell r="J2416" t="str">
            <v>institucion educativa sagrado corazon</v>
          </cell>
          <cell r="K2416">
            <v>60571131</v>
          </cell>
        </row>
        <row r="2417">
          <cell r="I2417">
            <v>811019157</v>
          </cell>
          <cell r="J2417" t="str">
            <v>INST EDUC HORACIO MUOZ SUESCUN</v>
          </cell>
          <cell r="K2417">
            <v>109632498</v>
          </cell>
        </row>
        <row r="2418">
          <cell r="I2418">
            <v>811019240</v>
          </cell>
          <cell r="J2418" t="str">
            <v>IE ARBOLETES - Arboletes</v>
          </cell>
          <cell r="K2418">
            <v>137103065</v>
          </cell>
        </row>
        <row r="2419">
          <cell r="I2419">
            <v>811019245</v>
          </cell>
          <cell r="J2419" t="str">
            <v>I. E. BARRO BLANCO</v>
          </cell>
          <cell r="K2419">
            <v>78898090</v>
          </cell>
        </row>
        <row r="2420">
          <cell r="I2420">
            <v>811019263</v>
          </cell>
          <cell r="J2420" t="str">
            <v>Fondo de Servicios Educativos Institución Educativa Rafael j. Mejia</v>
          </cell>
          <cell r="K2420">
            <v>102834925</v>
          </cell>
        </row>
        <row r="2421">
          <cell r="I2421">
            <v>811019276</v>
          </cell>
          <cell r="J2421" t="str">
            <v>IER OVEJAS - San Pedro de los Milagros</v>
          </cell>
          <cell r="K2421">
            <v>48573645</v>
          </cell>
        </row>
        <row r="2422">
          <cell r="I2422">
            <v>811019301</v>
          </cell>
          <cell r="J2422" t="str">
            <v>I. E. ANA GOMEZ DE SIERRA</v>
          </cell>
          <cell r="K2422">
            <v>74639695</v>
          </cell>
        </row>
        <row r="2423">
          <cell r="I2423">
            <v>811019307</v>
          </cell>
          <cell r="J2423" t="str">
            <v>FONDO DE SERVICIOS EDUCATIVOS INSTITUCION EDUCATIVA SAN JOSE</v>
          </cell>
          <cell r="K2423">
            <v>184804556</v>
          </cell>
        </row>
        <row r="2424">
          <cell r="I2424">
            <v>811019314</v>
          </cell>
          <cell r="J2424" t="str">
            <v>IE LA CAUCANA - Tarazá</v>
          </cell>
          <cell r="K2424">
            <v>104828668</v>
          </cell>
        </row>
        <row r="2425">
          <cell r="I2425">
            <v>811019327</v>
          </cell>
          <cell r="J2425" t="str">
            <v>IER PORCECITO - Santo Domingo</v>
          </cell>
          <cell r="K2425">
            <v>45966068</v>
          </cell>
        </row>
        <row r="2426">
          <cell r="I2426">
            <v>811019336</v>
          </cell>
          <cell r="J2426" t="str">
            <v>FONDO DE SERVICIOS EDUCATIVOS INSTITUCION EDUCATIVA EL GUAYABO</v>
          </cell>
          <cell r="K2426">
            <v>48299003</v>
          </cell>
        </row>
        <row r="2427">
          <cell r="I2427">
            <v>811019347</v>
          </cell>
          <cell r="J2427" t="str">
            <v>SGP INSTIT. EDUCATIVA ABRAHAM REYES</v>
          </cell>
          <cell r="K2427">
            <v>82077315</v>
          </cell>
        </row>
        <row r="2428">
          <cell r="I2428">
            <v>811019365</v>
          </cell>
          <cell r="J2428" t="str">
            <v>IE NUESTRA SEÑORA DEL ROSARIO - Campamento</v>
          </cell>
          <cell r="K2428">
            <v>129878524</v>
          </cell>
        </row>
        <row r="2429">
          <cell r="I2429">
            <v>811019372</v>
          </cell>
          <cell r="J2429" t="str">
            <v>IE J. EMILIO VALDERRAMA AGUDELO - Toledo</v>
          </cell>
          <cell r="K2429">
            <v>95982757</v>
          </cell>
        </row>
        <row r="2430">
          <cell r="I2430">
            <v>811019453</v>
          </cell>
          <cell r="J2430" t="str">
            <v>IE SAN ISIDRO - Santa Rosa de Osos</v>
          </cell>
          <cell r="K2430">
            <v>36620320</v>
          </cell>
        </row>
        <row r="2431">
          <cell r="I2431">
            <v>811019484</v>
          </cell>
          <cell r="J2431" t="str">
            <v>SISTEMA GENERAL DE PARTICIPACION</v>
          </cell>
          <cell r="K2431">
            <v>59424782</v>
          </cell>
        </row>
        <row r="2432">
          <cell r="I2432">
            <v>811019503</v>
          </cell>
          <cell r="J2432" t="str">
            <v>INST EDUC CAMILO TORRES RESTREPO</v>
          </cell>
          <cell r="K2432">
            <v>35185872</v>
          </cell>
        </row>
        <row r="2433">
          <cell r="I2433">
            <v>811019573</v>
          </cell>
          <cell r="J2433" t="str">
            <v>I. E. GUILLERMO GAVIRIA CORREA</v>
          </cell>
          <cell r="K2433">
            <v>26016539</v>
          </cell>
        </row>
        <row r="2434">
          <cell r="I2434">
            <v>811019578</v>
          </cell>
          <cell r="J2434" t="str">
            <v>IE SAN JOSE - Venecia</v>
          </cell>
          <cell r="K2434">
            <v>79513773</v>
          </cell>
        </row>
        <row r="2435">
          <cell r="I2435">
            <v>811019585</v>
          </cell>
          <cell r="J2435" t="str">
            <v>FONDO DE SERVICIOS EDUCATIVOS I.E.R.URIBE GAVIRIA-VENECIA</v>
          </cell>
          <cell r="K2435">
            <v>18854004</v>
          </cell>
        </row>
        <row r="2436">
          <cell r="I2436">
            <v>811019589</v>
          </cell>
          <cell r="J2436" t="str">
            <v>IE ESCUELA NORMAL SUPERIOR PEDRO JUSTO BERRIO - Santa Rosa de Osos</v>
          </cell>
          <cell r="K2436">
            <v>80554321</v>
          </cell>
        </row>
        <row r="2437">
          <cell r="I2437">
            <v>811019600</v>
          </cell>
          <cell r="J2437" t="str">
            <v>F.S.E.  I.E.   CONCEJO  MUNIIPAL</v>
          </cell>
          <cell r="K2437">
            <v>73517999</v>
          </cell>
        </row>
        <row r="2438">
          <cell r="I2438">
            <v>811019614</v>
          </cell>
          <cell r="J2438" t="str">
            <v>IE CARDENAL ANIBAL MUÑOZ DUQUE - Santa Rosa de Osos</v>
          </cell>
          <cell r="K2438">
            <v>136174225</v>
          </cell>
        </row>
        <row r="2439">
          <cell r="I2439">
            <v>811019616</v>
          </cell>
          <cell r="J2439" t="str">
            <v>INST EDUC RODRIGO LARA BONILLA</v>
          </cell>
          <cell r="K2439">
            <v>87855740</v>
          </cell>
        </row>
        <row r="2440">
          <cell r="I2440">
            <v>811019620</v>
          </cell>
          <cell r="J2440" t="str">
            <v>IER  CARLOS GONZALEZ - Belmira</v>
          </cell>
          <cell r="K2440">
            <v>46632768</v>
          </cell>
        </row>
        <row r="2441">
          <cell r="I2441">
            <v>811019634</v>
          </cell>
          <cell r="J2441" t="str">
            <v>INST EDUC JORGE ROBLEDO</v>
          </cell>
          <cell r="K2441">
            <v>81351072</v>
          </cell>
        </row>
        <row r="2442">
          <cell r="I2442">
            <v>811019685</v>
          </cell>
          <cell r="J2442" t="str">
            <v>CER MARIA ESTEVEZ - La Ceja</v>
          </cell>
          <cell r="K2442">
            <v>16163724</v>
          </cell>
        </row>
        <row r="2443">
          <cell r="I2443">
            <v>811019686</v>
          </cell>
          <cell r="J2443" t="str">
            <v>IE MARIA JOSEFA MARULANDA - La Ceja</v>
          </cell>
          <cell r="K2443">
            <v>112091092</v>
          </cell>
        </row>
        <row r="2444">
          <cell r="I2444">
            <v>811019688</v>
          </cell>
          <cell r="J2444" t="str">
            <v>CER EL TAMBO - La Ceja</v>
          </cell>
          <cell r="K2444">
            <v>21134782</v>
          </cell>
        </row>
        <row r="2445">
          <cell r="I2445">
            <v>811019702</v>
          </cell>
          <cell r="J2445" t="str">
            <v>Institucion educativa Marceliana Saldarriaga</v>
          </cell>
          <cell r="K2445">
            <v>117147660</v>
          </cell>
        </row>
        <row r="2446">
          <cell r="I2446">
            <v>811019723</v>
          </cell>
          <cell r="J2446" t="str">
            <v>F.S.E. INSTITUCION EDUCATIVA DIEGO ECHAVARRIA</v>
          </cell>
          <cell r="K2446">
            <v>175670827</v>
          </cell>
        </row>
        <row r="2447">
          <cell r="I2447">
            <v>811019724</v>
          </cell>
          <cell r="J2447" t="str">
            <v>INST EDUC BARRIO SANTANDER</v>
          </cell>
          <cell r="K2447">
            <v>114152652</v>
          </cell>
        </row>
        <row r="2448">
          <cell r="I2448">
            <v>811019727</v>
          </cell>
          <cell r="J2448" t="str">
            <v>INST EDUC MAESTRO PEDRO NEL GOMEZ</v>
          </cell>
          <cell r="K2448">
            <v>82374154</v>
          </cell>
        </row>
        <row r="2449">
          <cell r="I2449">
            <v>811019729</v>
          </cell>
          <cell r="J2449" t="str">
            <v>F.S.E. INTITUCION EDUCATIVA JOSE ASUNCION SILVA</v>
          </cell>
          <cell r="K2449">
            <v>74968872</v>
          </cell>
        </row>
        <row r="2450">
          <cell r="I2450">
            <v>811019733</v>
          </cell>
          <cell r="J2450" t="str">
            <v>INST EDUC EL PEDREGAL</v>
          </cell>
          <cell r="K2450">
            <v>96046001</v>
          </cell>
        </row>
        <row r="2451">
          <cell r="I2451">
            <v>811019735</v>
          </cell>
          <cell r="J2451" t="str">
            <v>INST EDUC CIUDADELA LAS AMERICAS</v>
          </cell>
          <cell r="K2451">
            <v>78455272</v>
          </cell>
        </row>
        <row r="2452">
          <cell r="I2452">
            <v>811019740</v>
          </cell>
          <cell r="J2452" t="str">
            <v>IE ESCUELA NORMAL SUPERIOR DEL NORDESTE - Yolombó</v>
          </cell>
          <cell r="K2452">
            <v>60567148</v>
          </cell>
        </row>
        <row r="2453">
          <cell r="I2453">
            <v>811019757</v>
          </cell>
          <cell r="J2453" t="str">
            <v>Fondo de Servicios Educativos Institución Educativa Adelaida Correa Estrada</v>
          </cell>
          <cell r="K2453">
            <v>71174210</v>
          </cell>
        </row>
        <row r="2454">
          <cell r="I2454">
            <v>811019759</v>
          </cell>
          <cell r="J2454" t="str">
            <v>Institución Educativa Presbitero Antonio Baena Salazar</v>
          </cell>
          <cell r="K2454">
            <v>57542580</v>
          </cell>
        </row>
        <row r="2455">
          <cell r="I2455">
            <v>811019761</v>
          </cell>
          <cell r="J2455" t="str">
            <v>I.E Primitivo Leal la Doctora</v>
          </cell>
          <cell r="K2455">
            <v>69097236</v>
          </cell>
        </row>
        <row r="2456">
          <cell r="I2456">
            <v>811019764</v>
          </cell>
          <cell r="J2456" t="str">
            <v>Institución Educativa Maria Auxiliadora</v>
          </cell>
          <cell r="K2456">
            <v>36600418</v>
          </cell>
        </row>
        <row r="2457">
          <cell r="I2457">
            <v>811019775</v>
          </cell>
          <cell r="J2457" t="str">
            <v>IE HECTOR HIGINIO BEDOYA VARGAS - Heliconia</v>
          </cell>
          <cell r="K2457">
            <v>22152020</v>
          </cell>
        </row>
        <row r="2458">
          <cell r="I2458">
            <v>811019778</v>
          </cell>
          <cell r="J2458" t="str">
            <v>Institucion educativa ciudad Itagui</v>
          </cell>
          <cell r="K2458">
            <v>94399765</v>
          </cell>
        </row>
        <row r="2459">
          <cell r="I2459">
            <v>811019800</v>
          </cell>
          <cell r="J2459" t="str">
            <v>INST EDUC FELIX DE BEDOUT MORENO</v>
          </cell>
          <cell r="K2459">
            <v>55293146</v>
          </cell>
        </row>
        <row r="2460">
          <cell r="I2460">
            <v>811019802</v>
          </cell>
          <cell r="J2460" t="str">
            <v>INST EDUC JULIO CESAR GARCIA</v>
          </cell>
          <cell r="K2460">
            <v>85276864</v>
          </cell>
        </row>
        <row r="2461">
          <cell r="I2461">
            <v>811019849</v>
          </cell>
          <cell r="J2461" t="str">
            <v>IE  LUIS LOPEZ DE MESA - Guadalupe</v>
          </cell>
          <cell r="K2461">
            <v>87669867</v>
          </cell>
        </row>
        <row r="2462">
          <cell r="I2462">
            <v>811019890</v>
          </cell>
          <cell r="J2462" t="str">
            <v>INST EDUC PEDRO OCTAVIO AMADO</v>
          </cell>
          <cell r="K2462">
            <v>80550652</v>
          </cell>
        </row>
        <row r="2463">
          <cell r="I2463">
            <v>811019899</v>
          </cell>
          <cell r="J2463" t="str">
            <v>INST EDUC LAS NIEVES</v>
          </cell>
          <cell r="K2463">
            <v>53952586</v>
          </cell>
        </row>
        <row r="2464">
          <cell r="I2464">
            <v>811019948</v>
          </cell>
          <cell r="J2464" t="str">
            <v>SGP CENTRO ED ANTONIO MARIA BEDOYA</v>
          </cell>
          <cell r="K2464">
            <v>23748451</v>
          </cell>
        </row>
        <row r="2465">
          <cell r="I2465">
            <v>811019964</v>
          </cell>
          <cell r="J2465" t="str">
            <v>IE VIGIA DEL FUERTE - Vigía del Fuerte</v>
          </cell>
          <cell r="K2465">
            <v>98264965</v>
          </cell>
        </row>
        <row r="2466">
          <cell r="I2466">
            <v>811019968</v>
          </cell>
          <cell r="J2466" t="str">
            <v>Fondo de Servicios COLEGIO ALEJANDRO VELZ</v>
          </cell>
          <cell r="K2466">
            <v>97078669</v>
          </cell>
        </row>
        <row r="2467">
          <cell r="I2467">
            <v>811019977</v>
          </cell>
          <cell r="J2467" t="str">
            <v>IE ESCUELA NORMAL SUPERIOR SANTA TERESITA - Sopetrán</v>
          </cell>
          <cell r="K2467">
            <v>120710079</v>
          </cell>
        </row>
        <row r="2468">
          <cell r="I2468">
            <v>811019998</v>
          </cell>
          <cell r="J2468" t="str">
            <v>IE SALINAS - Caldas</v>
          </cell>
          <cell r="K2468">
            <v>51714983</v>
          </cell>
        </row>
        <row r="2469">
          <cell r="I2469">
            <v>811020009</v>
          </cell>
          <cell r="J2469" t="str">
            <v>FONDO DE SERVICIOS DOCENTES COLEGIO ORLANDO VELASQUEZ ARANGO-VENECIA</v>
          </cell>
          <cell r="K2469">
            <v>46231596</v>
          </cell>
        </row>
        <row r="2470">
          <cell r="I2470">
            <v>811020022</v>
          </cell>
          <cell r="J2470" t="str">
            <v>IE BOMBONA - Puerto Berrío</v>
          </cell>
          <cell r="K2470">
            <v>89710108</v>
          </cell>
        </row>
        <row r="2471">
          <cell r="I2471">
            <v>811020045</v>
          </cell>
          <cell r="J2471" t="str">
            <v>SGP INSTITUCION EDUCATIVA LA UNION</v>
          </cell>
          <cell r="K2471">
            <v>43075046</v>
          </cell>
        </row>
        <row r="2472">
          <cell r="I2472">
            <v>811020058</v>
          </cell>
          <cell r="J2472" t="str">
            <v>IE MARIANO J VILLEGAS - Montebello</v>
          </cell>
          <cell r="K2472">
            <v>75997856</v>
          </cell>
        </row>
        <row r="2473">
          <cell r="I2473">
            <v>811020134</v>
          </cell>
          <cell r="J2473" t="str">
            <v>I. E. SAN ANTONIO</v>
          </cell>
          <cell r="K2473">
            <v>71161756</v>
          </cell>
        </row>
        <row r="2474">
          <cell r="I2474">
            <v>811020153</v>
          </cell>
          <cell r="J2474" t="str">
            <v>I. E. BALTAZAR SALAZAR</v>
          </cell>
          <cell r="K2474">
            <v>68871316</v>
          </cell>
        </row>
        <row r="2475">
          <cell r="I2475">
            <v>811020162</v>
          </cell>
          <cell r="J2475" t="str">
            <v>FONDO DE SERVICIOS  EDUCATIVOS</v>
          </cell>
          <cell r="K2475">
            <v>23402515</v>
          </cell>
        </row>
        <row r="2476">
          <cell r="I2476">
            <v>811020168</v>
          </cell>
          <cell r="J2476" t="str">
            <v>institucion educativa carlos arturo duque ramirez</v>
          </cell>
          <cell r="K2476">
            <v>61532794</v>
          </cell>
        </row>
        <row r="2477">
          <cell r="I2477">
            <v>811020169</v>
          </cell>
          <cell r="J2477" t="str">
            <v>institucion educativa rural pbro. Jesus antonio gomez- santuario</v>
          </cell>
          <cell r="K2477">
            <v>76527027</v>
          </cell>
        </row>
        <row r="2478">
          <cell r="I2478">
            <v>811020170</v>
          </cell>
          <cell r="J2478" t="str">
            <v>INST EDUC TRICENTENARIO</v>
          </cell>
          <cell r="K2478">
            <v>71743588</v>
          </cell>
        </row>
        <row r="2479">
          <cell r="I2479">
            <v>811020185</v>
          </cell>
          <cell r="J2479" t="str">
            <v>IE ROSA MESA DE MEJIA - Armenia</v>
          </cell>
          <cell r="K2479">
            <v>45174517</v>
          </cell>
        </row>
        <row r="2480">
          <cell r="I2480">
            <v>811020198</v>
          </cell>
          <cell r="J2480" t="str">
            <v>institucion educativa la union-puerto nare</v>
          </cell>
          <cell r="K2480">
            <v>30976652</v>
          </cell>
        </row>
        <row r="2481">
          <cell r="I2481">
            <v>811020200</v>
          </cell>
          <cell r="J2481" t="str">
            <v>institucion educativa jorge enrique villegas-puerto nare</v>
          </cell>
          <cell r="K2481">
            <v>38678282</v>
          </cell>
        </row>
        <row r="2482">
          <cell r="I2482">
            <v>811020229</v>
          </cell>
          <cell r="J2482" t="str">
            <v>INST EDUC SANTA TERESA</v>
          </cell>
          <cell r="K2482">
            <v>101935377</v>
          </cell>
        </row>
        <row r="2483">
          <cell r="I2483">
            <v>811020303</v>
          </cell>
          <cell r="J2483" t="str">
            <v>IE ANORÍ - Anorí</v>
          </cell>
          <cell r="K2483">
            <v>238370014</v>
          </cell>
        </row>
        <row r="2484">
          <cell r="I2484">
            <v>811020306</v>
          </cell>
          <cell r="J2484" t="str">
            <v>FONDO DE SERVICIOS DOCENTES LICEO JULIO RESTREPO- SALGAR</v>
          </cell>
          <cell r="K2484">
            <v>190063222</v>
          </cell>
        </row>
        <row r="2485">
          <cell r="I2485">
            <v>811020355</v>
          </cell>
          <cell r="J2485" t="str">
            <v>IER ADOLFO MORENO USUGA - Buriticá</v>
          </cell>
          <cell r="K2485">
            <v>50468637</v>
          </cell>
        </row>
        <row r="2486">
          <cell r="I2486">
            <v>811020369</v>
          </cell>
          <cell r="J2486" t="str">
            <v>INST EDUC JUAN DE DIOS CARVAJAL</v>
          </cell>
          <cell r="K2486">
            <v>73061437</v>
          </cell>
        </row>
        <row r="2487">
          <cell r="I2487">
            <v>811020408</v>
          </cell>
          <cell r="J2487" t="str">
            <v>institucion educativa la sierra-puerto nare</v>
          </cell>
          <cell r="K2487">
            <v>79116594</v>
          </cell>
        </row>
        <row r="2488">
          <cell r="I2488">
            <v>811020415</v>
          </cell>
          <cell r="J2488" t="str">
            <v>I. E. ANTONIO DONADO CAMACHO</v>
          </cell>
          <cell r="K2488">
            <v>40229254</v>
          </cell>
        </row>
        <row r="2489">
          <cell r="I2489">
            <v>811020435</v>
          </cell>
          <cell r="J2489" t="str">
            <v>INST EDUC ENRIQUE OLAYA HERRERA</v>
          </cell>
          <cell r="K2489">
            <v>72100030</v>
          </cell>
        </row>
        <row r="2490">
          <cell r="I2490">
            <v>811020471</v>
          </cell>
          <cell r="J2490" t="str">
            <v>IE LORENZO YALI - Yalí</v>
          </cell>
          <cell r="K2490">
            <v>87218377</v>
          </cell>
        </row>
        <row r="2491">
          <cell r="I2491">
            <v>811020495</v>
          </cell>
          <cell r="J2491" t="str">
            <v>IER ALIANZA PARA EL PROGRESO - Vigía del Fuerte</v>
          </cell>
          <cell r="K2491">
            <v>20485003</v>
          </cell>
        </row>
        <row r="2492">
          <cell r="I2492">
            <v>811020518</v>
          </cell>
          <cell r="J2492" t="str">
            <v>INSTITUCION EDUCATIVA SANTA CATALINA</v>
          </cell>
          <cell r="K2492">
            <v>73954935</v>
          </cell>
        </row>
        <row r="2493">
          <cell r="I2493">
            <v>811020638</v>
          </cell>
          <cell r="J2493" t="str">
            <v>INST EDUC TOMAS CARRASQUILLA NO. 2</v>
          </cell>
          <cell r="K2493">
            <v>54219007</v>
          </cell>
        </row>
        <row r="2494">
          <cell r="I2494">
            <v>811020646</v>
          </cell>
          <cell r="J2494" t="str">
            <v>IE  PUERTO CLAVER - El Bagre</v>
          </cell>
          <cell r="K2494">
            <v>151279570</v>
          </cell>
        </row>
        <row r="2495">
          <cell r="I2495">
            <v>811020736</v>
          </cell>
          <cell r="J2495" t="str">
            <v>I. E. LA MOSQUITA</v>
          </cell>
          <cell r="K2495">
            <v>41602609</v>
          </cell>
        </row>
        <row r="2496">
          <cell r="I2496">
            <v>811020775</v>
          </cell>
          <cell r="J2496" t="str">
            <v>IER HOYO RICO - Santa Rosa de Osos</v>
          </cell>
          <cell r="K2496">
            <v>40387340</v>
          </cell>
        </row>
        <row r="2497">
          <cell r="I2497">
            <v>811020786</v>
          </cell>
          <cell r="J2497" t="str">
            <v>INST EDUC MONSEOR FRANCISCO CRISTOBAL TORO</v>
          </cell>
          <cell r="K2497">
            <v>132699666</v>
          </cell>
        </row>
        <row r="2498">
          <cell r="I2498">
            <v>811020806</v>
          </cell>
          <cell r="J2498" t="str">
            <v>F.S.D. Colegio Policarpa Salavarrieta</v>
          </cell>
          <cell r="K2498">
            <v>99234622</v>
          </cell>
        </row>
        <row r="2499">
          <cell r="I2499">
            <v>811020856</v>
          </cell>
          <cell r="J2499" t="str">
            <v>COLEGIO FE Y ALEGRIA</v>
          </cell>
          <cell r="K2499">
            <v>110992698</v>
          </cell>
        </row>
        <row r="2500">
          <cell r="I2500">
            <v>811020911</v>
          </cell>
          <cell r="J2500" t="str">
            <v>INST EDUC VILLA FLORA</v>
          </cell>
          <cell r="K2500">
            <v>67440826</v>
          </cell>
        </row>
        <row r="2501">
          <cell r="I2501">
            <v>811020918</v>
          </cell>
          <cell r="J2501" t="str">
            <v>IE PROCESA DELGADO - Alejandría</v>
          </cell>
          <cell r="K2501">
            <v>44934229</v>
          </cell>
        </row>
        <row r="2502">
          <cell r="I2502">
            <v>811020919</v>
          </cell>
          <cell r="J2502" t="str">
            <v>IE  PRESBITERO LIBARDO AGUIRRE - Concepción</v>
          </cell>
          <cell r="K2502">
            <v>43289221</v>
          </cell>
        </row>
        <row r="2503">
          <cell r="I2503">
            <v>811020923</v>
          </cell>
          <cell r="J2503" t="str">
            <v>IE SANTA RITA - San Vicente</v>
          </cell>
          <cell r="K2503">
            <v>40600505</v>
          </cell>
        </row>
        <row r="2504">
          <cell r="I2504">
            <v>811020924</v>
          </cell>
          <cell r="J2504" t="str">
            <v>IE LA MAGDALENA - San Vicente</v>
          </cell>
          <cell r="K2504">
            <v>46309944</v>
          </cell>
        </row>
        <row r="2505">
          <cell r="I2505">
            <v>811020950</v>
          </cell>
          <cell r="J2505" t="str">
            <v>IE  DIVINO NIÑO - Caucasia</v>
          </cell>
          <cell r="K2505">
            <v>154738349</v>
          </cell>
        </row>
        <row r="2506">
          <cell r="I2506">
            <v>811020962</v>
          </cell>
          <cell r="J2506" t="str">
            <v>INST EDUC JOSE MARIA VELAZ</v>
          </cell>
          <cell r="K2506">
            <v>68542116</v>
          </cell>
        </row>
        <row r="2507">
          <cell r="I2507">
            <v>811020971</v>
          </cell>
          <cell r="J2507" t="str">
            <v>INST EDUC SAN ANTONIO DE PRADO</v>
          </cell>
          <cell r="K2507">
            <v>190720091</v>
          </cell>
        </row>
        <row r="2508">
          <cell r="I2508">
            <v>811021005</v>
          </cell>
          <cell r="J2508" t="str">
            <v>INST EDUC VILLA GUADALUPE</v>
          </cell>
          <cell r="K2508">
            <v>110929177</v>
          </cell>
        </row>
        <row r="2509">
          <cell r="I2509">
            <v>811021032</v>
          </cell>
          <cell r="J2509" t="str">
            <v>IE OLAYA - Olaya</v>
          </cell>
          <cell r="K2509">
            <v>46486544</v>
          </cell>
        </row>
        <row r="2510">
          <cell r="I2510">
            <v>811021052</v>
          </cell>
          <cell r="J2510" t="str">
            <v>INST EDUC LA PRESENTACION</v>
          </cell>
          <cell r="K2510">
            <v>69242761</v>
          </cell>
        </row>
        <row r="2511">
          <cell r="I2511">
            <v>811021069</v>
          </cell>
          <cell r="J2511" t="str">
            <v>IE SAN DIEGO - Liborina</v>
          </cell>
          <cell r="K2511">
            <v>55423046</v>
          </cell>
        </row>
        <row r="2512">
          <cell r="I2512">
            <v>811021101</v>
          </cell>
          <cell r="J2512" t="str">
            <v>I. E. GILBERTO ECHEVERRY MEJIA</v>
          </cell>
          <cell r="K2512">
            <v>53423097</v>
          </cell>
        </row>
        <row r="2513">
          <cell r="I2513">
            <v>811021124</v>
          </cell>
          <cell r="J2513" t="str">
            <v>IE JHON F. KENNEDY - Vegachí</v>
          </cell>
          <cell r="K2513">
            <v>93976814</v>
          </cell>
        </row>
        <row r="2514">
          <cell r="I2514">
            <v>811021148</v>
          </cell>
          <cell r="J2514" t="str">
            <v>IE SAN FRANCISCO - San Francisco</v>
          </cell>
          <cell r="K2514">
            <v>76522980</v>
          </cell>
        </row>
        <row r="2515">
          <cell r="I2515">
            <v>811021159</v>
          </cell>
          <cell r="J2515" t="str">
            <v>Institucion educativa Maria Josefa Escobar</v>
          </cell>
          <cell r="K2515">
            <v>85735251</v>
          </cell>
        </row>
        <row r="2516">
          <cell r="I2516">
            <v>811021218</v>
          </cell>
          <cell r="J2516" t="str">
            <v>IE SAN RAFAEL  - San Rafael</v>
          </cell>
          <cell r="K2516">
            <v>157453138</v>
          </cell>
        </row>
        <row r="2517">
          <cell r="I2517">
            <v>811021310</v>
          </cell>
          <cell r="J2517" t="str">
            <v>F.S.E INSTITUCION EDUCATIVA MADRE LAURA</v>
          </cell>
          <cell r="K2517">
            <v>118832691</v>
          </cell>
        </row>
        <row r="2518">
          <cell r="I2518">
            <v>811021311</v>
          </cell>
          <cell r="J2518" t="str">
            <v>F.S.E. COLEGIO HERACLIO MENA PADILLA</v>
          </cell>
          <cell r="K2518">
            <v>103790382</v>
          </cell>
        </row>
        <row r="2519">
          <cell r="I2519">
            <v>811021321</v>
          </cell>
          <cell r="J2519" t="str">
            <v>IE NUESTRA SENORA DEL PILAR - Guatape</v>
          </cell>
          <cell r="K2519">
            <v>94236391</v>
          </cell>
        </row>
        <row r="2520">
          <cell r="I2520">
            <v>811021435</v>
          </cell>
          <cell r="J2520" t="str">
            <v>INST EDUC SANTO ANGEL</v>
          </cell>
          <cell r="K2520">
            <v>101912235</v>
          </cell>
        </row>
        <row r="2521">
          <cell r="I2521">
            <v>811021464</v>
          </cell>
          <cell r="J2521" t="str">
            <v>I. E. SANTA BARBARA</v>
          </cell>
          <cell r="K2521">
            <v>76964659</v>
          </cell>
        </row>
        <row r="2522">
          <cell r="I2522">
            <v>811021477</v>
          </cell>
          <cell r="J2522" t="str">
            <v>IE MONSEÑOR ALFONSO URIBE JARAMILLO - La Ceja</v>
          </cell>
          <cell r="K2522">
            <v>117929148</v>
          </cell>
        </row>
        <row r="2523">
          <cell r="I2523">
            <v>811021683</v>
          </cell>
          <cell r="J2523" t="str">
            <v>IER BUCHADO - Vigía del Fuerte</v>
          </cell>
          <cell r="K2523">
            <v>28776189</v>
          </cell>
        </row>
        <row r="2524">
          <cell r="I2524">
            <v>811021722</v>
          </cell>
          <cell r="J2524" t="str">
            <v>f.s.e. institucion educativa san vicente de ferrer- san vicente</v>
          </cell>
          <cell r="K2524">
            <v>115721531</v>
          </cell>
        </row>
        <row r="2525">
          <cell r="I2525">
            <v>811021743</v>
          </cell>
          <cell r="J2525" t="str">
            <v>INST EDUC EDUARDO SANTOS</v>
          </cell>
          <cell r="K2525">
            <v>132223965</v>
          </cell>
        </row>
        <row r="2526">
          <cell r="I2526">
            <v>811021773</v>
          </cell>
          <cell r="J2526" t="str">
            <v>F.S.E.IEE NORMAL SUPERIOR PBRO.JOSE GOMEZ ISAZA-SONSON</v>
          </cell>
          <cell r="K2526">
            <v>66853568</v>
          </cell>
        </row>
        <row r="2527">
          <cell r="I2527">
            <v>811021783</v>
          </cell>
          <cell r="J2527" t="str">
            <v>INST EDUC SANTOS ANGELES CUSTODIOS</v>
          </cell>
          <cell r="K2527">
            <v>59463013</v>
          </cell>
        </row>
        <row r="2528">
          <cell r="I2528">
            <v>811021822</v>
          </cell>
          <cell r="J2528" t="str">
            <v>INST EDUC REPUBLICA DE HONDURAS</v>
          </cell>
          <cell r="K2528">
            <v>81029019</v>
          </cell>
        </row>
        <row r="2529">
          <cell r="I2529">
            <v>811021913</v>
          </cell>
          <cell r="J2529" t="str">
            <v>Institucion Educativa Pedro Estrada</v>
          </cell>
          <cell r="K2529">
            <v>72450334</v>
          </cell>
        </row>
        <row r="2530">
          <cell r="I2530">
            <v>811021944</v>
          </cell>
          <cell r="J2530" t="str">
            <v>INST EDUC SAN LORENZO DE ABURRA</v>
          </cell>
          <cell r="K2530">
            <v>98775141</v>
          </cell>
        </row>
        <row r="2531">
          <cell r="I2531">
            <v>811021953</v>
          </cell>
          <cell r="J2531" t="str">
            <v>IE PALMIRA - Peñol</v>
          </cell>
          <cell r="K2531">
            <v>214314205</v>
          </cell>
        </row>
        <row r="2532">
          <cell r="I2532">
            <v>811021956</v>
          </cell>
          <cell r="J2532" t="str">
            <v>INST EDUC JUVENIL NUEVO FUTURO</v>
          </cell>
          <cell r="K2532">
            <v>69941321</v>
          </cell>
        </row>
        <row r="2533">
          <cell r="I2533">
            <v>811022003</v>
          </cell>
          <cell r="J2533" t="str">
            <v>INSTITUCION EDUCATIVA OCTAVIO CALDERON MEJIA</v>
          </cell>
          <cell r="K2533">
            <v>77316106</v>
          </cell>
        </row>
        <row r="2534">
          <cell r="I2534">
            <v>811022032</v>
          </cell>
          <cell r="J2534" t="str">
            <v>institucion educativa antonio Jose de Sucre</v>
          </cell>
          <cell r="K2534">
            <v>111126971</v>
          </cell>
        </row>
        <row r="2535">
          <cell r="I2535">
            <v>811022037</v>
          </cell>
          <cell r="J2535" t="str">
            <v>IE CEDEÑO - Yarumal</v>
          </cell>
          <cell r="K2535">
            <v>27771850</v>
          </cell>
        </row>
        <row r="2536">
          <cell r="I2536">
            <v>811022122</v>
          </cell>
          <cell r="J2536" t="str">
            <v>IER TECNICO DE MARINILLA - Marinilla</v>
          </cell>
          <cell r="K2536">
            <v>54932085</v>
          </cell>
        </row>
        <row r="2537">
          <cell r="I2537">
            <v>811022161</v>
          </cell>
          <cell r="J2537" t="str">
            <v>INST EDUC LA CANDELARIA</v>
          </cell>
          <cell r="K2537">
            <v>136785903</v>
          </cell>
        </row>
        <row r="2538">
          <cell r="I2538">
            <v>811022180</v>
          </cell>
          <cell r="J2538" t="str">
            <v>IE FRANCISCO MARIA CARDONA - La Ceja</v>
          </cell>
          <cell r="K2538">
            <v>41277828</v>
          </cell>
        </row>
        <row r="2539">
          <cell r="I2539">
            <v>811022204</v>
          </cell>
          <cell r="J2539" t="str">
            <v>IE SAN PEDRO DE URABÁ - San Pedro de Urabá</v>
          </cell>
          <cell r="K2539">
            <v>181527164</v>
          </cell>
        </row>
        <row r="2540">
          <cell r="I2540">
            <v>811022317</v>
          </cell>
          <cell r="J2540" t="str">
            <v>INST EDUC JOSE HORACIO BETANCUR</v>
          </cell>
          <cell r="K2540">
            <v>58388588</v>
          </cell>
        </row>
        <row r="2541">
          <cell r="I2541">
            <v>811022363</v>
          </cell>
          <cell r="J2541" t="str">
            <v>IE CAMILO TORRES - San Pedro de Urabá</v>
          </cell>
          <cell r="K2541">
            <v>113538980</v>
          </cell>
        </row>
        <row r="2542">
          <cell r="I2542">
            <v>811022395</v>
          </cell>
          <cell r="J2542" t="str">
            <v>LA ESE. INSTITUCION EDUCATIVA SAN VICENTE DE PAUL</v>
          </cell>
          <cell r="K2542">
            <v>30413053</v>
          </cell>
        </row>
        <row r="2543">
          <cell r="I2543">
            <v>811022436</v>
          </cell>
          <cell r="J2543" t="str">
            <v>FONDO DE SERVICIOS EDUCATIVOS INSTITUCION EDUCATIVA VERSALLES</v>
          </cell>
          <cell r="K2543">
            <v>43636939</v>
          </cell>
        </row>
        <row r="2544">
          <cell r="I2544">
            <v>811022437</v>
          </cell>
          <cell r="J2544" t="str">
            <v>F.S.D COLEGIO SAN PEDRO CLAVER</v>
          </cell>
          <cell r="K2544">
            <v>213649707</v>
          </cell>
        </row>
        <row r="2545">
          <cell r="I2545">
            <v>811022438</v>
          </cell>
          <cell r="J2545" t="str">
            <v>F.S.D. LICEO SAN FRANCISCO DE ASIS</v>
          </cell>
          <cell r="K2545">
            <v>115142008</v>
          </cell>
        </row>
        <row r="2546">
          <cell r="I2546">
            <v>811022459</v>
          </cell>
          <cell r="J2546" t="str">
            <v>INST EDUC FELIX HENAO BOTERO</v>
          </cell>
          <cell r="K2546">
            <v>92589675</v>
          </cell>
        </row>
        <row r="2547">
          <cell r="I2547">
            <v>811022576</v>
          </cell>
          <cell r="J2547" t="str">
            <v>IER GUILLERMO AGUILAR - Yolombó</v>
          </cell>
          <cell r="K2547">
            <v>44522177</v>
          </cell>
        </row>
        <row r="2548">
          <cell r="I2548">
            <v>811022581</v>
          </cell>
          <cell r="J2548" t="str">
            <v>IER LA CANDELARIA - Arboletes</v>
          </cell>
          <cell r="K2548">
            <v>58052946</v>
          </cell>
        </row>
        <row r="2549">
          <cell r="I2549">
            <v>811022616</v>
          </cell>
          <cell r="J2549" t="str">
            <v>INSTITUCION EDUCATIVA ZAMORA</v>
          </cell>
          <cell r="K2549">
            <v>136186123</v>
          </cell>
        </row>
        <row r="2550">
          <cell r="I2550">
            <v>811022819</v>
          </cell>
          <cell r="J2550" t="str">
            <v>IE RURAL CHAPARRAL - San Vicente</v>
          </cell>
          <cell r="K2550">
            <v>47635827</v>
          </cell>
        </row>
        <row r="2551">
          <cell r="I2551">
            <v>811022829</v>
          </cell>
          <cell r="J2551" t="str">
            <v>IE EFE GOMEZ - Vegachí</v>
          </cell>
          <cell r="K2551">
            <v>115669681</v>
          </cell>
        </row>
        <row r="2552">
          <cell r="I2552">
            <v>811022893</v>
          </cell>
          <cell r="J2552" t="str">
            <v>F.S.E. CENTRO EDUCATIVO PEDREGAL ALTO</v>
          </cell>
          <cell r="K2552">
            <v>24611004</v>
          </cell>
        </row>
        <row r="2553">
          <cell r="I2553">
            <v>811022976</v>
          </cell>
          <cell r="J2553" t="str">
            <v>F.S.E. INSTITUCION EDUCATIVA HERNAN VILLABAENA</v>
          </cell>
          <cell r="K2553">
            <v>131948448</v>
          </cell>
        </row>
        <row r="2554">
          <cell r="I2554">
            <v>811022994</v>
          </cell>
          <cell r="J2554" t="str">
            <v>SGP FSE INSTITUCION EDUCATIVA LA GABRIELA</v>
          </cell>
          <cell r="K2554">
            <v>124142656</v>
          </cell>
        </row>
        <row r="2555">
          <cell r="I2555">
            <v>811023023</v>
          </cell>
          <cell r="J2555" t="str">
            <v>f.s.e. institucion educativa de jesus</v>
          </cell>
          <cell r="K2555">
            <v>234807278</v>
          </cell>
        </row>
        <row r="2556">
          <cell r="I2556">
            <v>811023160</v>
          </cell>
          <cell r="J2556" t="str">
            <v>INST EDUC CARLOS ALBERTO CALDERON</v>
          </cell>
          <cell r="K2556">
            <v>59751472</v>
          </cell>
        </row>
        <row r="2557">
          <cell r="I2557">
            <v>811023173</v>
          </cell>
          <cell r="J2557" t="str">
            <v>INSTITUCION EDUCATIVA RURAL MELLITO</v>
          </cell>
          <cell r="K2557">
            <v>73610732</v>
          </cell>
        </row>
        <row r="2558">
          <cell r="I2558">
            <v>811023253</v>
          </cell>
          <cell r="J2558" t="str">
            <v>F.S.E COLEGIO JOSE CELESTINO MUTIS</v>
          </cell>
          <cell r="K2558">
            <v>134320073</v>
          </cell>
        </row>
        <row r="2559">
          <cell r="I2559">
            <v>811023259</v>
          </cell>
          <cell r="J2559" t="str">
            <v>IE  PUERTO LOPEZ - El Bagre</v>
          </cell>
          <cell r="K2559">
            <v>136046413</v>
          </cell>
        </row>
        <row r="2560">
          <cell r="I2560">
            <v>811023320</v>
          </cell>
          <cell r="J2560" t="str">
            <v>F.S.E. Institucion Educativa Concejo Municipal de Itagui</v>
          </cell>
          <cell r="K2560">
            <v>147263889</v>
          </cell>
        </row>
        <row r="2561">
          <cell r="I2561">
            <v>811023506</v>
          </cell>
          <cell r="J2561" t="str">
            <v>INSTITUCION EDUCATIVA SAN JUAN DE LOS ANDES</v>
          </cell>
          <cell r="K2561">
            <v>82672381</v>
          </cell>
        </row>
        <row r="2562">
          <cell r="I2562">
            <v>811023548</v>
          </cell>
          <cell r="J2562" t="str">
            <v>IER PORTACHUELO - Amalfi</v>
          </cell>
          <cell r="K2562">
            <v>47243874</v>
          </cell>
        </row>
        <row r="2563">
          <cell r="I2563">
            <v>811023552</v>
          </cell>
          <cell r="J2563" t="str">
            <v>IE PUEBLO NUEVO - Amalfi</v>
          </cell>
          <cell r="K2563">
            <v>117070748</v>
          </cell>
        </row>
        <row r="2564">
          <cell r="I2564">
            <v>811023555</v>
          </cell>
          <cell r="J2564" t="str">
            <v>IE PRESBITERO GERARDO MONTOYA - Amalfi</v>
          </cell>
          <cell r="K2564">
            <v>83125042</v>
          </cell>
        </row>
        <row r="2565">
          <cell r="I2565">
            <v>811023556</v>
          </cell>
          <cell r="J2565" t="str">
            <v>INST EDUC EL LIMONAR</v>
          </cell>
          <cell r="K2565">
            <v>79925418</v>
          </cell>
        </row>
        <row r="2566">
          <cell r="I2566">
            <v>811023680</v>
          </cell>
          <cell r="J2566" t="str">
            <v>F.S.E. INSTITUCION EDUCATIVA JOSE EUSEBIO CARO</v>
          </cell>
          <cell r="K2566">
            <v>102897876</v>
          </cell>
        </row>
        <row r="2567">
          <cell r="I2567">
            <v>811024034</v>
          </cell>
          <cell r="J2567" t="str">
            <v>IE MARIA AUXILIADORA - Andes</v>
          </cell>
          <cell r="K2567">
            <v>74322807</v>
          </cell>
        </row>
        <row r="2568">
          <cell r="I2568">
            <v>811024047</v>
          </cell>
          <cell r="J2568" t="str">
            <v>IE  LA TRINIDAD - Copacabana</v>
          </cell>
          <cell r="K2568">
            <v>81463129</v>
          </cell>
        </row>
        <row r="2569">
          <cell r="I2569">
            <v>811024125</v>
          </cell>
          <cell r="J2569" t="str">
            <v>IE EDUARDO FERNANDEZ BOTERO - Amalfi</v>
          </cell>
          <cell r="K2569">
            <v>109140847</v>
          </cell>
        </row>
        <row r="2570">
          <cell r="I2570">
            <v>811024186</v>
          </cell>
          <cell r="J2570" t="str">
            <v>IE JOAQUIN CARDENAS GOMEZ - San Carlos</v>
          </cell>
          <cell r="K2570">
            <v>101762299</v>
          </cell>
        </row>
        <row r="2571">
          <cell r="I2571">
            <v>811024225</v>
          </cell>
          <cell r="J2571" t="str">
            <v>IE EL CARMELO - Arboletes</v>
          </cell>
          <cell r="K2571">
            <v>51787247</v>
          </cell>
        </row>
        <row r="2572">
          <cell r="I2572">
            <v>811024235</v>
          </cell>
          <cell r="J2572" t="str">
            <v>IE SIMON BOLIVAR - Zaragoza</v>
          </cell>
          <cell r="K2572">
            <v>54246671</v>
          </cell>
        </row>
        <row r="2573">
          <cell r="I2573">
            <v>811024278</v>
          </cell>
          <cell r="J2573" t="str">
            <v>IE LA ESMERALDA - El Bagre</v>
          </cell>
          <cell r="K2573">
            <v>63769864</v>
          </cell>
        </row>
        <row r="2574">
          <cell r="I2574">
            <v>811024298</v>
          </cell>
          <cell r="J2574" t="str">
            <v>F.S.E. D.E.R INDIGENISTA BAGARA</v>
          </cell>
          <cell r="K2574">
            <v>22147087</v>
          </cell>
        </row>
        <row r="2575">
          <cell r="I2575">
            <v>811024436</v>
          </cell>
          <cell r="J2575" t="str">
            <v>INS TEC INDUSTRIAL PASCUAL BRAVO</v>
          </cell>
          <cell r="K2575">
            <v>166408520</v>
          </cell>
        </row>
        <row r="2576">
          <cell r="I2576">
            <v>811024458</v>
          </cell>
          <cell r="J2576" t="str">
            <v>IE PBRO ANTONIO JOSE CADAVID CH - Don Matías</v>
          </cell>
          <cell r="K2576">
            <v>28100618</v>
          </cell>
        </row>
        <row r="2577">
          <cell r="I2577">
            <v>811024768</v>
          </cell>
          <cell r="J2577" t="str">
            <v>FONDO DE SERVICIOS DOCENTES LICEO BRAULIO MEJIA- SONSON</v>
          </cell>
          <cell r="K2577">
            <v>70041212</v>
          </cell>
        </row>
        <row r="2578">
          <cell r="I2578">
            <v>811024770</v>
          </cell>
          <cell r="J2578" t="str">
            <v>INSTITUCION EDUCATIVA LA AVANZADA</v>
          </cell>
          <cell r="K2578">
            <v>45284830</v>
          </cell>
        </row>
        <row r="2579">
          <cell r="I2579">
            <v>811024788</v>
          </cell>
          <cell r="J2579" t="str">
            <v>IE JOSE MARIA HERRAN - Ciudad Bolívar</v>
          </cell>
          <cell r="K2579">
            <v>65162792</v>
          </cell>
        </row>
        <row r="2580">
          <cell r="I2580">
            <v>811024789</v>
          </cell>
          <cell r="J2580" t="str">
            <v>institucion educativa maria auxiliadora gratuidad conpes</v>
          </cell>
          <cell r="K2580">
            <v>96769155</v>
          </cell>
        </row>
        <row r="2581">
          <cell r="I2581">
            <v>811024857</v>
          </cell>
          <cell r="J2581" t="str">
            <v>IER BENILDA VALENCIA - Don Matías</v>
          </cell>
          <cell r="K2581">
            <v>31368371</v>
          </cell>
        </row>
        <row r="2582">
          <cell r="I2582">
            <v>811025024</v>
          </cell>
          <cell r="J2582" t="str">
            <v>IER EL SALTILLO - Zaragoza</v>
          </cell>
          <cell r="K2582">
            <v>27775576</v>
          </cell>
        </row>
        <row r="2583">
          <cell r="I2583">
            <v>811025102</v>
          </cell>
          <cell r="J2583" t="str">
            <v>IER PIEDRAS BLANCAS - Guarne</v>
          </cell>
          <cell r="K2583">
            <v>30915995</v>
          </cell>
        </row>
        <row r="2584">
          <cell r="I2584">
            <v>811025153</v>
          </cell>
          <cell r="J2584" t="str">
            <v>IE SAN ANTONIO DE PADUA - Támesis</v>
          </cell>
          <cell r="K2584">
            <v>82742821</v>
          </cell>
        </row>
        <row r="2585">
          <cell r="I2585">
            <v>811025206</v>
          </cell>
          <cell r="J2585" t="str">
            <v>CER SAN PIO X - Ebéjico</v>
          </cell>
          <cell r="K2585">
            <v>24618668</v>
          </cell>
        </row>
        <row r="2586">
          <cell r="I2586">
            <v>811025208</v>
          </cell>
          <cell r="J2586" t="str">
            <v>IE LLANO DE CORDOBA - Remedios</v>
          </cell>
          <cell r="K2586">
            <v>80263291</v>
          </cell>
        </row>
        <row r="2587">
          <cell r="I2587">
            <v>811025259</v>
          </cell>
          <cell r="J2587" t="str">
            <v>IE SAN JOSE - Andes</v>
          </cell>
          <cell r="K2587">
            <v>23070721</v>
          </cell>
        </row>
        <row r="2588">
          <cell r="I2588">
            <v>811025326</v>
          </cell>
          <cell r="J2588" t="str">
            <v>NORMAL SUPERIOR MIGUEL ANGEL ALVAREZ - Frontino</v>
          </cell>
          <cell r="K2588">
            <v>61778396</v>
          </cell>
        </row>
        <row r="2589">
          <cell r="I2589">
            <v>811025410</v>
          </cell>
          <cell r="J2589" t="str">
            <v>IE PEDRO ANTONIO ELEJALDE - Frontino</v>
          </cell>
          <cell r="K2589">
            <v>44573951</v>
          </cell>
        </row>
        <row r="2590">
          <cell r="I2590">
            <v>811025423</v>
          </cell>
          <cell r="J2590" t="str">
            <v>IE GONZALO MEJÍA - Chigorodó</v>
          </cell>
          <cell r="K2590">
            <v>75417652</v>
          </cell>
        </row>
        <row r="2591">
          <cell r="I2591">
            <v>811025436</v>
          </cell>
          <cell r="J2591" t="str">
            <v>IER  BARRANQUILLITA - Chigorodó</v>
          </cell>
          <cell r="K2591">
            <v>31784269</v>
          </cell>
        </row>
        <row r="2592">
          <cell r="I2592">
            <v>811025525</v>
          </cell>
          <cell r="J2592" t="str">
            <v>IER NANCY ROCIO GARCIA - Zaragoza</v>
          </cell>
          <cell r="K2592">
            <v>75947013</v>
          </cell>
        </row>
        <row r="2593">
          <cell r="I2593">
            <v>811025548</v>
          </cell>
          <cell r="J2593" t="str">
            <v>INST EDUC GABRIEL GARCIA MARQUEZ</v>
          </cell>
          <cell r="K2593">
            <v>111394671</v>
          </cell>
        </row>
        <row r="2594">
          <cell r="I2594">
            <v>811025632</v>
          </cell>
          <cell r="J2594" t="str">
            <v>IE  LA MILAGROSA - Abriaquí</v>
          </cell>
          <cell r="K2594">
            <v>29758392</v>
          </cell>
        </row>
        <row r="2595">
          <cell r="I2595">
            <v>811025664</v>
          </cell>
          <cell r="J2595" t="str">
            <v>INSTITUCION EDUCATIVA NAVARRA</v>
          </cell>
          <cell r="K2595">
            <v>49580938</v>
          </cell>
        </row>
        <row r="2596">
          <cell r="I2596">
            <v>811025741</v>
          </cell>
          <cell r="J2596" t="str">
            <v>FSD Institución Eductiva La Paz</v>
          </cell>
          <cell r="K2596">
            <v>172468912</v>
          </cell>
        </row>
        <row r="2597">
          <cell r="I2597">
            <v>811026102</v>
          </cell>
          <cell r="J2597" t="str">
            <v>IE MANUEL ANTONIO TORO - Frontino</v>
          </cell>
          <cell r="K2597">
            <v>47192664</v>
          </cell>
        </row>
        <row r="2598">
          <cell r="I2598">
            <v>811026293</v>
          </cell>
          <cell r="J2598" t="str">
            <v>INST EDUC PICACHITO</v>
          </cell>
          <cell r="K2598">
            <v>66139963</v>
          </cell>
        </row>
        <row r="2599">
          <cell r="I2599">
            <v>811026294</v>
          </cell>
          <cell r="J2599" t="str">
            <v>INSTITUCION EDUCATIVA MEDIA LUNA</v>
          </cell>
          <cell r="K2599">
            <v>25153028</v>
          </cell>
        </row>
        <row r="2600">
          <cell r="I2600">
            <v>811026346</v>
          </cell>
          <cell r="J2600" t="str">
            <v>INSTITUCION EDUCATIVA FE Y ALEGRIA NUEVA GENERACION</v>
          </cell>
          <cell r="K2600">
            <v>95047302</v>
          </cell>
        </row>
        <row r="2601">
          <cell r="I2601">
            <v>811026458</v>
          </cell>
          <cell r="J2601" t="str">
            <v>CENT EDUC JUAN ANDRES PATINO</v>
          </cell>
          <cell r="K2601">
            <v>24217416</v>
          </cell>
        </row>
        <row r="2602">
          <cell r="I2602">
            <v>811026727</v>
          </cell>
          <cell r="J2602" t="str">
            <v>F.S.E. INSTITUCION EDUCATIVA SANTIAGO ANGEL SANTAMARIA</v>
          </cell>
          <cell r="K2602">
            <v>45699501</v>
          </cell>
        </row>
        <row r="2603">
          <cell r="I2603">
            <v>811026814</v>
          </cell>
          <cell r="J2603" t="str">
            <v>INST EDUC FRANCISCO MIRANDA</v>
          </cell>
          <cell r="K2603">
            <v>144928887</v>
          </cell>
        </row>
        <row r="2604">
          <cell r="I2604">
            <v>811026976</v>
          </cell>
          <cell r="J2604" t="str">
            <v>INST EDUC SOR JUANA INES DE LA CRUZ</v>
          </cell>
          <cell r="K2604">
            <v>74841342</v>
          </cell>
        </row>
        <row r="2605">
          <cell r="I2605">
            <v>811027023</v>
          </cell>
          <cell r="J2605" t="str">
            <v>IER EL TOTUMO - Necoclí</v>
          </cell>
          <cell r="K2605">
            <v>122603595</v>
          </cell>
        </row>
        <row r="2606">
          <cell r="I2606">
            <v>811027109</v>
          </cell>
          <cell r="J2606" t="str">
            <v>F.S.E INSTITUCION EDUCATIVA RURAL EL REPOSO</v>
          </cell>
          <cell r="K2606">
            <v>185617262</v>
          </cell>
        </row>
        <row r="2607">
          <cell r="I2607">
            <v>811027192</v>
          </cell>
          <cell r="J2607" t="str">
            <v>IE ESCUELA NORMAL SUPERIOR SEÑOR DE LOS MILAGROS - San Pedro de los Milagros</v>
          </cell>
          <cell r="K2607">
            <v>61694155</v>
          </cell>
        </row>
        <row r="2608">
          <cell r="I2608">
            <v>811027245</v>
          </cell>
          <cell r="J2608" t="str">
            <v>IER FARALLONES - Ciudad Bolívar</v>
          </cell>
          <cell r="K2608">
            <v>50870952</v>
          </cell>
        </row>
        <row r="2609">
          <cell r="I2609">
            <v>811027246</v>
          </cell>
          <cell r="J2609" t="str">
            <v>institucion educativa rural juan tamayo fondo de servicios educativos - ciudad bolivar</v>
          </cell>
          <cell r="K2609">
            <v>42601944</v>
          </cell>
        </row>
        <row r="2610">
          <cell r="I2610">
            <v>811027248</v>
          </cell>
          <cell r="J2610" t="str">
            <v>INST EDUC ALVERNIA</v>
          </cell>
          <cell r="K2610">
            <v>72979281</v>
          </cell>
        </row>
        <row r="2611">
          <cell r="I2611">
            <v>811027260</v>
          </cell>
          <cell r="J2611" t="str">
            <v>IE MARCO FIDEL SUAREZ - Andes</v>
          </cell>
          <cell r="K2611">
            <v>63233377</v>
          </cell>
        </row>
        <row r="2612">
          <cell r="I2612">
            <v>811027312</v>
          </cell>
          <cell r="J2612" t="str">
            <v>INST EDUC PRESBITERO JUAN J. ESCOBAR</v>
          </cell>
          <cell r="K2612">
            <v>96757972</v>
          </cell>
        </row>
        <row r="2613">
          <cell r="I2613">
            <v>811027314</v>
          </cell>
          <cell r="J2613" t="str">
            <v>IE  LIBORIO BATALLER - Segovia</v>
          </cell>
          <cell r="K2613">
            <v>199551172</v>
          </cell>
        </row>
        <row r="2614">
          <cell r="I2614">
            <v>811027473</v>
          </cell>
          <cell r="J2614" t="str">
            <v>IE AURA MARIA VALENCIA - Hispania</v>
          </cell>
          <cell r="K2614">
            <v>64744198</v>
          </cell>
        </row>
        <row r="2615">
          <cell r="I2615">
            <v>811027474</v>
          </cell>
          <cell r="J2615" t="str">
            <v>IE DE DESARROLLO RURAL MIGUEL VALENCIA - Jardín</v>
          </cell>
          <cell r="K2615">
            <v>48587836</v>
          </cell>
        </row>
        <row r="2616">
          <cell r="I2616">
            <v>811027476</v>
          </cell>
          <cell r="J2616" t="str">
            <v>GRATUIDAD F.S.E. INSITTUCION EDUCATIVA TAPARTO</v>
          </cell>
          <cell r="K2616">
            <v>72644778</v>
          </cell>
        </row>
        <row r="2617">
          <cell r="I2617">
            <v>811027549</v>
          </cell>
          <cell r="J2617" t="str">
            <v>F.S.E Institucion Educativa Alfonso Lopez</v>
          </cell>
          <cell r="K2617">
            <v>114301931</v>
          </cell>
        </row>
        <row r="2618">
          <cell r="I2618">
            <v>811027582</v>
          </cell>
          <cell r="J2618" t="str">
            <v>IER SAN SEBASTIAN DE URABA - Necoclí</v>
          </cell>
          <cell r="K2618">
            <v>67051247</v>
          </cell>
        </row>
        <row r="2619">
          <cell r="I2619">
            <v>811027584</v>
          </cell>
          <cell r="J2619" t="str">
            <v>IER PUEBLO NUEVO - Necoclí</v>
          </cell>
          <cell r="K2619">
            <v>58538703</v>
          </cell>
        </row>
        <row r="2620">
          <cell r="I2620">
            <v>811027700</v>
          </cell>
          <cell r="J2620" t="str">
            <v>IE FRAY MARTIN DE PORRES - Segovia</v>
          </cell>
          <cell r="K2620">
            <v>59998561</v>
          </cell>
        </row>
        <row r="2621">
          <cell r="I2621">
            <v>811027844</v>
          </cell>
          <cell r="J2621" t="str">
            <v>institucion educativa la perla del citara- fondo de servicios educativos</v>
          </cell>
          <cell r="K2621">
            <v>132657968</v>
          </cell>
        </row>
        <row r="2622">
          <cell r="I2622">
            <v>811027848</v>
          </cell>
          <cell r="J2622" t="str">
            <v>f.s.e. institucion educativa doradal</v>
          </cell>
          <cell r="K2622">
            <v>103920007</v>
          </cell>
        </row>
        <row r="2623">
          <cell r="I2623">
            <v>811027849</v>
          </cell>
          <cell r="J2623" t="str">
            <v>IER SAN MIGUEL - Sonsón</v>
          </cell>
          <cell r="K2623">
            <v>39825790</v>
          </cell>
        </row>
        <row r="2624">
          <cell r="I2624">
            <v>811027850</v>
          </cell>
          <cell r="J2624" t="str">
            <v>f.s.e.institucion educativa estacion cocorna- puerto triunfo</v>
          </cell>
          <cell r="K2624">
            <v>18789599</v>
          </cell>
        </row>
        <row r="2625">
          <cell r="I2625">
            <v>811027851</v>
          </cell>
          <cell r="J2625" t="str">
            <v>f.s.e.institucion educativa hermano daniel- púerto triunfo</v>
          </cell>
          <cell r="K2625">
            <v>48219373</v>
          </cell>
        </row>
        <row r="2626">
          <cell r="I2626">
            <v>811027852</v>
          </cell>
          <cell r="J2626" t="str">
            <v>f.s.e.institucion educativa puerto perales- puerto triunfo</v>
          </cell>
          <cell r="K2626">
            <v>45117914</v>
          </cell>
        </row>
        <row r="2627">
          <cell r="I2627">
            <v>811027853</v>
          </cell>
          <cell r="J2627" t="str">
            <v>IE PABLO VI - Puerto Triunfo</v>
          </cell>
          <cell r="K2627">
            <v>67739495</v>
          </cell>
        </row>
        <row r="2628">
          <cell r="I2628">
            <v>811028018</v>
          </cell>
          <cell r="J2628" t="str">
            <v>IE PRESBITERO RODRIGO LOPERA GIL - Peque</v>
          </cell>
          <cell r="K2628">
            <v>62144345</v>
          </cell>
        </row>
        <row r="2629">
          <cell r="I2629">
            <v>811028473</v>
          </cell>
          <cell r="J2629" t="str">
            <v>IER FRANCISCO MANZUETO GIRALDO - Marinilla</v>
          </cell>
          <cell r="K2629">
            <v>99368402</v>
          </cell>
        </row>
        <row r="2630">
          <cell r="I2630">
            <v>811028570</v>
          </cell>
          <cell r="J2630" t="str">
            <v>Institución Educativa Maria Mediadora</v>
          </cell>
          <cell r="K2630">
            <v>36189090</v>
          </cell>
        </row>
        <row r="2631">
          <cell r="I2631">
            <v>811028662</v>
          </cell>
          <cell r="J2631" t="str">
            <v>IE CUTURU - Caucasia</v>
          </cell>
          <cell r="K2631">
            <v>61974376</v>
          </cell>
        </row>
        <row r="2632">
          <cell r="I2632">
            <v>811028697</v>
          </cell>
          <cell r="J2632" t="str">
            <v>IE GABRIELA WHITE DE VELEZ - Frontino</v>
          </cell>
          <cell r="K2632">
            <v>40847556</v>
          </cell>
        </row>
        <row r="2633">
          <cell r="I2633">
            <v>811028888</v>
          </cell>
          <cell r="J2633" t="str">
            <v>INST EDUC VALLEJUELOS</v>
          </cell>
          <cell r="K2633">
            <v>60971427</v>
          </cell>
        </row>
        <row r="2634">
          <cell r="I2634">
            <v>811029006</v>
          </cell>
          <cell r="J2634" t="str">
            <v>INST EDUC ROSALIA SUAREZ</v>
          </cell>
          <cell r="K2634">
            <v>99252792</v>
          </cell>
        </row>
        <row r="2635">
          <cell r="I2635">
            <v>811029037</v>
          </cell>
          <cell r="J2635" t="str">
            <v>IE LUIS MARIA PRECIADO ECHAVARRIA - Ituango</v>
          </cell>
          <cell r="K2635">
            <v>85224498</v>
          </cell>
        </row>
        <row r="2636">
          <cell r="I2636">
            <v>811029104</v>
          </cell>
          <cell r="J2636" t="str">
            <v>IE ROSA MARIA HENAO PAVAS - Sonsón</v>
          </cell>
          <cell r="K2636">
            <v>70620999</v>
          </cell>
        </row>
        <row r="2637">
          <cell r="I2637">
            <v>811029166</v>
          </cell>
          <cell r="J2637" t="str">
            <v>IE JESUS MARIA VALLE JARAMILLO - Ituango</v>
          </cell>
          <cell r="K2637">
            <v>43783185</v>
          </cell>
        </row>
        <row r="2638">
          <cell r="I2638">
            <v>811029267</v>
          </cell>
          <cell r="J2638" t="str">
            <v>IE SANTO CRISTO DE ZARAGOZA - Zaragoza</v>
          </cell>
          <cell r="K2638">
            <v>143662360</v>
          </cell>
        </row>
        <row r="2639">
          <cell r="I2639">
            <v>811029276</v>
          </cell>
          <cell r="J2639" t="str">
            <v>Inatitucion Educativa Josefa Campos S.G.P.</v>
          </cell>
          <cell r="K2639">
            <v>127513028</v>
          </cell>
        </row>
        <row r="2640">
          <cell r="I2640">
            <v>811029382</v>
          </cell>
          <cell r="J2640" t="str">
            <v>IE PBRO JULIO TAMAYO - Carolina</v>
          </cell>
          <cell r="K2640">
            <v>52266030</v>
          </cell>
        </row>
        <row r="2641">
          <cell r="I2641">
            <v>811029563</v>
          </cell>
          <cell r="J2641" t="str">
            <v>SISTEMA GENERAL DE PARTICIPACION</v>
          </cell>
          <cell r="K2641">
            <v>87431396</v>
          </cell>
        </row>
        <row r="2642">
          <cell r="I2642">
            <v>811029632</v>
          </cell>
          <cell r="J2642" t="str">
            <v>IE CONCEJO MUNICIPAL - La Ceja</v>
          </cell>
          <cell r="K2642">
            <v>69434154</v>
          </cell>
        </row>
        <row r="2643">
          <cell r="I2643">
            <v>811029719</v>
          </cell>
          <cell r="J2643" t="str">
            <v>IE LAS MERCEDES - Frontino</v>
          </cell>
          <cell r="K2643">
            <v>98342019</v>
          </cell>
        </row>
        <row r="2644">
          <cell r="I2644">
            <v>811029728</v>
          </cell>
          <cell r="J2644" t="str">
            <v>INST EDUC PABLO NERUDA</v>
          </cell>
          <cell r="K2644">
            <v>57888424</v>
          </cell>
        </row>
        <row r="2645">
          <cell r="I2645">
            <v>811029788</v>
          </cell>
          <cell r="J2645" t="str">
            <v>IE MONSENOR ESCOBAR VELEZ - San Juan de Urabá</v>
          </cell>
          <cell r="K2645">
            <v>99753009</v>
          </cell>
        </row>
        <row r="2646">
          <cell r="I2646">
            <v>811029810</v>
          </cell>
          <cell r="J2646" t="str">
            <v>IER ASCENCION MONTOYA DE TORRES - Anzá</v>
          </cell>
          <cell r="K2646">
            <v>64451428</v>
          </cell>
        </row>
        <row r="2647">
          <cell r="I2647">
            <v>811029902</v>
          </cell>
          <cell r="J2647" t="str">
            <v>IER  LABORES - Belmira</v>
          </cell>
          <cell r="K2647">
            <v>30622633</v>
          </cell>
        </row>
        <row r="2648">
          <cell r="I2648">
            <v>811030068</v>
          </cell>
          <cell r="J2648" t="str">
            <v>F.S.E. ESCUELA RURAL LAS PLAYAS</v>
          </cell>
          <cell r="K2648">
            <v>16152620</v>
          </cell>
        </row>
        <row r="2649">
          <cell r="I2649">
            <v>811030103</v>
          </cell>
          <cell r="J2649" t="str">
            <v>Institucion Educativa Felipe de Restrepo</v>
          </cell>
          <cell r="K2649">
            <v>86662906</v>
          </cell>
        </row>
        <row r="2650">
          <cell r="I2650">
            <v>811030155</v>
          </cell>
          <cell r="J2650" t="str">
            <v>INSTITUCION EDUCATIVA MURRAPAL</v>
          </cell>
          <cell r="K2650">
            <v>22184726</v>
          </cell>
        </row>
        <row r="2651">
          <cell r="I2651">
            <v>811030208</v>
          </cell>
          <cell r="J2651" t="str">
            <v>IE FELIPE HENAO JARAMILLO - Andes</v>
          </cell>
          <cell r="K2651">
            <v>40599175</v>
          </cell>
        </row>
        <row r="2652">
          <cell r="I2652">
            <v>811030253</v>
          </cell>
          <cell r="J2652" t="str">
            <v>institucion educativa monseñor j.ivan cadavid gutierrez- urrao</v>
          </cell>
          <cell r="K2652">
            <v>92792478</v>
          </cell>
        </row>
        <row r="2653">
          <cell r="I2653">
            <v>811030274</v>
          </cell>
          <cell r="J2653" t="str">
            <v>FONDO DE SERVICIOS EDUCATIVOS INSTITUCION EDUCATIVA EDELMIRA ALVAREZ</v>
          </cell>
          <cell r="K2653">
            <v>24058433</v>
          </cell>
        </row>
        <row r="2654">
          <cell r="I2654">
            <v>811030333</v>
          </cell>
          <cell r="J2654" t="str">
            <v>GRATUIDAD F.S.E. INSTITUCION EDUCATIVA LA CARBONERA</v>
          </cell>
          <cell r="K2654">
            <v>63666359</v>
          </cell>
        </row>
        <row r="2655">
          <cell r="I2655">
            <v>811030352</v>
          </cell>
          <cell r="J2655" t="str">
            <v>FONDO DE SERVICIOS EDUCATIVOS INSTITUCION EDUCATIVA LLANO GRANDE</v>
          </cell>
          <cell r="K2655">
            <v>34201160</v>
          </cell>
        </row>
        <row r="2656">
          <cell r="I2656">
            <v>811030435</v>
          </cell>
          <cell r="J2656" t="str">
            <v>INST EDUC FE Y ALEGRIA POPULAR NRO. 1</v>
          </cell>
          <cell r="K2656">
            <v>139177120</v>
          </cell>
        </row>
        <row r="2657">
          <cell r="I2657">
            <v>811030527</v>
          </cell>
          <cell r="J2657" t="str">
            <v>IE SAN PERUCHITO - Andes</v>
          </cell>
          <cell r="K2657">
            <v>48268048</v>
          </cell>
        </row>
        <row r="2658">
          <cell r="I2658">
            <v>811030580</v>
          </cell>
          <cell r="J2658" t="str">
            <v>IER JOSE MARIA OBANDO - Fredonia</v>
          </cell>
          <cell r="K2658">
            <v>34463882</v>
          </cell>
        </row>
        <row r="2659">
          <cell r="I2659">
            <v>811030635</v>
          </cell>
          <cell r="J2659" t="str">
            <v>IE EDUARDO ESPITIA ROMERO - Necoclí</v>
          </cell>
          <cell r="K2659">
            <v>137735542</v>
          </cell>
        </row>
        <row r="2660">
          <cell r="I2660">
            <v>811030637</v>
          </cell>
          <cell r="J2660" t="str">
            <v>INST EDUC MANUEL J. BETANCUR</v>
          </cell>
          <cell r="K2660">
            <v>97785970</v>
          </cell>
        </row>
        <row r="2661">
          <cell r="I2661">
            <v>811030937</v>
          </cell>
          <cell r="J2661" t="str">
            <v>fondo de servicios docentes colegio san pablo</v>
          </cell>
          <cell r="K2661">
            <v>39002383</v>
          </cell>
        </row>
        <row r="2662">
          <cell r="I2662">
            <v>811030949</v>
          </cell>
          <cell r="J2662" t="str">
            <v>institucion educativa escuela normal superior sagrada familia- urrao</v>
          </cell>
          <cell r="K2662">
            <v>197213506</v>
          </cell>
        </row>
        <row r="2663">
          <cell r="I2663">
            <v>811030968</v>
          </cell>
          <cell r="J2663" t="str">
            <v>IE COLOMBIA - Girardota</v>
          </cell>
          <cell r="K2663">
            <v>80325848</v>
          </cell>
        </row>
        <row r="2664">
          <cell r="I2664">
            <v>811031008</v>
          </cell>
          <cell r="J2664" t="str">
            <v>IE SAN ANDRES - Girardota</v>
          </cell>
          <cell r="K2664">
            <v>71868899</v>
          </cell>
        </row>
        <row r="2665">
          <cell r="I2665">
            <v>811031045</v>
          </cell>
          <cell r="J2665" t="str">
            <v>INST EDUC RODRIGO CORREA PALACIO</v>
          </cell>
          <cell r="K2665">
            <v>30730648</v>
          </cell>
        </row>
        <row r="2666">
          <cell r="I2666">
            <v>811031219</v>
          </cell>
          <cell r="J2666" t="str">
            <v>INSTITUCION EDUCATIVA SAN JOSE - JERICO -PROYECTO MEJORAMIENTO DE LA EDUCACION MEDIA EN ANTIOQUIA</v>
          </cell>
          <cell r="K2666">
            <v>56389444</v>
          </cell>
        </row>
        <row r="2667">
          <cell r="I2667">
            <v>811031264</v>
          </cell>
          <cell r="J2667" t="str">
            <v>IER PAJILLAL - Arboletes</v>
          </cell>
          <cell r="K2667">
            <v>43503473</v>
          </cell>
        </row>
        <row r="2668">
          <cell r="I2668">
            <v>811031275</v>
          </cell>
          <cell r="J2668" t="str">
            <v>IER BOTERO - Santo Domingo</v>
          </cell>
          <cell r="K2668">
            <v>36229041</v>
          </cell>
        </row>
        <row r="2669">
          <cell r="I2669">
            <v>811031339</v>
          </cell>
          <cell r="J2669" t="str">
            <v>FSE. INSTITUCION EDUCATIVA EL SALADO</v>
          </cell>
          <cell r="K2669">
            <v>69327740</v>
          </cell>
        </row>
        <row r="2670">
          <cell r="I2670">
            <v>811031394</v>
          </cell>
          <cell r="J2670" t="str">
            <v>F.S.E.  I.E.  EMILIANO  GARCIA</v>
          </cell>
          <cell r="K2670">
            <v>85152941</v>
          </cell>
        </row>
        <row r="2671">
          <cell r="I2671">
            <v>811031583</v>
          </cell>
          <cell r="J2671" t="str">
            <v>fondo de servicios educativos institucion educativa antonio nariño-puerto berrio</v>
          </cell>
          <cell r="K2671">
            <v>146567351</v>
          </cell>
        </row>
        <row r="2672">
          <cell r="I2672">
            <v>811031645</v>
          </cell>
          <cell r="J2672" t="str">
            <v>F.S.E.  I.E. NUESTRA SEÑORA  DEL  CARMEN</v>
          </cell>
          <cell r="K2672">
            <v>52028530</v>
          </cell>
        </row>
        <row r="2673">
          <cell r="I2673">
            <v>811031686</v>
          </cell>
          <cell r="J2673" t="str">
            <v>INSTITUCION EDUCATIVA JAIPERA</v>
          </cell>
          <cell r="K2673">
            <v>121358225</v>
          </cell>
        </row>
        <row r="2674">
          <cell r="I2674">
            <v>811031799</v>
          </cell>
          <cell r="J2674" t="str">
            <v>IE  MANUEL CANUTO RESTREPO - Abejorral</v>
          </cell>
          <cell r="K2674">
            <v>55890812</v>
          </cell>
        </row>
        <row r="2675">
          <cell r="I2675">
            <v>811031904</v>
          </cell>
          <cell r="J2675" t="str">
            <v>INST EDUC MAESTRO FERNANDO BOTERO</v>
          </cell>
          <cell r="K2675">
            <v>81987506</v>
          </cell>
        </row>
        <row r="2676">
          <cell r="I2676">
            <v>811032286</v>
          </cell>
          <cell r="J2676" t="str">
            <v>IE FRANCISCO DE PAULA SANTANDER - Zaragoza</v>
          </cell>
          <cell r="K2676">
            <v>91158664</v>
          </cell>
        </row>
        <row r="2677">
          <cell r="I2677">
            <v>811032334</v>
          </cell>
          <cell r="J2677" t="str">
            <v>IE SANTO TOMAS DE AQUINO - Titiribí</v>
          </cell>
          <cell r="K2677">
            <v>80758620</v>
          </cell>
        </row>
        <row r="2678">
          <cell r="I2678">
            <v>811032366</v>
          </cell>
          <cell r="J2678" t="str">
            <v>institucion educativa rural valentina figueroa- urrao</v>
          </cell>
          <cell r="K2678">
            <v>52391844</v>
          </cell>
        </row>
        <row r="2679">
          <cell r="I2679">
            <v>811032550</v>
          </cell>
          <cell r="J2679" t="str">
            <v>IE  VEINTE DE JULIO - El Bagre</v>
          </cell>
          <cell r="K2679">
            <v>206798157</v>
          </cell>
        </row>
        <row r="2680">
          <cell r="I2680">
            <v>811032576</v>
          </cell>
          <cell r="J2680" t="str">
            <v>IE ANTONIO ROLDAN BETANCUR - Tarazá</v>
          </cell>
          <cell r="K2680">
            <v>141540145</v>
          </cell>
        </row>
        <row r="2681">
          <cell r="I2681">
            <v>811032888</v>
          </cell>
          <cell r="J2681" t="str">
            <v>IE SANTA RITA - Andes</v>
          </cell>
          <cell r="K2681">
            <v>74189228</v>
          </cell>
        </row>
        <row r="2682">
          <cell r="I2682">
            <v>811032999</v>
          </cell>
          <cell r="J2682" t="str">
            <v>IE URAMA - Dabeiba</v>
          </cell>
          <cell r="K2682">
            <v>49784044</v>
          </cell>
        </row>
        <row r="2683">
          <cell r="I2683">
            <v>811033203</v>
          </cell>
          <cell r="J2683" t="str">
            <v>F.S.E. INSTITUCION EDUCTIVA BARRIO PARIS SGP</v>
          </cell>
          <cell r="K2683">
            <v>136805300</v>
          </cell>
        </row>
        <row r="2684">
          <cell r="I2684">
            <v>811033249</v>
          </cell>
          <cell r="J2684" t="str">
            <v>INST EDUC MARIA DE LOS ANGELES CANO MARQUEZ</v>
          </cell>
          <cell r="K2684">
            <v>148869785</v>
          </cell>
        </row>
        <row r="2685">
          <cell r="I2685">
            <v>811033295</v>
          </cell>
          <cell r="J2685" t="str">
            <v>IE SAN PASCUAL - Cañasgordas</v>
          </cell>
          <cell r="K2685">
            <v>24474371</v>
          </cell>
        </row>
        <row r="2686">
          <cell r="I2686">
            <v>811033398</v>
          </cell>
          <cell r="J2686" t="str">
            <v>IER VILLANUEVA - Yolombó</v>
          </cell>
          <cell r="K2686">
            <v>41778015</v>
          </cell>
        </row>
        <row r="2687">
          <cell r="I2687">
            <v>811033424</v>
          </cell>
          <cell r="J2687" t="str">
            <v>FONDO DE SERVICIOS EDUCATIVOS INSTITUTO RAFAEL URIBE URIBE</v>
          </cell>
          <cell r="K2687">
            <v>66160249</v>
          </cell>
        </row>
        <row r="2688">
          <cell r="I2688">
            <v>811033447</v>
          </cell>
          <cell r="J2688" t="str">
            <v>IER GUADUAL ARRIBA - Arboletes</v>
          </cell>
          <cell r="K2688">
            <v>67425846</v>
          </cell>
        </row>
        <row r="2689">
          <cell r="I2689">
            <v>811033835</v>
          </cell>
          <cell r="J2689" t="str">
            <v>Fondo de Servicios Educativos Institución Educativa Concejo de Sabaneta Jose Maria Ceballos Botero</v>
          </cell>
          <cell r="K2689">
            <v>35057297</v>
          </cell>
        </row>
        <row r="2690">
          <cell r="I2690">
            <v>811033904</v>
          </cell>
          <cell r="J2690" t="str">
            <v>F.S.E.  LICEO MANUEL JOSE  CAICEDO</v>
          </cell>
          <cell r="K2690">
            <v>73045005</v>
          </cell>
        </row>
        <row r="2691">
          <cell r="I2691">
            <v>811034087</v>
          </cell>
          <cell r="J2691" t="str">
            <v>F.S.E.COLEGIO  YARUMITO</v>
          </cell>
          <cell r="K2691">
            <v>48678754</v>
          </cell>
        </row>
        <row r="2692">
          <cell r="I2692">
            <v>811034110</v>
          </cell>
          <cell r="J2692" t="str">
            <v>INST EDUC CONCEJO DE MEDELLIN</v>
          </cell>
          <cell r="K2692">
            <v>242356747</v>
          </cell>
        </row>
        <row r="2693">
          <cell r="I2693">
            <v>811034342</v>
          </cell>
          <cell r="J2693" t="str">
            <v>IER LA DANTA - Sonsón</v>
          </cell>
          <cell r="K2693">
            <v>100884229</v>
          </cell>
        </row>
        <row r="2694">
          <cell r="I2694">
            <v>811034828</v>
          </cell>
          <cell r="J2694" t="str">
            <v>INST EDUC SAN FRANCISCO DE ASIS</v>
          </cell>
          <cell r="K2694">
            <v>61750846</v>
          </cell>
        </row>
        <row r="2695">
          <cell r="I2695">
            <v>811035076</v>
          </cell>
          <cell r="J2695" t="str">
            <v>IE R ALEGRIAS - Caramanta</v>
          </cell>
          <cell r="K2695">
            <v>23071625</v>
          </cell>
        </row>
        <row r="2696">
          <cell r="I2696">
            <v>811035077</v>
          </cell>
          <cell r="J2696" t="str">
            <v>INSTITUCION EDUCATIVA JUAN PABO GOMEZ OCHOA-CARAMANTA</v>
          </cell>
          <cell r="K2696">
            <v>40028950</v>
          </cell>
        </row>
        <row r="2697">
          <cell r="I2697">
            <v>811035358</v>
          </cell>
          <cell r="J2697" t="str">
            <v>IER EL FILO DAMAQUIEL - San Juan de Urabá</v>
          </cell>
          <cell r="K2697">
            <v>65690824</v>
          </cell>
        </row>
        <row r="2698">
          <cell r="I2698">
            <v>811035821</v>
          </cell>
          <cell r="J2698" t="str">
            <v>F.S.E. ESCUELA RURAL PERMANENTE</v>
          </cell>
          <cell r="K2698">
            <v>11226389</v>
          </cell>
        </row>
        <row r="2699">
          <cell r="I2699">
            <v>811035840</v>
          </cell>
          <cell r="J2699" t="str">
            <v>INST EDUC HECTOR ROGELIO MONTOYA</v>
          </cell>
          <cell r="K2699">
            <v>54787361</v>
          </cell>
        </row>
        <row r="2700">
          <cell r="I2700">
            <v>811035850</v>
          </cell>
          <cell r="J2700" t="str">
            <v>FONDO DE SERVICIO DOCENTE E</v>
          </cell>
          <cell r="K2700">
            <v>15769697</v>
          </cell>
        </row>
        <row r="2701">
          <cell r="I2701">
            <v>811035928</v>
          </cell>
          <cell r="J2701" t="str">
            <v>INST EDUC LORETO-GABRIELA GOMEZ CARVAJAL</v>
          </cell>
          <cell r="K2701">
            <v>104575777</v>
          </cell>
        </row>
        <row r="2702">
          <cell r="I2702">
            <v>811035941</v>
          </cell>
          <cell r="J2702" t="str">
            <v>INST EDUC ALFONSO UPEGUI OROZCO</v>
          </cell>
          <cell r="K2702">
            <v>109790647</v>
          </cell>
        </row>
        <row r="2703">
          <cell r="I2703">
            <v>811035980</v>
          </cell>
          <cell r="J2703" t="str">
            <v>INST EDUC SAN JOSE OBRERO</v>
          </cell>
          <cell r="K2703">
            <v>160845816</v>
          </cell>
        </row>
        <row r="2704">
          <cell r="I2704">
            <v>811036221</v>
          </cell>
          <cell r="J2704" t="str">
            <v>IER LA TRINIDAD - Arboletes</v>
          </cell>
          <cell r="K2704">
            <v>63003540</v>
          </cell>
        </row>
        <row r="2705">
          <cell r="I2705">
            <v>811036608</v>
          </cell>
          <cell r="J2705" t="str">
            <v>institucion educativa Juan Nepomuceno Cadavid</v>
          </cell>
          <cell r="K2705">
            <v>103297255</v>
          </cell>
        </row>
        <row r="2706">
          <cell r="I2706">
            <v>811037473</v>
          </cell>
          <cell r="J2706" t="str">
            <v>IE VILLA NUEVA - Copacabana</v>
          </cell>
          <cell r="K2706">
            <v>33007853</v>
          </cell>
        </row>
        <row r="2707">
          <cell r="I2707">
            <v>811037667</v>
          </cell>
          <cell r="J2707" t="str">
            <v>FONDO DE SERVICIOS EDUCATIVOS INSTITUCION EDUCATIVA SAN ANTONIO</v>
          </cell>
          <cell r="K2707">
            <v>127158819</v>
          </cell>
        </row>
        <row r="2708">
          <cell r="I2708">
            <v>811037752</v>
          </cell>
          <cell r="J2708" t="str">
            <v>F.S.E. INST.EDUC.ISOLDA EC</v>
          </cell>
          <cell r="K2708">
            <v>50546622</v>
          </cell>
        </row>
        <row r="2709">
          <cell r="I2709">
            <v>811037776</v>
          </cell>
          <cell r="J2709" t="str">
            <v>SGP F.S.E. INSTITUCION EDUCATIVA ANTONIO ROLDAN BETANCUR</v>
          </cell>
          <cell r="K2709">
            <v>156204058</v>
          </cell>
        </row>
        <row r="2710">
          <cell r="I2710">
            <v>811037878</v>
          </cell>
          <cell r="J2710" t="str">
            <v>IE SAN JOSE DEL CITARA - Ciudad Bolívar</v>
          </cell>
          <cell r="K2710">
            <v>75412296</v>
          </cell>
        </row>
        <row r="2711">
          <cell r="I2711">
            <v>811037905</v>
          </cell>
          <cell r="J2711" t="str">
            <v>INST EDUC MARINA ORTH</v>
          </cell>
          <cell r="K2711">
            <v>28901907</v>
          </cell>
        </row>
        <row r="2712">
          <cell r="I2712">
            <v>811037976</v>
          </cell>
          <cell r="J2712" t="str">
            <v>IE  LUIS EDUARDO ARIAS REINEL - Barbosa</v>
          </cell>
          <cell r="K2712">
            <v>117192738</v>
          </cell>
        </row>
        <row r="2713">
          <cell r="I2713">
            <v>811037992</v>
          </cell>
          <cell r="J2713" t="str">
            <v>FSE. INSTITUCION EDUCATIVA LAS PALMAS</v>
          </cell>
          <cell r="K2713">
            <v>59830471</v>
          </cell>
        </row>
        <row r="2714">
          <cell r="I2714">
            <v>811038067</v>
          </cell>
          <cell r="J2714" t="str">
            <v>IE JOSE ANTONIO GALAN - La Estrella</v>
          </cell>
          <cell r="K2714">
            <v>150273570</v>
          </cell>
        </row>
        <row r="2715">
          <cell r="I2715">
            <v>811038158</v>
          </cell>
          <cell r="J2715" t="str">
            <v>FONDO DE SERVICIOS EDUCATIVOS S.G.P.</v>
          </cell>
          <cell r="K2715">
            <v>128091347</v>
          </cell>
        </row>
        <row r="2716">
          <cell r="I2716">
            <v>811038161</v>
          </cell>
          <cell r="J2716" t="str">
            <v>IE ROBERTO LOPEZ GOMEZ - Santo Domingo</v>
          </cell>
          <cell r="K2716">
            <v>50424893</v>
          </cell>
        </row>
        <row r="2717">
          <cell r="I2717">
            <v>811038177</v>
          </cell>
          <cell r="J2717" t="str">
            <v>FONDO DE SERVICIOS EDUCATIVOS S.G.P.</v>
          </cell>
          <cell r="K2717">
            <v>116479030</v>
          </cell>
        </row>
        <row r="2718">
          <cell r="I2718">
            <v>811038194</v>
          </cell>
          <cell r="J2718" t="str">
            <v>SISTEMA GENERAL DE PARTICIPACION</v>
          </cell>
          <cell r="K2718">
            <v>146835639</v>
          </cell>
        </row>
        <row r="2719">
          <cell r="I2719">
            <v>811038195</v>
          </cell>
          <cell r="J2719" t="str">
            <v>IE EL PRODIGIO - San Luis</v>
          </cell>
          <cell r="K2719">
            <v>19954350</v>
          </cell>
        </row>
        <row r="2720">
          <cell r="I2720">
            <v>811038220</v>
          </cell>
          <cell r="J2720" t="str">
            <v>INSTITUCION EDUCATIVA TOMAS CADAVID (SGP)</v>
          </cell>
          <cell r="K2720">
            <v>106774888</v>
          </cell>
        </row>
        <row r="2721">
          <cell r="I2721">
            <v>811038321</v>
          </cell>
          <cell r="J2721" t="str">
            <v>LA FSE. INSTITUCION EDUCATIVA JOSE MIGUEL DE LA CALLE</v>
          </cell>
          <cell r="K2721">
            <v>66294024</v>
          </cell>
        </row>
        <row r="2722">
          <cell r="I2722">
            <v>811038442</v>
          </cell>
          <cell r="J2722" t="str">
            <v>SISTEMA GENERAL DE PARTICIPACION</v>
          </cell>
          <cell r="K2722">
            <v>161293200</v>
          </cell>
        </row>
        <row r="2723">
          <cell r="I2723">
            <v>811038559</v>
          </cell>
          <cell r="J2723" t="str">
            <v>INST EDUC LUIS CARLOS GALAN SARMIENTO</v>
          </cell>
          <cell r="K2723">
            <v>166836338</v>
          </cell>
        </row>
        <row r="2724">
          <cell r="I2724">
            <v>811038682</v>
          </cell>
          <cell r="J2724" t="str">
            <v>IER MARCO A ROJO - Valdivia</v>
          </cell>
          <cell r="K2724">
            <v>160796260</v>
          </cell>
        </row>
        <row r="2725">
          <cell r="I2725">
            <v>811038688</v>
          </cell>
          <cell r="J2725" t="str">
            <v>INST EDUC LA ESPERANZA</v>
          </cell>
          <cell r="K2725">
            <v>156581628</v>
          </cell>
        </row>
        <row r="2726">
          <cell r="I2726">
            <v>811038689</v>
          </cell>
          <cell r="J2726" t="str">
            <v>IE SAN ANDRES - San Andrés</v>
          </cell>
          <cell r="K2726">
            <v>103780690</v>
          </cell>
        </row>
        <row r="2727">
          <cell r="I2727">
            <v>811039001</v>
          </cell>
          <cell r="J2727" t="str">
            <v>INST EDUC RAFAEL GARCIA HERREROS</v>
          </cell>
          <cell r="K2727">
            <v>39865090</v>
          </cell>
        </row>
        <row r="2728">
          <cell r="I2728">
            <v>811039002</v>
          </cell>
          <cell r="J2728" t="str">
            <v>INST EDUC DINAMARCA</v>
          </cell>
          <cell r="K2728">
            <v>105532184</v>
          </cell>
        </row>
        <row r="2729">
          <cell r="I2729">
            <v>811039005</v>
          </cell>
          <cell r="J2729" t="str">
            <v>IE  ESCUELA NORMAL SUPERIOR GENOVEVA DIAZ - San Jerónimo</v>
          </cell>
          <cell r="K2729">
            <v>96874791</v>
          </cell>
        </row>
        <row r="2730">
          <cell r="I2730">
            <v>811039014</v>
          </cell>
          <cell r="J2730" t="str">
            <v>INST EDUC BENJAMIN HERRERA</v>
          </cell>
          <cell r="K2730">
            <v>48717477</v>
          </cell>
        </row>
        <row r="2731">
          <cell r="I2731">
            <v>811039065</v>
          </cell>
          <cell r="J2731" t="str">
            <v>INST EDUC MATER DEI</v>
          </cell>
          <cell r="K2731">
            <v>39055130</v>
          </cell>
        </row>
        <row r="2732">
          <cell r="I2732">
            <v>811039075</v>
          </cell>
          <cell r="J2732" t="str">
            <v>IER  DE PANTANILLO - Abejorral</v>
          </cell>
          <cell r="K2732">
            <v>34194328</v>
          </cell>
        </row>
        <row r="2733">
          <cell r="I2733">
            <v>811039097</v>
          </cell>
          <cell r="J2733" t="str">
            <v>F.S.E. I.E. CHURIDO PUEBLO</v>
          </cell>
          <cell r="K2733">
            <v>48353263</v>
          </cell>
        </row>
        <row r="2734">
          <cell r="I2734">
            <v>811039153</v>
          </cell>
          <cell r="J2734" t="str">
            <v>INST EDUC JUAN DE LA CRUZ POSADA</v>
          </cell>
          <cell r="K2734">
            <v>129457954</v>
          </cell>
        </row>
        <row r="2735">
          <cell r="I2735">
            <v>811039191</v>
          </cell>
          <cell r="J2735" t="str">
            <v>F.S.E. INST EDUCATIVA FE Y ALEGRIA EL LIMONAR</v>
          </cell>
          <cell r="K2735">
            <v>60620226</v>
          </cell>
        </row>
        <row r="2736">
          <cell r="I2736">
            <v>811039212</v>
          </cell>
          <cell r="J2736" t="str">
            <v>INST EDUC SAN PABLO</v>
          </cell>
          <cell r="K2736">
            <v>144990857</v>
          </cell>
        </row>
        <row r="2737">
          <cell r="I2737">
            <v>811039223</v>
          </cell>
          <cell r="J2737" t="str">
            <v>IE SAN JOSE - Sabanalarga</v>
          </cell>
          <cell r="K2737">
            <v>103925391</v>
          </cell>
        </row>
        <row r="2738">
          <cell r="I2738">
            <v>811039245</v>
          </cell>
          <cell r="J2738" t="str">
            <v>IE DONMATIAS - Don Matías</v>
          </cell>
          <cell r="K2738">
            <v>184577966</v>
          </cell>
        </row>
        <row r="2739">
          <cell r="I2739">
            <v>811039246</v>
          </cell>
          <cell r="J2739" t="str">
            <v>INSTITUCION EDUCATIVA STELLA VELEZ LONDOÑO</v>
          </cell>
          <cell r="K2739">
            <v>75223784</v>
          </cell>
        </row>
        <row r="2740">
          <cell r="I2740">
            <v>811039252</v>
          </cell>
          <cell r="J2740" t="str">
            <v>INST EDUC LOLA GONZALEZ</v>
          </cell>
          <cell r="K2740">
            <v>183070925</v>
          </cell>
        </row>
        <row r="2741">
          <cell r="I2741">
            <v>811039265</v>
          </cell>
          <cell r="J2741" t="str">
            <v>INST EDUC CASD</v>
          </cell>
          <cell r="K2741">
            <v>84605700</v>
          </cell>
        </row>
        <row r="2742">
          <cell r="I2742">
            <v>811039270</v>
          </cell>
          <cell r="J2742" t="str">
            <v>INST EDUC LUCRECIO JARAMILLO VELEZ</v>
          </cell>
          <cell r="K2742">
            <v>87240210</v>
          </cell>
        </row>
        <row r="2743">
          <cell r="I2743">
            <v>811039274</v>
          </cell>
          <cell r="J2743" t="str">
            <v>INST EDUC FINCA LA MESA</v>
          </cell>
          <cell r="K2743">
            <v>194928850</v>
          </cell>
        </row>
        <row r="2744">
          <cell r="I2744">
            <v>811039277</v>
          </cell>
          <cell r="J2744" t="str">
            <v>institucion educativa Simon Bolivar</v>
          </cell>
          <cell r="K2744">
            <v>73369510</v>
          </cell>
        </row>
        <row r="2745">
          <cell r="I2745">
            <v>811039278</v>
          </cell>
          <cell r="J2745" t="str">
            <v>institucion educativa diego Echavarria Misas</v>
          </cell>
          <cell r="K2745">
            <v>165047031</v>
          </cell>
        </row>
        <row r="2746">
          <cell r="I2746">
            <v>811039294</v>
          </cell>
          <cell r="J2746" t="str">
            <v>IE DAMASCO - Santa Bárbara</v>
          </cell>
          <cell r="K2746">
            <v>28339903</v>
          </cell>
        </row>
        <row r="2747">
          <cell r="I2747">
            <v>811039348</v>
          </cell>
          <cell r="J2747" t="str">
            <v>Institucion Educativa Orestes Sindicce</v>
          </cell>
          <cell r="K2747">
            <v>105528332</v>
          </cell>
        </row>
        <row r="2748">
          <cell r="I2748">
            <v>811039368</v>
          </cell>
          <cell r="J2748" t="str">
            <v>IE  AGRICOLA DE SAN JERÓNIMO - San Jerónimo</v>
          </cell>
          <cell r="K2748">
            <v>64347753</v>
          </cell>
        </row>
        <row r="2749">
          <cell r="I2749">
            <v>811039369</v>
          </cell>
          <cell r="J2749" t="str">
            <v>F.S.E Institucion Educativa San Jose</v>
          </cell>
          <cell r="K2749">
            <v>145242951</v>
          </cell>
        </row>
        <row r="2750">
          <cell r="I2750">
            <v>811039370</v>
          </cell>
          <cell r="J2750" t="str">
            <v>Institucion Educativa Avelino Saldarriaga</v>
          </cell>
          <cell r="K2750">
            <v>110299993</v>
          </cell>
        </row>
        <row r="2751">
          <cell r="I2751">
            <v>811039392</v>
          </cell>
          <cell r="J2751" t="str">
            <v>IE LA MISERICORDIA - Caucasia</v>
          </cell>
          <cell r="K2751">
            <v>137150092</v>
          </cell>
        </row>
        <row r="2752">
          <cell r="I2752">
            <v>811039431</v>
          </cell>
          <cell r="J2752" t="str">
            <v>INST EDUC ALFREDO COCK ARANGO</v>
          </cell>
          <cell r="K2752">
            <v>61551542</v>
          </cell>
        </row>
        <row r="2753">
          <cell r="I2753">
            <v>811039481</v>
          </cell>
          <cell r="J2753" t="str">
            <v>SGP INSTITUCION EDUCATIVA FONTIDUEÑO JAIEM ARANGO ROJAS</v>
          </cell>
          <cell r="K2753">
            <v>154076507</v>
          </cell>
        </row>
        <row r="2754">
          <cell r="I2754">
            <v>811039606</v>
          </cell>
          <cell r="J2754" t="str">
            <v>INST EDUC NUEVO HORIZONTE</v>
          </cell>
          <cell r="K2754">
            <v>99971947</v>
          </cell>
        </row>
        <row r="2755">
          <cell r="I2755">
            <v>811039629</v>
          </cell>
          <cell r="J2755" t="str">
            <v>F.S.E I.E.U. CADENA LAS PLAYAS</v>
          </cell>
          <cell r="K2755">
            <v>62585285</v>
          </cell>
        </row>
        <row r="2756">
          <cell r="I2756">
            <v>811039630</v>
          </cell>
          <cell r="J2756" t="str">
            <v>INST EDUC MIRAFLORES - LUIS EDUARDO VALENCIA GARCIA</v>
          </cell>
          <cell r="K2756">
            <v>90524661</v>
          </cell>
        </row>
        <row r="2757">
          <cell r="I2757">
            <v>811039759</v>
          </cell>
          <cell r="J2757" t="str">
            <v>IE FELIX MARIA RESTREPO LONDOÑO - La Unión</v>
          </cell>
          <cell r="K2757">
            <v>132844543</v>
          </cell>
        </row>
        <row r="2758">
          <cell r="I2758">
            <v>811039779</v>
          </cell>
          <cell r="J2758" t="str">
            <v>SGP FSE INSTITUCION EDUCATIVA FEDERICO SIERRA ARANGO</v>
          </cell>
          <cell r="K2758">
            <v>96950976</v>
          </cell>
        </row>
        <row r="2759">
          <cell r="I2759">
            <v>811039783</v>
          </cell>
          <cell r="J2759" t="str">
            <v>IE TECNICO INDUSTRIAL SIMONA DUQUE - Marinilla</v>
          </cell>
          <cell r="K2759">
            <v>178570754</v>
          </cell>
        </row>
        <row r="2760">
          <cell r="I2760">
            <v>811039784</v>
          </cell>
          <cell r="J2760" t="str">
            <v>IE LA PAZ - La Ceja</v>
          </cell>
          <cell r="K2760">
            <v>167118740</v>
          </cell>
        </row>
        <row r="2761">
          <cell r="I2761">
            <v>811039787</v>
          </cell>
          <cell r="J2761" t="str">
            <v>IE LA PINTADA - La Pintada</v>
          </cell>
          <cell r="K2761">
            <v>69229845</v>
          </cell>
        </row>
        <row r="2762">
          <cell r="I2762">
            <v>811039794</v>
          </cell>
          <cell r="J2762" t="str">
            <v>IE TECNICO INDUSTRIAL TOMAS CARRASQUILLA - Santo Domingo</v>
          </cell>
          <cell r="K2762">
            <v>43587159</v>
          </cell>
        </row>
        <row r="2763">
          <cell r="I2763">
            <v>811039820</v>
          </cell>
          <cell r="J2763" t="str">
            <v>IE BIJAO - El Bagre</v>
          </cell>
          <cell r="K2763">
            <v>97296920</v>
          </cell>
        </row>
        <row r="2764">
          <cell r="I2764">
            <v>811039826</v>
          </cell>
          <cell r="J2764" t="str">
            <v>IE CHAPARRAL (R) - Guarne</v>
          </cell>
          <cell r="K2764">
            <v>67130162</v>
          </cell>
        </row>
        <row r="2765">
          <cell r="I2765">
            <v>811039962</v>
          </cell>
          <cell r="J2765" t="str">
            <v>IE URBANA SAN JOSE - Ebéjico</v>
          </cell>
          <cell r="K2765">
            <v>39629449</v>
          </cell>
        </row>
        <row r="2766">
          <cell r="I2766">
            <v>811040003</v>
          </cell>
          <cell r="J2766" t="str">
            <v>IE  NICOLAS GAVIRIA - Cañasgordas</v>
          </cell>
          <cell r="K2766">
            <v>74741704</v>
          </cell>
        </row>
        <row r="2767">
          <cell r="I2767">
            <v>811040029</v>
          </cell>
          <cell r="J2767" t="str">
            <v>F.S.E.  I.E. MANUEL  JOSE  SIERRA</v>
          </cell>
          <cell r="K2767">
            <v>78969478</v>
          </cell>
        </row>
        <row r="2768">
          <cell r="I2768">
            <v>811040031</v>
          </cell>
          <cell r="J2768" t="str">
            <v>IE  ATANASIO GIRARDOT - Girardota</v>
          </cell>
          <cell r="K2768">
            <v>92202678</v>
          </cell>
        </row>
        <row r="2769">
          <cell r="I2769">
            <v>811040052</v>
          </cell>
          <cell r="J2769" t="str">
            <v>IER LA AURORA - Carmen de Viboral</v>
          </cell>
          <cell r="K2769">
            <v>49914936</v>
          </cell>
        </row>
        <row r="2770">
          <cell r="I2770">
            <v>811040079</v>
          </cell>
          <cell r="J2770" t="str">
            <v>INST EDUC ALVARO MARIN VELASCO</v>
          </cell>
          <cell r="K2770">
            <v>45253428</v>
          </cell>
        </row>
        <row r="2771">
          <cell r="I2771">
            <v>811040135</v>
          </cell>
          <cell r="J2771" t="str">
            <v>IER DOLORES E ISMAEL RESTREPO - Retiro</v>
          </cell>
          <cell r="K2771">
            <v>67706289</v>
          </cell>
        </row>
        <row r="2772">
          <cell r="I2772">
            <v>811040136</v>
          </cell>
          <cell r="J2772" t="str">
            <v>INST EDUC MAESTRO ARENAS BETANCUR</v>
          </cell>
          <cell r="K2772">
            <v>55326743</v>
          </cell>
        </row>
        <row r="2773">
          <cell r="I2773">
            <v>811040137</v>
          </cell>
          <cell r="J2773" t="str">
            <v>INST EDUC JOAQUIN VALLEJO ARBELAEZ</v>
          </cell>
          <cell r="K2773">
            <v>149879358</v>
          </cell>
        </row>
        <row r="2774">
          <cell r="I2774">
            <v>811040138</v>
          </cell>
          <cell r="J2774" t="str">
            <v>INST EDUC ANTONIO RICAURTE</v>
          </cell>
          <cell r="K2774">
            <v>69009223</v>
          </cell>
        </row>
        <row r="2775">
          <cell r="I2775">
            <v>811040150</v>
          </cell>
          <cell r="J2775" t="str">
            <v>INST EDUC SAN AGUSTIN</v>
          </cell>
          <cell r="K2775">
            <v>65485666</v>
          </cell>
        </row>
        <row r="2776">
          <cell r="I2776">
            <v>811040151</v>
          </cell>
          <cell r="J2776" t="str">
            <v>INST EDUC JUAN DE DIOS COCK</v>
          </cell>
          <cell r="K2776">
            <v>86754830</v>
          </cell>
        </row>
        <row r="2777">
          <cell r="I2777">
            <v>811040162</v>
          </cell>
          <cell r="J2777" t="str">
            <v>INST EDUC EL SALVADOR</v>
          </cell>
          <cell r="K2777">
            <v>70891753</v>
          </cell>
        </row>
        <row r="2778">
          <cell r="I2778">
            <v>811040164</v>
          </cell>
          <cell r="J2778" t="str">
            <v>IE ROMERAL - Guarne</v>
          </cell>
          <cell r="K2778">
            <v>58353111</v>
          </cell>
        </row>
        <row r="2779">
          <cell r="I2779">
            <v>811040167</v>
          </cell>
          <cell r="J2779" t="str">
            <v>INST EDUC VIDA PARA TODOS</v>
          </cell>
          <cell r="K2779">
            <v>108307988</v>
          </cell>
        </row>
        <row r="2780">
          <cell r="I2780">
            <v>811040184</v>
          </cell>
          <cell r="J2780" t="str">
            <v>INST EDUC ALFONSO LOPEZ</v>
          </cell>
          <cell r="K2780">
            <v>45402168</v>
          </cell>
        </row>
        <row r="2781">
          <cell r="I2781">
            <v>811040191</v>
          </cell>
          <cell r="J2781" t="str">
            <v>INST EDUC SAN ROBERTO BELARMINO</v>
          </cell>
          <cell r="K2781">
            <v>77099378</v>
          </cell>
        </row>
        <row r="2782">
          <cell r="I2782">
            <v>811040224</v>
          </cell>
          <cell r="J2782" t="str">
            <v>F.S.E. CENTRO EDUCATIVO MANZANILLO</v>
          </cell>
          <cell r="K2782">
            <v>20169200</v>
          </cell>
        </row>
        <row r="2783">
          <cell r="I2783">
            <v>811040275</v>
          </cell>
          <cell r="J2783" t="str">
            <v>INST EDUC MARISCAL ROBLEDO</v>
          </cell>
          <cell r="K2783">
            <v>105167332</v>
          </cell>
        </row>
        <row r="2784">
          <cell r="I2784">
            <v>811040297</v>
          </cell>
          <cell r="J2784" t="str">
            <v>IE MADRE LAURA MONTOYA - Dabeiba</v>
          </cell>
          <cell r="K2784">
            <v>144615459</v>
          </cell>
        </row>
        <row r="2785">
          <cell r="I2785">
            <v>811040303</v>
          </cell>
          <cell r="J2785" t="str">
            <v>F.S.E. I.E. BELLO ORIZONTE</v>
          </cell>
          <cell r="K2785">
            <v>61139621</v>
          </cell>
        </row>
        <row r="2786">
          <cell r="I2786">
            <v>811040340</v>
          </cell>
          <cell r="J2786" t="str">
            <v>IE JOSE MARIA VILLA - Sopetrán</v>
          </cell>
          <cell r="K2786">
            <v>80033548</v>
          </cell>
        </row>
        <row r="2787">
          <cell r="I2787">
            <v>811040341</v>
          </cell>
          <cell r="J2787" t="str">
            <v>INSTITUCION EDUCATIVA ALBERTO LEBRUN MUNERA</v>
          </cell>
          <cell r="K2787">
            <v>80757264</v>
          </cell>
        </row>
        <row r="2788">
          <cell r="I2788">
            <v>811040391</v>
          </cell>
          <cell r="J2788" t="str">
            <v>F.S.E.INSTITUCION EDUCATIVA EFE GOMEZ</v>
          </cell>
          <cell r="K2788">
            <v>60649177</v>
          </cell>
        </row>
        <row r="2789">
          <cell r="I2789">
            <v>811040452</v>
          </cell>
          <cell r="J2789" t="str">
            <v>INST EDUC CAPILLAS DEL ROSARIO</v>
          </cell>
          <cell r="K2789">
            <v>56684247</v>
          </cell>
        </row>
        <row r="2790">
          <cell r="I2790">
            <v>811040473</v>
          </cell>
          <cell r="J2790" t="str">
            <v>IE  SAN JOSE DEL NUS - San Roque</v>
          </cell>
          <cell r="K2790">
            <v>67986542</v>
          </cell>
        </row>
        <row r="2791">
          <cell r="I2791">
            <v>811040503</v>
          </cell>
          <cell r="J2791" t="str">
            <v>IE PROVIDENCIA - San Roque</v>
          </cell>
          <cell r="K2791">
            <v>32700828</v>
          </cell>
        </row>
        <row r="2792">
          <cell r="I2792">
            <v>811040524</v>
          </cell>
          <cell r="J2792" t="str">
            <v>IE SAN LUIS  - San Luis</v>
          </cell>
          <cell r="K2792">
            <v>120275193</v>
          </cell>
        </row>
        <row r="2793">
          <cell r="I2793">
            <v>811040619</v>
          </cell>
          <cell r="J2793" t="str">
            <v>Institucion educativa los Gomez</v>
          </cell>
          <cell r="K2793">
            <v>96435742</v>
          </cell>
        </row>
        <row r="2794">
          <cell r="I2794">
            <v>811040631</v>
          </cell>
          <cell r="J2794" t="str">
            <v>IE ANTONIO ROLDAN BETANCUR - Necoclí</v>
          </cell>
          <cell r="K2794">
            <v>113842612</v>
          </cell>
        </row>
        <row r="2795">
          <cell r="I2795">
            <v>811040660</v>
          </cell>
          <cell r="J2795" t="str">
            <v>IE EL BAGRE - El Bagre</v>
          </cell>
          <cell r="K2795">
            <v>123770741</v>
          </cell>
        </row>
        <row r="2796">
          <cell r="I2796">
            <v>811040746</v>
          </cell>
          <cell r="J2796" t="str">
            <v>IE CISNEROS - Cisneros</v>
          </cell>
          <cell r="K2796">
            <v>114170074</v>
          </cell>
        </row>
        <row r="2797">
          <cell r="I2797">
            <v>811040781</v>
          </cell>
          <cell r="J2797" t="str">
            <v>IE PIO XII - San Pedro de los Milagros</v>
          </cell>
          <cell r="K2797">
            <v>122826957</v>
          </cell>
        </row>
        <row r="2798">
          <cell r="I2798">
            <v>811040863</v>
          </cell>
          <cell r="J2798" t="str">
            <v>F.S.E. CENTRO EDUCATIVO EL SALADO</v>
          </cell>
          <cell r="K2798">
            <v>16677036</v>
          </cell>
        </row>
        <row r="2799">
          <cell r="I2799">
            <v>811040864</v>
          </cell>
          <cell r="J2799" t="str">
            <v>IE EL TAMBO - San Pedro de los Milagros</v>
          </cell>
          <cell r="K2799">
            <v>75902794</v>
          </cell>
        </row>
        <row r="2800">
          <cell r="I2800">
            <v>811041012</v>
          </cell>
          <cell r="J2800" t="str">
            <v>IE SAN JOSE - Marinilla</v>
          </cell>
          <cell r="K2800">
            <v>82781326</v>
          </cell>
        </row>
        <row r="2801">
          <cell r="I2801">
            <v>811041122</v>
          </cell>
          <cell r="J2801" t="str">
            <v>INSTITUCIÓN EDUCATIVA LA MILAGROSA</v>
          </cell>
          <cell r="K2801">
            <v>70084230</v>
          </cell>
        </row>
        <row r="2802">
          <cell r="I2802">
            <v>811041198</v>
          </cell>
          <cell r="J2802" t="str">
            <v>IE LAS DELICIAS - El Bagre</v>
          </cell>
          <cell r="K2802">
            <v>70558842</v>
          </cell>
        </row>
        <row r="2803">
          <cell r="I2803">
            <v>811041245</v>
          </cell>
          <cell r="J2803" t="str">
            <v>IE LOS ANDES - Chigorodó</v>
          </cell>
          <cell r="K2803">
            <v>121762945</v>
          </cell>
        </row>
        <row r="2804">
          <cell r="I2804">
            <v>811041259</v>
          </cell>
          <cell r="J2804" t="str">
            <v>INSTITUCIÓN EDUCATIVA  ANA EVA  ESCOBAR</v>
          </cell>
          <cell r="K2804">
            <v>23661356</v>
          </cell>
        </row>
        <row r="2805">
          <cell r="I2805">
            <v>811041393</v>
          </cell>
          <cell r="J2805" t="str">
            <v>I. E. JOSE MARIA CORDOBA</v>
          </cell>
          <cell r="K2805">
            <v>99130606</v>
          </cell>
        </row>
        <row r="2806">
          <cell r="I2806">
            <v>811041515</v>
          </cell>
          <cell r="J2806" t="str">
            <v>IE BERNARDO SIERRA - Cañasgordas</v>
          </cell>
          <cell r="K2806">
            <v>34649498</v>
          </cell>
        </row>
        <row r="2807">
          <cell r="I2807">
            <v>811041939</v>
          </cell>
          <cell r="J2807" t="str">
            <v>IER ABELARDO OCHOA - Salgar</v>
          </cell>
          <cell r="K2807">
            <v>23726448</v>
          </cell>
        </row>
        <row r="2808">
          <cell r="I2808">
            <v>811041972</v>
          </cell>
          <cell r="J2808" t="str">
            <v>IE PRESBITERO LUIS EDUARDO PEREZ M. - Barbosa</v>
          </cell>
          <cell r="K2808">
            <v>100586317</v>
          </cell>
        </row>
        <row r="2809">
          <cell r="I2809">
            <v>811042024</v>
          </cell>
          <cell r="J2809" t="str">
            <v>IER LA CRUZADA - Remedios</v>
          </cell>
          <cell r="K2809">
            <v>163745213</v>
          </cell>
        </row>
        <row r="2810">
          <cell r="I2810">
            <v>811042025</v>
          </cell>
          <cell r="J2810" t="str">
            <v>IE IGNACIO YEPES YEPES - Remedios</v>
          </cell>
          <cell r="K2810">
            <v>195747516</v>
          </cell>
        </row>
        <row r="2811">
          <cell r="I2811">
            <v>811042039</v>
          </cell>
          <cell r="J2811" t="str">
            <v>IE MARCO EMILIO LOPEZ GALLEGO - La Unión</v>
          </cell>
          <cell r="K2811">
            <v>24211708</v>
          </cell>
        </row>
        <row r="2812">
          <cell r="I2812">
            <v>811042091</v>
          </cell>
          <cell r="J2812" t="str">
            <v>IE CHIGORODÓ - Chigorodó</v>
          </cell>
          <cell r="K2812">
            <v>98944226</v>
          </cell>
        </row>
        <row r="2813">
          <cell r="I2813">
            <v>811042111</v>
          </cell>
          <cell r="J2813" t="str">
            <v>institucion educativa presbitero luis rodolfo gomez ramirez- santuario</v>
          </cell>
          <cell r="K2813">
            <v>154939389</v>
          </cell>
        </row>
        <row r="2814">
          <cell r="I2814">
            <v>811042159</v>
          </cell>
          <cell r="J2814" t="str">
            <v>IE SAN LUIS GONZAGA - Antioquia</v>
          </cell>
          <cell r="K2814">
            <v>200865523</v>
          </cell>
        </row>
        <row r="2815">
          <cell r="I2815">
            <v>811042175</v>
          </cell>
          <cell r="J2815" t="str">
            <v>IER EL TABLAZO - Barbosa</v>
          </cell>
          <cell r="K2815">
            <v>97848860</v>
          </cell>
        </row>
        <row r="2816">
          <cell r="I2816">
            <v>811042197</v>
          </cell>
          <cell r="J2816" t="str">
            <v>IER LA COMARCA - Necoclí</v>
          </cell>
          <cell r="K2816">
            <v>44093323</v>
          </cell>
        </row>
        <row r="2817">
          <cell r="I2817">
            <v>811042215</v>
          </cell>
          <cell r="J2817" t="str">
            <v>IE SANTO DOMINGO SAVIO - Segovia</v>
          </cell>
          <cell r="K2817">
            <v>243340165</v>
          </cell>
        </row>
        <row r="2818">
          <cell r="I2818">
            <v>811042232</v>
          </cell>
          <cell r="J2818" t="str">
            <v>IER SANTA FE DE LAS PLATAS - Arboletes</v>
          </cell>
          <cell r="K2818">
            <v>44801526</v>
          </cell>
        </row>
        <row r="2819">
          <cell r="I2819">
            <v>811042295</v>
          </cell>
          <cell r="J2819" t="str">
            <v>INST EDUC BARRIO OLAYA HERRERA</v>
          </cell>
          <cell r="K2819">
            <v>98974462</v>
          </cell>
        </row>
        <row r="2820">
          <cell r="I2820">
            <v>811042439</v>
          </cell>
          <cell r="J2820" t="str">
            <v>INST EDUC INEM JOSE FELIX DE RESTREPO</v>
          </cell>
          <cell r="K2820">
            <v>390524314</v>
          </cell>
        </row>
        <row r="2821">
          <cell r="I2821">
            <v>811042543</v>
          </cell>
          <cell r="J2821" t="str">
            <v>IE MARGENTO - Caucasia</v>
          </cell>
          <cell r="K2821">
            <v>38096214</v>
          </cell>
        </row>
        <row r="2822">
          <cell r="I2822">
            <v>811042690</v>
          </cell>
          <cell r="J2822" t="str">
            <v>FSE CENTRO EDUCATIVO SAN GABRIEL ARCANGEL SGP</v>
          </cell>
          <cell r="K2822">
            <v>22945038</v>
          </cell>
        </row>
        <row r="2823">
          <cell r="I2823">
            <v>811043036</v>
          </cell>
          <cell r="J2823" t="str">
            <v>INSTITUCION EDUCATIVA RURAL MIGUEL ANGEL BUILES- SANTA ROSA DE OSOS</v>
          </cell>
          <cell r="K2823">
            <v>42411818</v>
          </cell>
        </row>
        <row r="2824">
          <cell r="I2824">
            <v>811043051</v>
          </cell>
          <cell r="J2824" t="str">
            <v>IE GOMEZ PLATA - Gómez Plata</v>
          </cell>
          <cell r="K2824">
            <v>80703527</v>
          </cell>
        </row>
        <row r="2825">
          <cell r="I2825">
            <v>811043057</v>
          </cell>
          <cell r="J2825" t="str">
            <v>IER EL SALTO - Gómez Plata</v>
          </cell>
          <cell r="K2825">
            <v>32785842</v>
          </cell>
        </row>
        <row r="2826">
          <cell r="I2826">
            <v>811043134</v>
          </cell>
          <cell r="J2826" t="str">
            <v>LA INSTITUCION EDUCATIVA DARIO DE BEDOUTH</v>
          </cell>
          <cell r="K2826">
            <v>36563422</v>
          </cell>
        </row>
        <row r="2827">
          <cell r="I2827">
            <v>811043220</v>
          </cell>
          <cell r="J2827" t="str">
            <v>F.S.E INSTITUCIÓN EDUCATIVA DIVINA EUCARISTIA SGP</v>
          </cell>
          <cell r="K2827">
            <v>40858596</v>
          </cell>
        </row>
        <row r="2828">
          <cell r="I2828">
            <v>811043259</v>
          </cell>
          <cell r="J2828" t="str">
            <v>FSD I.E.R. PEDRONEL DURANGO</v>
          </cell>
          <cell r="K2828">
            <v>66759835</v>
          </cell>
        </row>
        <row r="2829">
          <cell r="I2829">
            <v>811043391</v>
          </cell>
          <cell r="J2829" t="str">
            <v>institucion educativa filiberto restrepo sierra</v>
          </cell>
          <cell r="K2829">
            <v>58406769</v>
          </cell>
        </row>
        <row r="2830">
          <cell r="I2830">
            <v>811043516</v>
          </cell>
          <cell r="J2830" t="str">
            <v>IE AURELIO MEJIA - Cáceres</v>
          </cell>
          <cell r="K2830">
            <v>46383477</v>
          </cell>
        </row>
        <row r="2831">
          <cell r="I2831">
            <v>811043517</v>
          </cell>
          <cell r="J2831" t="str">
            <v>CER SANTA INES DEL MONTE - Cáceres</v>
          </cell>
          <cell r="K2831">
            <v>15832827</v>
          </cell>
        </row>
        <row r="2832">
          <cell r="I2832">
            <v>811043518</v>
          </cell>
          <cell r="J2832" t="str">
            <v>IE MONSEÑOR GERARDO PATIÑO - Cáceres</v>
          </cell>
          <cell r="K2832">
            <v>121582528</v>
          </cell>
        </row>
        <row r="2833">
          <cell r="I2833">
            <v>811043519</v>
          </cell>
          <cell r="J2833" t="str">
            <v>CER EL TIGRE - Cáceres</v>
          </cell>
          <cell r="K2833">
            <v>36994244</v>
          </cell>
        </row>
        <row r="2834">
          <cell r="I2834">
            <v>811043520</v>
          </cell>
          <cell r="J2834" t="str">
            <v>IE PIAMONTE - Cáceres</v>
          </cell>
          <cell r="K2834">
            <v>30271238</v>
          </cell>
        </row>
        <row r="2835">
          <cell r="I2835">
            <v>811043521</v>
          </cell>
          <cell r="J2835" t="str">
            <v>IE MANIZALES - Cáceres</v>
          </cell>
          <cell r="K2835">
            <v>24236522</v>
          </cell>
        </row>
        <row r="2836">
          <cell r="I2836">
            <v>811043526</v>
          </cell>
          <cell r="J2836" t="str">
            <v>INSTITUCION EDUCATIVA GILBERTO ECHEVERRY SGP</v>
          </cell>
          <cell r="K2836">
            <v>82313310</v>
          </cell>
        </row>
        <row r="2837">
          <cell r="I2837">
            <v>811043530</v>
          </cell>
          <cell r="J2837" t="str">
            <v>IE GASPAR DE RODAS - Cáceres</v>
          </cell>
          <cell r="K2837">
            <v>117457584</v>
          </cell>
        </row>
        <row r="2838">
          <cell r="I2838">
            <v>811043531</v>
          </cell>
          <cell r="J2838" t="str">
            <v>IE GUARUMO - Cáceres</v>
          </cell>
          <cell r="K2838">
            <v>87425457</v>
          </cell>
        </row>
        <row r="2839">
          <cell r="I2839">
            <v>811043626</v>
          </cell>
          <cell r="J2839" t="str">
            <v>INSTITUCION EDUCATIVA RURAL LAS CHANGAS</v>
          </cell>
          <cell r="K2839">
            <v>59859840</v>
          </cell>
        </row>
        <row r="2840">
          <cell r="I2840">
            <v>811043627</v>
          </cell>
          <cell r="J2840" t="str">
            <v>IER MULATOS - Necoclí</v>
          </cell>
          <cell r="K2840">
            <v>56686248</v>
          </cell>
        </row>
        <row r="2841">
          <cell r="I2841">
            <v>811043628</v>
          </cell>
          <cell r="J2841" t="str">
            <v>IE PABLO VI - Remedios</v>
          </cell>
          <cell r="K2841">
            <v>42007782</v>
          </cell>
        </row>
        <row r="2842">
          <cell r="I2842">
            <v>811043759</v>
          </cell>
          <cell r="J2842" t="str">
            <v>IER PORFIRIO BARBA JACOB - Santa Rosa de Osos</v>
          </cell>
          <cell r="K2842">
            <v>38347229</v>
          </cell>
        </row>
        <row r="2843">
          <cell r="I2843">
            <v>811043769</v>
          </cell>
          <cell r="J2843" t="str">
            <v>FONDO DE SERVICIOS EDUCATIVOS PALOMOS</v>
          </cell>
          <cell r="K2843">
            <v>22978548</v>
          </cell>
        </row>
        <row r="2844">
          <cell r="I2844">
            <v>811043773</v>
          </cell>
          <cell r="J2844" t="str">
            <v>IE COLOMBIA - Carepa</v>
          </cell>
          <cell r="K2844">
            <v>139964655</v>
          </cell>
        </row>
        <row r="2845">
          <cell r="I2845">
            <v>811043774</v>
          </cell>
          <cell r="J2845" t="str">
            <v>IE JOSE MARIA MUÑOZ FLOREZ - Carepa</v>
          </cell>
          <cell r="K2845">
            <v>150180737</v>
          </cell>
        </row>
        <row r="2846">
          <cell r="I2846">
            <v>811043911</v>
          </cell>
          <cell r="J2846" t="str">
            <v>IE ARTURO VELASQUEZ ORTIZ - Antioquia</v>
          </cell>
          <cell r="K2846">
            <v>151430498</v>
          </cell>
        </row>
        <row r="2847">
          <cell r="I2847">
            <v>811043912</v>
          </cell>
          <cell r="J2847" t="str">
            <v>IE LUIS ANDRADE VALDERRAMA - Giraldo</v>
          </cell>
          <cell r="K2847">
            <v>53906108</v>
          </cell>
        </row>
        <row r="2848">
          <cell r="I2848">
            <v>811043962</v>
          </cell>
          <cell r="J2848" t="str">
            <v>IE JUNTAS DE URAMITA - Cañasgordas</v>
          </cell>
          <cell r="K2848">
            <v>19961874</v>
          </cell>
        </row>
        <row r="2849">
          <cell r="I2849">
            <v>811044055</v>
          </cell>
          <cell r="J2849" t="str">
            <v>IE SAN LUIS - Yarumal</v>
          </cell>
          <cell r="K2849">
            <v>247523971</v>
          </cell>
        </row>
        <row r="2850">
          <cell r="I2850">
            <v>811044086</v>
          </cell>
          <cell r="J2850" t="str">
            <v>CER PRESBITERO EDUARDO ZULUAGA URB - Yolombó</v>
          </cell>
          <cell r="K2850">
            <v>35192772</v>
          </cell>
        </row>
        <row r="2851">
          <cell r="I2851">
            <v>811044131</v>
          </cell>
          <cell r="J2851" t="str">
            <v>IE PEDRO NEL OSPINA - Ituango</v>
          </cell>
          <cell r="K2851">
            <v>276342739</v>
          </cell>
        </row>
        <row r="2852">
          <cell r="I2852">
            <v>811044167</v>
          </cell>
          <cell r="J2852" t="str">
            <v>IER  LA FLORESTA - Yolombó</v>
          </cell>
          <cell r="K2852">
            <v>57868548</v>
          </cell>
        </row>
        <row r="2853">
          <cell r="I2853">
            <v>811044216</v>
          </cell>
          <cell r="J2853" t="str">
            <v>IE SAN JUAN DE URABA - San Juan de Urabá</v>
          </cell>
          <cell r="K2853">
            <v>217995160</v>
          </cell>
        </row>
        <row r="2854">
          <cell r="I2854">
            <v>811044218</v>
          </cell>
          <cell r="J2854" t="str">
            <v>IE JUAN EVANGELISTA BERRIO - Chigorodó</v>
          </cell>
          <cell r="K2854">
            <v>113358137</v>
          </cell>
        </row>
        <row r="2855">
          <cell r="I2855">
            <v>811044496</v>
          </cell>
          <cell r="J2855" t="str">
            <v>IE ENTRERRÍOS - Entrerríos</v>
          </cell>
          <cell r="K2855">
            <v>117715313</v>
          </cell>
        </row>
        <row r="2856">
          <cell r="I2856">
            <v>811044996</v>
          </cell>
          <cell r="J2856" t="str">
            <v>IER TULAPITA - Necoclí</v>
          </cell>
          <cell r="K2856">
            <v>54923770</v>
          </cell>
        </row>
        <row r="2857">
          <cell r="I2857">
            <v>811045207</v>
          </cell>
          <cell r="J2857" t="str">
            <v>INST EDUC FE Y ALEGRIA AURES</v>
          </cell>
          <cell r="K2857">
            <v>57649098</v>
          </cell>
        </row>
        <row r="2858">
          <cell r="I2858">
            <v>811045448</v>
          </cell>
          <cell r="J2858" t="str">
            <v>INST EDUC FATIMA NUTIBARA</v>
          </cell>
          <cell r="K2858">
            <v>41955398</v>
          </cell>
        </row>
        <row r="2859">
          <cell r="I2859">
            <v>811045489</v>
          </cell>
          <cell r="J2859" t="str">
            <v>INST EDUC JOSE MARIA BERNAL</v>
          </cell>
          <cell r="K2859">
            <v>66727538</v>
          </cell>
        </row>
        <row r="2860">
          <cell r="I2860">
            <v>811045602</v>
          </cell>
          <cell r="J2860" t="str">
            <v>IE PBRO. RICARDO LUIS GUTIERREZ TOBON - Belmira</v>
          </cell>
          <cell r="K2860">
            <v>39748788</v>
          </cell>
        </row>
        <row r="2861">
          <cell r="I2861">
            <v>811045841</v>
          </cell>
          <cell r="J2861" t="str">
            <v>IER CARIBIA - Necoclí</v>
          </cell>
          <cell r="K2861">
            <v>39291126</v>
          </cell>
        </row>
        <row r="2862">
          <cell r="I2862">
            <v>811045872</v>
          </cell>
          <cell r="J2862" t="str">
            <v>IE MARIA AUXILIADORA - Chigorodó</v>
          </cell>
          <cell r="K2862">
            <v>84718870</v>
          </cell>
        </row>
        <row r="2863">
          <cell r="I2863">
            <v>811046525</v>
          </cell>
          <cell r="J2863" t="str">
            <v>IE UVEROS - San Juan de Urabá</v>
          </cell>
          <cell r="K2863">
            <v>91598035</v>
          </cell>
        </row>
        <row r="2864">
          <cell r="I2864">
            <v>812000048</v>
          </cell>
          <cell r="J2864" t="str">
            <v>INSTITUCION EDUCATIVA SAN FRANSISCO DEL RAYO</v>
          </cell>
          <cell r="K2864">
            <v>42217718</v>
          </cell>
        </row>
        <row r="2865">
          <cell r="I2865">
            <v>812000196</v>
          </cell>
          <cell r="J2865" t="str">
            <v>INSTITUCION EDUCATIVA EL CARMEN DE COTORRA</v>
          </cell>
          <cell r="K2865">
            <v>114388700</v>
          </cell>
        </row>
        <row r="2866">
          <cell r="I2866">
            <v>812000416</v>
          </cell>
          <cell r="J2866" t="str">
            <v>FONDO DE SERVICIOS DOCENTE ESCUELA CAMILO TORRES</v>
          </cell>
          <cell r="K2866">
            <v>148724825</v>
          </cell>
        </row>
        <row r="2867">
          <cell r="I2867">
            <v>812000552</v>
          </cell>
          <cell r="J2867" t="str">
            <v>INSTITUCION EDUCATIVA SANTA MARIA GORETTY</v>
          </cell>
          <cell r="K2867">
            <v>161361512</v>
          </cell>
        </row>
        <row r="2868">
          <cell r="I2868">
            <v>812000635</v>
          </cell>
          <cell r="J2868" t="str">
            <v>INSTITUCION  EDUCATIVA SAN JOSE</v>
          </cell>
          <cell r="K2868">
            <v>108806656</v>
          </cell>
        </row>
        <row r="2869">
          <cell r="I2869">
            <v>812000812</v>
          </cell>
          <cell r="J2869" t="str">
            <v>INSTITUCION EDUCATIVA SAN ISIDRO</v>
          </cell>
          <cell r="K2869">
            <v>70871337</v>
          </cell>
        </row>
        <row r="2870">
          <cell r="I2870">
            <v>812001085</v>
          </cell>
          <cell r="J2870" t="str">
            <v>INSTITUCION EDUCATIVA SANTA MARIA</v>
          </cell>
          <cell r="K2870">
            <v>84134146</v>
          </cell>
        </row>
        <row r="2871">
          <cell r="I2871">
            <v>812001405</v>
          </cell>
          <cell r="J2871" t="str">
            <v>INSTITUCION EDUCATIVA SAN PEDRO CLAVER</v>
          </cell>
          <cell r="K2871">
            <v>65416692</v>
          </cell>
        </row>
        <row r="2872">
          <cell r="I2872">
            <v>812001416</v>
          </cell>
          <cell r="J2872" t="str">
            <v>INSTITUCION EDUCATIVA TECNICO AGROPECUARIO DE VIDALES</v>
          </cell>
          <cell r="K2872">
            <v>110968711</v>
          </cell>
        </row>
        <row r="2873">
          <cell r="I2873">
            <v>812001500</v>
          </cell>
          <cell r="J2873" t="str">
            <v>FONDO DE SERVICIO EDUCATIVO IE SIMON BOLIVAR</v>
          </cell>
          <cell r="K2873">
            <v>222751777</v>
          </cell>
        </row>
        <row r="2874">
          <cell r="I2874">
            <v>812001569</v>
          </cell>
          <cell r="J2874" t="str">
            <v>colegio el nacional de sahagun</v>
          </cell>
          <cell r="K2874">
            <v>253635587</v>
          </cell>
        </row>
        <row r="2875">
          <cell r="I2875">
            <v>812001603</v>
          </cell>
          <cell r="J2875" t="str">
            <v>INSTITUCION EDUCATIVA LICEO GUILLERMO VALENCIA</v>
          </cell>
          <cell r="K2875">
            <v>108441895</v>
          </cell>
        </row>
        <row r="2876">
          <cell r="I2876">
            <v>812001675</v>
          </cell>
          <cell r="J2876" t="str">
            <v>MUNICIPIO DE COTORRA</v>
          </cell>
          <cell r="K2876">
            <v>236920117</v>
          </cell>
        </row>
        <row r="2877">
          <cell r="I2877">
            <v>812001681</v>
          </cell>
          <cell r="J2877" t="str">
            <v>MUNICIPIO DE LA APARTADA</v>
          </cell>
          <cell r="K2877">
            <v>166341910</v>
          </cell>
        </row>
        <row r="2878">
          <cell r="I2878">
            <v>812001705</v>
          </cell>
          <cell r="J2878" t="str">
            <v>INSTITUCIONE DUCATIVA JUAN XXIII</v>
          </cell>
          <cell r="K2878">
            <v>137365867</v>
          </cell>
        </row>
        <row r="2879">
          <cell r="I2879">
            <v>812001731</v>
          </cell>
          <cell r="J2879" t="str">
            <v>INSTITUCION EDUCATIVA ALIANZA PARA EL PROGRESO</v>
          </cell>
          <cell r="K2879">
            <v>58162649</v>
          </cell>
        </row>
        <row r="2880">
          <cell r="I2880">
            <v>812001818</v>
          </cell>
          <cell r="J2880" t="str">
            <v>INSTITUCION EDUCATIVA LA UNION</v>
          </cell>
          <cell r="K2880">
            <v>80400845</v>
          </cell>
        </row>
        <row r="2881">
          <cell r="I2881">
            <v>812001822</v>
          </cell>
          <cell r="J2881" t="str">
            <v>INSTITUCION EDUCATIVA LA INMACULADA</v>
          </cell>
          <cell r="K2881">
            <v>105002813</v>
          </cell>
        </row>
        <row r="2882">
          <cell r="I2882">
            <v>812001842</v>
          </cell>
          <cell r="J2882" t="str">
            <v>INSTITUCION EDUCATIVA SAN JOSE DEL QUEMAO</v>
          </cell>
          <cell r="K2882">
            <v>45571427</v>
          </cell>
        </row>
        <row r="2883">
          <cell r="I2883">
            <v>812001869</v>
          </cell>
          <cell r="J2883" t="str">
            <v>INSTITUCION EDUCATIVA JOSE ANTONIO GALAN</v>
          </cell>
          <cell r="K2883">
            <v>93916684</v>
          </cell>
        </row>
        <row r="2884">
          <cell r="I2884">
            <v>812001917</v>
          </cell>
          <cell r="J2884" t="str">
            <v>INSTITUCION EDUCATIVA ALFONSO BUILES CORREA</v>
          </cell>
          <cell r="K2884">
            <v>115855512</v>
          </cell>
        </row>
        <row r="2885">
          <cell r="I2885">
            <v>812001923</v>
          </cell>
          <cell r="J2885" t="str">
            <v>INSTITUCION EDUCATIVA EL PARAISO</v>
          </cell>
          <cell r="K2885">
            <v>58227416</v>
          </cell>
        </row>
        <row r="2886">
          <cell r="I2886">
            <v>812001925</v>
          </cell>
          <cell r="J2886" t="str">
            <v>INSTITUCION EDUCATIVA TREMENTINO.</v>
          </cell>
          <cell r="K2886">
            <v>27168437</v>
          </cell>
        </row>
        <row r="2887">
          <cell r="I2887">
            <v>812001926</v>
          </cell>
          <cell r="J2887" t="str">
            <v>INSTITUCION EDUCATIVA SAN FRANCISCO DE ASIS</v>
          </cell>
          <cell r="K2887">
            <v>89843981</v>
          </cell>
        </row>
        <row r="2888">
          <cell r="I2888">
            <v>812001929</v>
          </cell>
          <cell r="J2888" t="str">
            <v>INSTITUCION EDUCATIVA SAN JOSE</v>
          </cell>
          <cell r="K2888">
            <v>101746685</v>
          </cell>
        </row>
        <row r="2889">
          <cell r="I2889">
            <v>812001941</v>
          </cell>
          <cell r="J2889" t="str">
            <v>INSTITUCION EDUCATIVA VILLA MARGARITA</v>
          </cell>
          <cell r="K2889">
            <v>186123104</v>
          </cell>
        </row>
        <row r="2890">
          <cell r="I2890">
            <v>812001951</v>
          </cell>
          <cell r="J2890" t="str">
            <v>INSTITUCION EDUCATIVA POLICARPA SALAVARRIETA</v>
          </cell>
          <cell r="K2890">
            <v>100362093</v>
          </cell>
        </row>
        <row r="2891">
          <cell r="I2891">
            <v>812001959</v>
          </cell>
          <cell r="J2891" t="str">
            <v>INSTITUCION EDUCATIVA CARLOS ADOLFO URETA</v>
          </cell>
          <cell r="K2891">
            <v>158247166</v>
          </cell>
        </row>
        <row r="2892">
          <cell r="I2892">
            <v>812001964</v>
          </cell>
          <cell r="J2892" t="str">
            <v>INSTITUCION EDUCATIVA MERCEDES ABREGO</v>
          </cell>
          <cell r="K2892">
            <v>134666016</v>
          </cell>
        </row>
        <row r="2893">
          <cell r="I2893">
            <v>812001980</v>
          </cell>
          <cell r="J2893" t="str">
            <v>INSTITUCION EDUCATIVA PABLO VI</v>
          </cell>
          <cell r="K2893">
            <v>114805127</v>
          </cell>
        </row>
        <row r="2894">
          <cell r="I2894">
            <v>812001994</v>
          </cell>
          <cell r="J2894" t="str">
            <v>INSTITUCION  EDUCATIVA LICEO LA PRADERA</v>
          </cell>
          <cell r="K2894">
            <v>188094362</v>
          </cell>
        </row>
        <row r="2895">
          <cell r="I2895">
            <v>812001998</v>
          </cell>
          <cell r="J2895" t="str">
            <v>INSTITUCION EDUCATIVA NUESTRA SEÑORA DEL ROSARIO</v>
          </cell>
          <cell r="K2895">
            <v>78954078</v>
          </cell>
        </row>
        <row r="2896">
          <cell r="I2896">
            <v>812002000</v>
          </cell>
          <cell r="J2896" t="str">
            <v>INSTITUCION EDUCATIVA JOSE YANCES MUTIS</v>
          </cell>
          <cell r="K2896">
            <v>60458770</v>
          </cell>
        </row>
        <row r="2897">
          <cell r="I2897">
            <v>812002014</v>
          </cell>
          <cell r="J2897" t="str">
            <v>INSTITUCION EDUCATIVA NUEVO ORIENTE</v>
          </cell>
          <cell r="K2897">
            <v>140066846</v>
          </cell>
        </row>
        <row r="2898">
          <cell r="I2898">
            <v>812002017</v>
          </cell>
          <cell r="J2898" t="str">
            <v>INSTITUCION EDUCATIVA VICTORIA MANZUR</v>
          </cell>
          <cell r="K2898">
            <v>263539520</v>
          </cell>
        </row>
        <row r="2899">
          <cell r="I2899">
            <v>812002018</v>
          </cell>
          <cell r="J2899" t="str">
            <v>INSTITUCION EDUCATIVA CRISTOBAL COLON</v>
          </cell>
          <cell r="K2899">
            <v>222500448</v>
          </cell>
        </row>
        <row r="2900">
          <cell r="I2900">
            <v>812002020</v>
          </cell>
          <cell r="J2900" t="str">
            <v>ALIANZA PARA EL PROGRESO</v>
          </cell>
          <cell r="K2900">
            <v>64039242</v>
          </cell>
        </row>
        <row r="2901">
          <cell r="I2901">
            <v>812002029</v>
          </cell>
          <cell r="J2901" t="str">
            <v>INSTITUCION EDUCATUVA LA INMACULADA</v>
          </cell>
          <cell r="K2901">
            <v>87788538</v>
          </cell>
        </row>
        <row r="2902">
          <cell r="I2902">
            <v>812002032</v>
          </cell>
          <cell r="J2902" t="str">
            <v>INSTITUCION EDUCATIVA SIMON BOLIVAR DE SAHAGUN</v>
          </cell>
          <cell r="K2902">
            <v>107241862</v>
          </cell>
        </row>
        <row r="2903">
          <cell r="I2903">
            <v>812002033</v>
          </cell>
          <cell r="J2903" t="str">
            <v>INSTITUCION EDUCATIVA SAGRADO CORAZON DE JESUS</v>
          </cell>
          <cell r="K2903">
            <v>93109740</v>
          </cell>
        </row>
        <row r="2904">
          <cell r="I2904">
            <v>812002038</v>
          </cell>
          <cell r="J2904" t="str">
            <v>IE PEDRO CASTELLANOS</v>
          </cell>
          <cell r="K2904">
            <v>43568273</v>
          </cell>
        </row>
        <row r="2905">
          <cell r="I2905">
            <v>812002056</v>
          </cell>
          <cell r="J2905" t="str">
            <v>INSTITUCION EDUCATIVA LAS MERCEDES</v>
          </cell>
          <cell r="K2905">
            <v>53051478</v>
          </cell>
        </row>
        <row r="2906">
          <cell r="I2906">
            <v>812002061</v>
          </cell>
          <cell r="J2906" t="str">
            <v>INSTITUCION EDUCATIVA MOGAMBO</v>
          </cell>
          <cell r="K2906">
            <v>235006048</v>
          </cell>
        </row>
        <row r="2907">
          <cell r="I2907">
            <v>812002068</v>
          </cell>
          <cell r="J2907" t="str">
            <v>FONDOS ALIANZA</v>
          </cell>
          <cell r="K2907">
            <v>137081883</v>
          </cell>
        </row>
        <row r="2908">
          <cell r="I2908">
            <v>812002079</v>
          </cell>
          <cell r="J2908" t="str">
            <v>INST. EDC. ALIANZA PARA EL PROGRESO</v>
          </cell>
          <cell r="K2908">
            <v>61645258</v>
          </cell>
        </row>
        <row r="2909">
          <cell r="I2909">
            <v>812002088</v>
          </cell>
          <cell r="J2909" t="str">
            <v>INSTITUCION EDUCATIVA SIMON BOLIVAR</v>
          </cell>
          <cell r="K2909">
            <v>50597264</v>
          </cell>
        </row>
        <row r="2910">
          <cell r="I2910">
            <v>812002091</v>
          </cell>
          <cell r="J2910" t="str">
            <v>FONDO DE SERVICIOS EDUCATIVOS SAN BERNARDO</v>
          </cell>
          <cell r="K2910">
            <v>146899794</v>
          </cell>
        </row>
        <row r="2911">
          <cell r="I2911">
            <v>812002094</v>
          </cell>
          <cell r="J2911" t="str">
            <v>INSTITUCION EDUCATIVA DAVID SANCHEZ JULIAO</v>
          </cell>
          <cell r="K2911">
            <v>79743775</v>
          </cell>
        </row>
        <row r="2912">
          <cell r="I2912">
            <v>812002108</v>
          </cell>
          <cell r="J2912" t="str">
            <v>INSTITUCION EDUCATIVA PAULO VI</v>
          </cell>
          <cell r="K2912">
            <v>58895832</v>
          </cell>
        </row>
        <row r="2913">
          <cell r="I2913">
            <v>812002115</v>
          </cell>
          <cell r="J2913" t="str">
            <v>IE JOSE MANUEL DE ALTAMIRA</v>
          </cell>
          <cell r="K2913">
            <v>74803786</v>
          </cell>
        </row>
        <row r="2914">
          <cell r="I2914">
            <v>812002119</v>
          </cell>
          <cell r="J2914" t="str">
            <v>INSTITUCION EDUCATIVA JUNIN</v>
          </cell>
          <cell r="K2914">
            <v>105133478</v>
          </cell>
        </row>
        <row r="2915">
          <cell r="I2915">
            <v>812002125</v>
          </cell>
          <cell r="J2915" t="str">
            <v>INSTITUCION EDUCATIVA MIGUEL LENGUAS NAVAS</v>
          </cell>
          <cell r="K2915">
            <v>63177882</v>
          </cell>
        </row>
        <row r="2916">
          <cell r="I2916">
            <v>812002135</v>
          </cell>
          <cell r="J2916" t="str">
            <v>INSTITUCION EDUCATIVA NORMAL SUPERIOR</v>
          </cell>
          <cell r="K2916">
            <v>147593546</v>
          </cell>
        </row>
        <row r="2917">
          <cell r="I2917">
            <v>812002142</v>
          </cell>
          <cell r="J2917" t="str">
            <v>INSTITUCION EDUCATIVA SANTA LUCIA FSE</v>
          </cell>
          <cell r="K2917">
            <v>102397335</v>
          </cell>
        </row>
        <row r="2918">
          <cell r="I2918">
            <v>812002154</v>
          </cell>
          <cell r="J2918" t="str">
            <v>INSTITUCION EDUCATIVA EL SABANAL</v>
          </cell>
          <cell r="K2918">
            <v>89021561</v>
          </cell>
        </row>
        <row r="2919">
          <cell r="I2919">
            <v>812002162</v>
          </cell>
          <cell r="J2919" t="str">
            <v>IE JOSE ANTONIO GALAN</v>
          </cell>
          <cell r="K2919">
            <v>213630382</v>
          </cell>
        </row>
        <row r="2920">
          <cell r="I2920">
            <v>812002167</v>
          </cell>
          <cell r="J2920" t="str">
            <v>INSTITUCION EDUCATIVA PALMASORIANA</v>
          </cell>
          <cell r="K2920">
            <v>39567001</v>
          </cell>
        </row>
        <row r="2921">
          <cell r="I2921">
            <v>812002168</v>
          </cell>
          <cell r="J2921" t="str">
            <v>CESUM</v>
          </cell>
          <cell r="K2921">
            <v>174469518</v>
          </cell>
        </row>
        <row r="2922">
          <cell r="I2922">
            <v>812002172</v>
          </cell>
          <cell r="J2922" t="str">
            <v>INSTITUCION EDUCATIVA 19 DE MARZO</v>
          </cell>
          <cell r="K2922">
            <v>59231040</v>
          </cell>
        </row>
        <row r="2923">
          <cell r="I2923">
            <v>812002173</v>
          </cell>
          <cell r="J2923" t="str">
            <v>INSTITUCION EDUCATIVA ANTONIA SANTOS</v>
          </cell>
          <cell r="K2923">
            <v>154393269</v>
          </cell>
        </row>
        <row r="2924">
          <cell r="I2924">
            <v>812002174</v>
          </cell>
          <cell r="J2924" t="str">
            <v>INSTITUCION EDUCATIVA TECNICO AGROPECUARIO DORIBEL TARRA</v>
          </cell>
          <cell r="K2924">
            <v>145524942</v>
          </cell>
        </row>
        <row r="2925">
          <cell r="I2925">
            <v>812002186</v>
          </cell>
          <cell r="J2925" t="str">
            <v>INST.EDUC. LA ESPERANZA</v>
          </cell>
          <cell r="K2925">
            <v>66932054</v>
          </cell>
        </row>
        <row r="2926">
          <cell r="I2926">
            <v>812002193</v>
          </cell>
          <cell r="J2926" t="str">
            <v>INSTITUCIONE DUCATIVA EL DORADO</v>
          </cell>
          <cell r="K2926">
            <v>143731632</v>
          </cell>
        </row>
        <row r="2927">
          <cell r="I2927">
            <v>812002200</v>
          </cell>
          <cell r="J2927" t="str">
            <v>INSTITUCIONE DUCATIVA ROBINSON PITALUA</v>
          </cell>
          <cell r="K2927">
            <v>119660514</v>
          </cell>
        </row>
        <row r="2928">
          <cell r="I2928">
            <v>812002201</v>
          </cell>
          <cell r="J2928" t="str">
            <v>INSTITUCION EDUCATIVA RANCHO GRANDE</v>
          </cell>
          <cell r="K2928">
            <v>144593478</v>
          </cell>
        </row>
        <row r="2929">
          <cell r="I2929">
            <v>812002213</v>
          </cell>
          <cell r="J2929" t="str">
            <v>COLEGIO AMAURY GARCIA BURGOS</v>
          </cell>
          <cell r="K2929">
            <v>68125743</v>
          </cell>
        </row>
        <row r="2930">
          <cell r="I2930">
            <v>812002223</v>
          </cell>
          <cell r="J2930" t="str">
            <v>INSTITUCION EDUCATIVA LA RIBERA</v>
          </cell>
          <cell r="K2930">
            <v>106315685</v>
          </cell>
        </row>
        <row r="2931">
          <cell r="I2931">
            <v>812002224</v>
          </cell>
          <cell r="J2931" t="str">
            <v>CENTRO EDUCATIVO RURAL MIXTO DE MORROCOY</v>
          </cell>
          <cell r="K2931">
            <v>25856454</v>
          </cell>
        </row>
        <row r="2932">
          <cell r="I2932">
            <v>812002246</v>
          </cell>
          <cell r="J2932" t="str">
            <v>FONDO EDUCATIVO INSTITUCION EDUCATIVA JOSE MARIA CORDOBA</v>
          </cell>
          <cell r="K2932">
            <v>122717561</v>
          </cell>
        </row>
        <row r="2933">
          <cell r="I2933">
            <v>812002254</v>
          </cell>
          <cell r="J2933" t="str">
            <v>INSTITUCION EDUCATIVA SANTA TERESA</v>
          </cell>
          <cell r="K2933">
            <v>106930468</v>
          </cell>
        </row>
        <row r="2934">
          <cell r="I2934">
            <v>812002268</v>
          </cell>
          <cell r="J2934" t="str">
            <v>INSTITUCION EDUCATIVA LOS MORALES</v>
          </cell>
          <cell r="K2934">
            <v>104197857</v>
          </cell>
        </row>
        <row r="2935">
          <cell r="I2935">
            <v>812002279</v>
          </cell>
          <cell r="J2935" t="str">
            <v>centro educativo nueva esperanza No. 2</v>
          </cell>
          <cell r="K2935">
            <v>8415008</v>
          </cell>
        </row>
        <row r="2936">
          <cell r="I2936">
            <v>812002327</v>
          </cell>
          <cell r="J2936" t="str">
            <v>CENTRO EDUCATIVO SAN ISIDRO</v>
          </cell>
          <cell r="K2936">
            <v>14276349</v>
          </cell>
        </row>
        <row r="2937">
          <cell r="I2937">
            <v>812002336</v>
          </cell>
          <cell r="J2937" t="str">
            <v>INSTITUCION EDUCATIVA DIVINO NIÑO</v>
          </cell>
          <cell r="K2937">
            <v>35968086</v>
          </cell>
        </row>
        <row r="2938">
          <cell r="I2938">
            <v>812002337</v>
          </cell>
          <cell r="J2938" t="str">
            <v>INSTITUCION EDUCTIVA ALFONSO LOPEZ PUMARJO DE ARACHE</v>
          </cell>
          <cell r="K2938">
            <v>64650079</v>
          </cell>
        </row>
        <row r="2939">
          <cell r="I2939">
            <v>812002385</v>
          </cell>
          <cell r="J2939" t="str">
            <v>COLEGIO LA INMACULADA</v>
          </cell>
          <cell r="K2939">
            <v>141781497</v>
          </cell>
        </row>
        <row r="2940">
          <cell r="I2940">
            <v>812002388</v>
          </cell>
          <cell r="J2940" t="str">
            <v>FONDO DE FOMENTO DE SERVICIOS DOCENTE PIJIGUAYAL</v>
          </cell>
          <cell r="K2940">
            <v>62489863</v>
          </cell>
        </row>
        <row r="2941">
          <cell r="I2941">
            <v>812002397</v>
          </cell>
          <cell r="J2941" t="str">
            <v>INSTITUCION EDUCATIVA BUENOS AIRES</v>
          </cell>
          <cell r="K2941">
            <v>93637951</v>
          </cell>
        </row>
        <row r="2942">
          <cell r="I2942">
            <v>812002412</v>
          </cell>
          <cell r="J2942" t="str">
            <v>INSTITUCION EDUCATIVA CACAOTAL</v>
          </cell>
          <cell r="K2942">
            <v>71416185</v>
          </cell>
        </row>
        <row r="2943">
          <cell r="I2943">
            <v>812002451</v>
          </cell>
          <cell r="J2943" t="str">
            <v>INSTITUCION EDUCATIVA JOSE MARIA BERASTEGUI</v>
          </cell>
          <cell r="K2943">
            <v>106697741</v>
          </cell>
        </row>
        <row r="2944">
          <cell r="I2944">
            <v>812002468</v>
          </cell>
          <cell r="J2944" t="str">
            <v>COLEGIO DEPARTAMENTAL MADRE LAURA</v>
          </cell>
          <cell r="K2944">
            <v>107469540</v>
          </cell>
        </row>
        <row r="2945">
          <cell r="I2945">
            <v>812002558</v>
          </cell>
          <cell r="J2945" t="str">
            <v>IE GERMAN VARGAS CANTILLO</v>
          </cell>
          <cell r="K2945">
            <v>60471760</v>
          </cell>
        </row>
        <row r="2946">
          <cell r="I2946">
            <v>812002598</v>
          </cell>
          <cell r="J2946" t="str">
            <v>INSTITUCION EDUCATIVA GERMAN GOMEZ PELAEZ</v>
          </cell>
          <cell r="K2946">
            <v>167928592</v>
          </cell>
        </row>
        <row r="2947">
          <cell r="I2947">
            <v>812002605</v>
          </cell>
          <cell r="J2947" t="str">
            <v>INSTITUCION EDUCATIVA PASO NUEVO</v>
          </cell>
          <cell r="K2947">
            <v>85162542</v>
          </cell>
        </row>
        <row r="2948">
          <cell r="I2948">
            <v>812002638</v>
          </cell>
          <cell r="J2948" t="str">
            <v>COLEGIO DE BACHILLERATO MIXTO GUACHARACAL</v>
          </cell>
          <cell r="K2948">
            <v>47274763</v>
          </cell>
        </row>
        <row r="2949">
          <cell r="I2949">
            <v>812002689</v>
          </cell>
          <cell r="J2949" t="str">
            <v>FONDO DE SERVICIO EDUCATIVO</v>
          </cell>
          <cell r="K2949">
            <v>48631022</v>
          </cell>
        </row>
        <row r="2950">
          <cell r="I2950">
            <v>812002702</v>
          </cell>
          <cell r="J2950" t="str">
            <v>INSTITUCION EDUCATIVA SEBASTIAN SANCHEZ</v>
          </cell>
          <cell r="K2950">
            <v>57626163</v>
          </cell>
        </row>
        <row r="2951">
          <cell r="I2951">
            <v>812002723</v>
          </cell>
          <cell r="J2951" t="str">
            <v>CENTRO EDUCATIVO RURAL CULEBRA ARRIBA</v>
          </cell>
          <cell r="K2951">
            <v>19718996</v>
          </cell>
        </row>
        <row r="2952">
          <cell r="I2952">
            <v>812002729</v>
          </cell>
          <cell r="J2952" t="str">
            <v>INSTITUCION EDUCATIVA PLAZA BONITA</v>
          </cell>
          <cell r="K2952">
            <v>63401472</v>
          </cell>
        </row>
        <row r="2953">
          <cell r="I2953">
            <v>812002798</v>
          </cell>
          <cell r="J2953" t="str">
            <v>INSTITUCION EDUCATIVA RAFAEL NU?EZ</v>
          </cell>
          <cell r="K2953">
            <v>109540204</v>
          </cell>
        </row>
        <row r="2954">
          <cell r="I2954">
            <v>812002842</v>
          </cell>
          <cell r="J2954" t="str">
            <v>INST.EDUCATIVA TECNICA ALVARO ULCUE</v>
          </cell>
          <cell r="K2954">
            <v>200708963</v>
          </cell>
        </row>
        <row r="2955">
          <cell r="I2955">
            <v>812002846</v>
          </cell>
          <cell r="J2955" t="str">
            <v>INSTITUCION EDUCATIVA LORGIA DE ARCO</v>
          </cell>
          <cell r="K2955">
            <v>52661172</v>
          </cell>
        </row>
        <row r="2956">
          <cell r="I2956">
            <v>812002919</v>
          </cell>
          <cell r="J2956" t="str">
            <v>FONDO DOCENTE ESCUELA VILLA FATIMA</v>
          </cell>
          <cell r="K2956">
            <v>70947769</v>
          </cell>
        </row>
        <row r="2957">
          <cell r="I2957">
            <v>812002966</v>
          </cell>
          <cell r="J2957" t="str">
            <v>centro educativo aguas vivas</v>
          </cell>
          <cell r="K2957">
            <v>34243908</v>
          </cell>
        </row>
        <row r="2958">
          <cell r="I2958">
            <v>812002969</v>
          </cell>
          <cell r="J2958" t="str">
            <v>CENTRO EDUCATIVO EL CHIQUI</v>
          </cell>
          <cell r="K2958">
            <v>20881639</v>
          </cell>
        </row>
        <row r="2959">
          <cell r="I2959">
            <v>812003022</v>
          </cell>
          <cell r="J2959" t="str">
            <v>INSTITUCION EDUCATIVA SANTA ISABEL</v>
          </cell>
          <cell r="K2959">
            <v>63388645</v>
          </cell>
        </row>
        <row r="2960">
          <cell r="I2960">
            <v>812003023</v>
          </cell>
          <cell r="J2960" t="str">
            <v>INSTITUCION EDUCATIVA SAN ANTERITO</v>
          </cell>
          <cell r="K2960">
            <v>74683765</v>
          </cell>
        </row>
        <row r="2961">
          <cell r="I2961">
            <v>812003040</v>
          </cell>
          <cell r="J2961" t="str">
            <v>COL ROMAN CHICA OLAYA</v>
          </cell>
          <cell r="K2961">
            <v>110383729</v>
          </cell>
        </row>
        <row r="2962">
          <cell r="I2962">
            <v>812003051</v>
          </cell>
          <cell r="J2962" t="str">
            <v>INSTITUCION EDUCATIVA SAN ANTERITO</v>
          </cell>
          <cell r="K2962">
            <v>50986267</v>
          </cell>
        </row>
        <row r="2963">
          <cell r="I2963">
            <v>812003058</v>
          </cell>
          <cell r="J2963" t="str">
            <v>centro docente mixto el dividivi</v>
          </cell>
          <cell r="K2963">
            <v>31861635</v>
          </cell>
        </row>
        <row r="2964">
          <cell r="I2964">
            <v>812003091</v>
          </cell>
          <cell r="J2964" t="str">
            <v>INSTITUCION EDUCATIVA INSTITUTO  TECNICO AGRICOLA FONDOS DE SERVICIOS EDUCATIVOS</v>
          </cell>
          <cell r="K2964">
            <v>134579548</v>
          </cell>
        </row>
        <row r="2965">
          <cell r="I2965">
            <v>812003099</v>
          </cell>
          <cell r="J2965" t="str">
            <v>INSTITUCION EDUCATIVA SANTA ROSA DE LIMA</v>
          </cell>
          <cell r="K2965">
            <v>99058033</v>
          </cell>
        </row>
        <row r="2966">
          <cell r="I2966">
            <v>812003178</v>
          </cell>
          <cell r="J2966" t="str">
            <v>FSE CAMINO REAL</v>
          </cell>
          <cell r="K2966">
            <v>27381900</v>
          </cell>
        </row>
        <row r="2967">
          <cell r="I2967">
            <v>812003213</v>
          </cell>
          <cell r="J2967" t="str">
            <v>IE SEVERA</v>
          </cell>
          <cell r="K2967">
            <v>46294172</v>
          </cell>
        </row>
        <row r="2968">
          <cell r="I2968">
            <v>812003217</v>
          </cell>
          <cell r="J2968" t="str">
            <v>I.E. TOMAS SANTOS</v>
          </cell>
          <cell r="K2968">
            <v>104309357</v>
          </cell>
        </row>
        <row r="2969">
          <cell r="I2969">
            <v>812003219</v>
          </cell>
          <cell r="J2969" t="str">
            <v>INSTITUCIÓN EDUCATIVA SANTA CRUZ</v>
          </cell>
          <cell r="K2969">
            <v>134702027</v>
          </cell>
        </row>
        <row r="2970">
          <cell r="I2970">
            <v>812003261</v>
          </cell>
          <cell r="J2970" t="str">
            <v>INSTITUCION EDUCATIVA EUGENIO SANCHEZ CARDENAS</v>
          </cell>
          <cell r="K2970">
            <v>96191269</v>
          </cell>
        </row>
        <row r="2971">
          <cell r="I2971">
            <v>812003277</v>
          </cell>
          <cell r="J2971" t="str">
            <v>INSTITUCION EDUCATIVA TECNICO AGROPECUARIO CLARET</v>
          </cell>
          <cell r="K2971">
            <v>100754280</v>
          </cell>
        </row>
        <row r="2972">
          <cell r="I2972">
            <v>812003286</v>
          </cell>
          <cell r="J2972" t="str">
            <v>INSTITUCION EDUCATIVA TECNICA EN PROMOCION SOCIAL EL ROSARIO</v>
          </cell>
          <cell r="K2972">
            <v>94220918</v>
          </cell>
        </row>
        <row r="2973">
          <cell r="I2973">
            <v>812003485</v>
          </cell>
          <cell r="J2973" t="str">
            <v>INSTITUCION EDUCATIVA ALFONSO SPATH SPATH</v>
          </cell>
          <cell r="K2973">
            <v>130021292</v>
          </cell>
        </row>
        <row r="2974">
          <cell r="I2974">
            <v>812003614</v>
          </cell>
          <cell r="J2974" t="str">
            <v>FONDO SERVICO EDUCATIVO MIGUEL ANTONIO CARO</v>
          </cell>
          <cell r="K2974">
            <v>91594569</v>
          </cell>
        </row>
        <row r="2975">
          <cell r="I2975">
            <v>812003657</v>
          </cell>
          <cell r="J2975" t="str">
            <v>intitucion educativa rodania</v>
          </cell>
          <cell r="K2975">
            <v>68533147</v>
          </cell>
        </row>
        <row r="2976">
          <cell r="I2976">
            <v>812003677</v>
          </cell>
          <cell r="J2976" t="str">
            <v>INST.EDUC.SERGIO MARTINEZ</v>
          </cell>
          <cell r="K2976">
            <v>89748174</v>
          </cell>
        </row>
        <row r="2977">
          <cell r="I2977">
            <v>812003804</v>
          </cell>
          <cell r="J2977" t="str">
            <v>INST.EDUC.NTRA SRA LA CANDELARIA</v>
          </cell>
          <cell r="K2977">
            <v>141393369</v>
          </cell>
        </row>
        <row r="2978">
          <cell r="I2978">
            <v>812003905</v>
          </cell>
          <cell r="J2978" t="str">
            <v>INSTITUCION EDUCATYIVA NUESTRA SEÑORA DEL ROSARIO</v>
          </cell>
          <cell r="K2978">
            <v>98549032</v>
          </cell>
        </row>
        <row r="2979">
          <cell r="I2979">
            <v>812003975</v>
          </cell>
          <cell r="J2979" t="str">
            <v>CENTRO EDUCATIVO LAS NUBES</v>
          </cell>
          <cell r="K2979">
            <v>17801126</v>
          </cell>
        </row>
        <row r="2980">
          <cell r="I2980">
            <v>812004021</v>
          </cell>
          <cell r="J2980" t="str">
            <v>CENTRO EDUCATIVO SANTA ROSA</v>
          </cell>
          <cell r="K2980">
            <v>29785107</v>
          </cell>
        </row>
        <row r="2981">
          <cell r="I2981">
            <v>812004059</v>
          </cell>
          <cell r="J2981" t="str">
            <v>COLEGIO MUINICIPAL CATLINO GULFO</v>
          </cell>
          <cell r="K2981">
            <v>67072459</v>
          </cell>
        </row>
        <row r="2982">
          <cell r="I2982">
            <v>812004065</v>
          </cell>
          <cell r="J2982" t="str">
            <v>INSTITUCION EDUCATIVA LACIDES C. BERSAL</v>
          </cell>
          <cell r="K2982">
            <v>195109365</v>
          </cell>
        </row>
        <row r="2983">
          <cell r="I2983">
            <v>812004078</v>
          </cell>
          <cell r="J2983" t="str">
            <v>FONDO DE SERVICIO EDUCATIVO</v>
          </cell>
          <cell r="K2983">
            <v>53737483</v>
          </cell>
        </row>
        <row r="2984">
          <cell r="I2984">
            <v>812004091</v>
          </cell>
          <cell r="J2984" t="str">
            <v>INST.EDUC.ALBERTO ALZATE PATIÑO</v>
          </cell>
          <cell r="K2984">
            <v>67576199</v>
          </cell>
        </row>
        <row r="2985">
          <cell r="I2985">
            <v>812004134</v>
          </cell>
          <cell r="J2985" t="str">
            <v>INSTITUCION EDUCATIVA SAN JUAN BAUTISTA</v>
          </cell>
          <cell r="K2985">
            <v>39110323</v>
          </cell>
        </row>
        <row r="2986">
          <cell r="I2986">
            <v>812004354</v>
          </cell>
          <cell r="J2986" t="str">
            <v>INSTITUCION EDUCATIVA BESITO BOLAO</v>
          </cell>
          <cell r="K2986">
            <v>68406021</v>
          </cell>
        </row>
        <row r="2987">
          <cell r="I2987">
            <v>812004660</v>
          </cell>
          <cell r="J2987" t="str">
            <v>intitucion educativa arenas del norte</v>
          </cell>
          <cell r="K2987">
            <v>18001658</v>
          </cell>
        </row>
        <row r="2988">
          <cell r="I2988">
            <v>812004673</v>
          </cell>
          <cell r="J2988" t="str">
            <v>C.EDUC.LOMA AZUL</v>
          </cell>
          <cell r="K2988">
            <v>25969878</v>
          </cell>
        </row>
        <row r="2989">
          <cell r="I2989">
            <v>812004776</v>
          </cell>
          <cell r="J2989" t="str">
            <v>INST EDU BELEN</v>
          </cell>
          <cell r="K2989">
            <v>258200119</v>
          </cell>
        </row>
        <row r="2990">
          <cell r="I2990">
            <v>812004787</v>
          </cell>
          <cell r="J2990" t="str">
            <v>C.EDUC.LA FORTUNA</v>
          </cell>
          <cell r="K2990">
            <v>24914174</v>
          </cell>
        </row>
        <row r="2991">
          <cell r="I2991">
            <v>812004810</v>
          </cell>
          <cell r="J2991" t="str">
            <v>INS EDU BUENOS AIRES</v>
          </cell>
          <cell r="K2991">
            <v>34688441</v>
          </cell>
        </row>
        <row r="2992">
          <cell r="I2992">
            <v>812004839</v>
          </cell>
          <cell r="J2992" t="str">
            <v>INSTITUCION EDUCATIVA EL PALMAR</v>
          </cell>
          <cell r="K2992">
            <v>50895631</v>
          </cell>
        </row>
        <row r="2993">
          <cell r="I2993">
            <v>812004844</v>
          </cell>
          <cell r="J2993" t="str">
            <v>INST. EDC. JOSE MARIA CORDOBA</v>
          </cell>
          <cell r="K2993">
            <v>34509624</v>
          </cell>
        </row>
        <row r="2994">
          <cell r="I2994">
            <v>812004893</v>
          </cell>
          <cell r="J2994" t="str">
            <v>INSTITUCION EDUCATIVACOLEGIO EL CARITO</v>
          </cell>
          <cell r="K2994">
            <v>77428436</v>
          </cell>
        </row>
        <row r="2995">
          <cell r="I2995">
            <v>812004894</v>
          </cell>
          <cell r="J2995" t="str">
            <v>INSITUCION EDUCATIVA PUEBLO BUJO</v>
          </cell>
          <cell r="K2995">
            <v>76536145</v>
          </cell>
        </row>
        <row r="2996">
          <cell r="I2996">
            <v>812004980</v>
          </cell>
          <cell r="J2996" t="str">
            <v>INSTITUCION EDUCATIVA SAN JOSE</v>
          </cell>
          <cell r="K2996">
            <v>23920597</v>
          </cell>
        </row>
        <row r="2997">
          <cell r="I2997">
            <v>812005132</v>
          </cell>
          <cell r="J2997" t="str">
            <v>INSTITUCION EDUCATIVA JUAN DE JESUS NARVAEZ GIRALDO</v>
          </cell>
          <cell r="K2997">
            <v>41512694</v>
          </cell>
        </row>
        <row r="2998">
          <cell r="I2998">
            <v>812005140</v>
          </cell>
          <cell r="J2998" t="str">
            <v>C.EDUC.PROVIDENCIA</v>
          </cell>
          <cell r="K2998">
            <v>45272904</v>
          </cell>
        </row>
        <row r="2999">
          <cell r="I2999">
            <v>812005208</v>
          </cell>
          <cell r="J2999" t="str">
            <v>FONDOS DOCENTES COLSAJON</v>
          </cell>
          <cell r="K2999">
            <v>78004996</v>
          </cell>
        </row>
        <row r="3000">
          <cell r="I3000">
            <v>812005370</v>
          </cell>
          <cell r="J3000" t="str">
            <v>INSTITUCION EDUCATIVA LETICIA</v>
          </cell>
          <cell r="K3000">
            <v>88243060</v>
          </cell>
        </row>
        <row r="3001">
          <cell r="I3001">
            <v>812005573</v>
          </cell>
          <cell r="J3001" t="str">
            <v>INSTITUCION EDUCATIVA ASERRADERO</v>
          </cell>
          <cell r="K3001">
            <v>74215648</v>
          </cell>
        </row>
        <row r="3002">
          <cell r="I3002">
            <v>812005631</v>
          </cell>
          <cell r="J3002" t="str">
            <v>INSTITUCION EDUCATIVA SIMON BOLIVAR</v>
          </cell>
          <cell r="K3002">
            <v>26185567</v>
          </cell>
        </row>
        <row r="3003">
          <cell r="I3003">
            <v>812005686</v>
          </cell>
          <cell r="J3003" t="str">
            <v>CEN. EDC. DULCE NOMBRE DE JESUS</v>
          </cell>
          <cell r="K3003">
            <v>11087447</v>
          </cell>
        </row>
        <row r="3004">
          <cell r="I3004">
            <v>812005774</v>
          </cell>
          <cell r="J3004" t="str">
            <v>IE BENICIO AGUDELO</v>
          </cell>
          <cell r="K3004">
            <v>122918276</v>
          </cell>
        </row>
        <row r="3005">
          <cell r="I3005">
            <v>812005963</v>
          </cell>
          <cell r="J3005" t="str">
            <v>COLEGIO NACIONALIZADO JUAN XXIII</v>
          </cell>
          <cell r="K3005">
            <v>85744997</v>
          </cell>
        </row>
        <row r="3006">
          <cell r="I3006">
            <v>812005999</v>
          </cell>
          <cell r="J3006" t="str">
            <v>INSTITUCION EDUCATIVA SAN LUIS CAMPO ALEGRE</v>
          </cell>
          <cell r="K3006">
            <v>52974359</v>
          </cell>
        </row>
        <row r="3007">
          <cell r="I3007">
            <v>812006017</v>
          </cell>
          <cell r="J3007" t="str">
            <v>CENTRO EDUCATIVO CASTILLERAL</v>
          </cell>
          <cell r="K3007">
            <v>38179709</v>
          </cell>
        </row>
        <row r="3008">
          <cell r="I3008">
            <v>812006021</v>
          </cell>
          <cell r="J3008" t="str">
            <v>CENTRO EDUCATIVO VILLA CONCEPCION</v>
          </cell>
          <cell r="K3008">
            <v>37014980</v>
          </cell>
        </row>
        <row r="3009">
          <cell r="I3009">
            <v>812006036</v>
          </cell>
          <cell r="J3009" t="str">
            <v>CENTRO EDUCATIVO MATA DE MAÑA MARGEN DERECHA</v>
          </cell>
          <cell r="K3009">
            <v>12126162</v>
          </cell>
        </row>
        <row r="3010">
          <cell r="I3010">
            <v>812006056</v>
          </cell>
          <cell r="J3010" t="str">
            <v>INSTITUCION EDUCATIVA JOSE ISABEL GONZALEZ</v>
          </cell>
          <cell r="K3010">
            <v>45515344</v>
          </cell>
        </row>
        <row r="3011">
          <cell r="I3011">
            <v>812006059</v>
          </cell>
          <cell r="J3011" t="str">
            <v>CENTRO EDUCATIVO COTOCA ARRIBA</v>
          </cell>
          <cell r="K3011">
            <v>20104730</v>
          </cell>
        </row>
        <row r="3012">
          <cell r="I3012">
            <v>812006060</v>
          </cell>
          <cell r="J3012" t="str">
            <v>CENTRO  EDUCATIVO LA PEINADA</v>
          </cell>
          <cell r="K3012">
            <v>25360586</v>
          </cell>
        </row>
        <row r="3013">
          <cell r="I3013">
            <v>812006065</v>
          </cell>
          <cell r="J3013" t="str">
            <v>CENTRO EDUCATIVO CAMPANO DE LOS INDIOS</v>
          </cell>
          <cell r="K3013">
            <v>18559084</v>
          </cell>
        </row>
        <row r="3014">
          <cell r="I3014">
            <v>812006071</v>
          </cell>
          <cell r="J3014" t="str">
            <v>CENTRO EDUCATIVO EL LAZO</v>
          </cell>
          <cell r="K3014">
            <v>33211526</v>
          </cell>
        </row>
        <row r="3015">
          <cell r="I3015">
            <v>812006076</v>
          </cell>
          <cell r="J3015" t="str">
            <v>INSTITUCION EDUCATIVA CANDELARIA</v>
          </cell>
          <cell r="K3015">
            <v>47620700</v>
          </cell>
        </row>
        <row r="3016">
          <cell r="I3016">
            <v>812006084</v>
          </cell>
          <cell r="J3016" t="str">
            <v>CENTRO EDUCATIVO LAS CRUCES</v>
          </cell>
          <cell r="K3016">
            <v>26298789</v>
          </cell>
        </row>
        <row r="3017">
          <cell r="I3017">
            <v>812006085</v>
          </cell>
          <cell r="J3017" t="str">
            <v>CENTRO EDUCATIVO ANTONIO SANCHEZ GUTIERREZ</v>
          </cell>
          <cell r="K3017">
            <v>20900476</v>
          </cell>
        </row>
        <row r="3018">
          <cell r="I3018">
            <v>812006104</v>
          </cell>
          <cell r="J3018" t="str">
            <v>INSTITUCION EDUCATIVA LAS FLOREZ</v>
          </cell>
          <cell r="K3018">
            <v>74122546</v>
          </cell>
        </row>
        <row r="3019">
          <cell r="I3019">
            <v>812006125</v>
          </cell>
          <cell r="J3019" t="str">
            <v>INSTITUCION EDUCATIVA LOS GOMEZ MARGEN IZQUIERDA</v>
          </cell>
          <cell r="K3019">
            <v>44393714</v>
          </cell>
        </row>
        <row r="3020">
          <cell r="I3020">
            <v>812006130</v>
          </cell>
          <cell r="J3020" t="str">
            <v>CENTRO EDUCATIVO LAS CAMORRAS</v>
          </cell>
          <cell r="K3020">
            <v>15628444</v>
          </cell>
        </row>
        <row r="3021">
          <cell r="I3021">
            <v>812006187</v>
          </cell>
          <cell r="J3021" t="str">
            <v>INSTITUCION EDUCATIVA REMOLINO</v>
          </cell>
          <cell r="K3021">
            <v>38649872</v>
          </cell>
        </row>
        <row r="3022">
          <cell r="I3022">
            <v>812006256</v>
          </cell>
          <cell r="J3022" t="str">
            <v>CENTRO EDUCATIVO COTOCA ABAJO</v>
          </cell>
          <cell r="K3022">
            <v>10855481</v>
          </cell>
        </row>
        <row r="3023">
          <cell r="I3023">
            <v>812006345</v>
          </cell>
          <cell r="J3023" t="str">
            <v>INSTITUCION EDUCATIVA EL SIGLO</v>
          </cell>
          <cell r="K3023">
            <v>87473935</v>
          </cell>
        </row>
        <row r="3024">
          <cell r="I3024">
            <v>812006346</v>
          </cell>
          <cell r="J3024" t="str">
            <v>CENTRO DOCENTE RURAL LAS PALMITAS</v>
          </cell>
          <cell r="K3024">
            <v>41154690</v>
          </cell>
        </row>
        <row r="3025">
          <cell r="I3025">
            <v>812006427</v>
          </cell>
          <cell r="J3025" t="str">
            <v>SAN FRASCISCO DE ASIS DE FE Y ALEGRIA</v>
          </cell>
          <cell r="K3025">
            <v>73127762</v>
          </cell>
        </row>
        <row r="3026">
          <cell r="I3026">
            <v>812006545</v>
          </cell>
          <cell r="J3026" t="str">
            <v>S D FTO DE SERVICIOS DOCENTES MADRE BERNARDA</v>
          </cell>
          <cell r="K3026">
            <v>183582348</v>
          </cell>
        </row>
        <row r="3027">
          <cell r="I3027">
            <v>812006598</v>
          </cell>
          <cell r="J3027" t="str">
            <v>INSTITUCION EDUCATIVA BASICA RURAL SAN JOSE DE JARAQUIEL</v>
          </cell>
          <cell r="K3027">
            <v>50761418</v>
          </cell>
        </row>
        <row r="3028">
          <cell r="I3028">
            <v>812006648</v>
          </cell>
          <cell r="J3028" t="str">
            <v>INSTITUCION EDUCATIVA JESUS DE NAZARETH</v>
          </cell>
          <cell r="K3028">
            <v>98971148</v>
          </cell>
        </row>
        <row r="3029">
          <cell r="I3029">
            <v>812006805</v>
          </cell>
          <cell r="J3029" t="str">
            <v>INSTITUCION EDUCATIVA ENRIQUE OLAYA HERRERA</v>
          </cell>
          <cell r="K3029">
            <v>80496194</v>
          </cell>
        </row>
        <row r="3030">
          <cell r="I3030">
            <v>812007020</v>
          </cell>
          <cell r="J3030" t="str">
            <v>INSTITUCION EDUCATIVA FE Y ALEGRIA SANTIAGO CANABAL</v>
          </cell>
          <cell r="K3030">
            <v>89011523</v>
          </cell>
        </row>
        <row r="3031">
          <cell r="I3031">
            <v>812007062</v>
          </cell>
          <cell r="J3031" t="str">
            <v>INST.EDUC.ANTONIO RICAURTE</v>
          </cell>
          <cell r="K3031">
            <v>39499363</v>
          </cell>
        </row>
        <row r="3032">
          <cell r="I3032">
            <v>812007086</v>
          </cell>
          <cell r="J3032" t="str">
            <v>INSTITUCION EDUCATIVA SAN JOSE DE LA GUNETA</v>
          </cell>
          <cell r="K3032">
            <v>66358422</v>
          </cell>
        </row>
        <row r="3033">
          <cell r="I3033">
            <v>812007130</v>
          </cell>
          <cell r="J3033" t="str">
            <v>INSTITUCION EDUCATIVA SAN JOSE DEL PANTANO</v>
          </cell>
          <cell r="K3033">
            <v>50279380</v>
          </cell>
        </row>
        <row r="3034">
          <cell r="I3034">
            <v>812007284</v>
          </cell>
          <cell r="J3034" t="str">
            <v>institucion educativa las llanadas</v>
          </cell>
          <cell r="K3034">
            <v>77491572</v>
          </cell>
        </row>
        <row r="3035">
          <cell r="I3035">
            <v>812007305</v>
          </cell>
          <cell r="J3035" t="str">
            <v>institucion educativa la ye</v>
          </cell>
          <cell r="K3035">
            <v>117516026</v>
          </cell>
        </row>
        <row r="3036">
          <cell r="I3036">
            <v>812007342</v>
          </cell>
          <cell r="J3036" t="str">
            <v>INSTITUCION EDUCATIVA AUGUSTO ESPINOSA VALDERRAMA</v>
          </cell>
          <cell r="K3036">
            <v>68025478</v>
          </cell>
        </row>
        <row r="3037">
          <cell r="I3037">
            <v>812007362</v>
          </cell>
          <cell r="J3037" t="str">
            <v>INSTITUCION EDUCATIVA BAJO GRANDE</v>
          </cell>
          <cell r="K3037">
            <v>46547484</v>
          </cell>
        </row>
        <row r="3038">
          <cell r="I3038">
            <v>812007364</v>
          </cell>
          <cell r="J3038" t="str">
            <v>INST. EDU. SAN JOSE DE URE</v>
          </cell>
          <cell r="K3038">
            <v>108515751</v>
          </cell>
        </row>
        <row r="3039">
          <cell r="I3039">
            <v>812007420</v>
          </cell>
          <cell r="J3039" t="str">
            <v>CENTRO EDUCATIVO SAN JOSE</v>
          </cell>
          <cell r="K3039">
            <v>13860878</v>
          </cell>
        </row>
        <row r="3040">
          <cell r="I3040">
            <v>812007435</v>
          </cell>
          <cell r="J3040" t="str">
            <v>CENTRO EDUCATIVO EL SILENCIO</v>
          </cell>
          <cell r="K3040">
            <v>41914795</v>
          </cell>
        </row>
        <row r="3041">
          <cell r="I3041">
            <v>812007440</v>
          </cell>
          <cell r="J3041" t="str">
            <v>CENTRO EDUCATIVO PUEBLITO SUR</v>
          </cell>
          <cell r="K3041">
            <v>52981185</v>
          </cell>
        </row>
        <row r="3042">
          <cell r="I3042">
            <v>812007480</v>
          </cell>
          <cell r="J3042" t="str">
            <v>INSTITUCION EDUCATIVA SANTA TERESITA</v>
          </cell>
          <cell r="K3042">
            <v>117162375</v>
          </cell>
        </row>
        <row r="3043">
          <cell r="I3043">
            <v>812007508</v>
          </cell>
          <cell r="J3043" t="str">
            <v>INSTITUCION EDUCATIVA CAMPOBELLO</v>
          </cell>
          <cell r="K3043">
            <v>79767598</v>
          </cell>
        </row>
        <row r="3044">
          <cell r="I3044">
            <v>812007514</v>
          </cell>
          <cell r="J3044" t="str">
            <v>INSTITUCION EDUCATIVA BARBACOAS</v>
          </cell>
          <cell r="K3044">
            <v>40864851</v>
          </cell>
        </row>
        <row r="3045">
          <cell r="I3045">
            <v>812007524</v>
          </cell>
          <cell r="J3045" t="str">
            <v>INSTITUCION EDUCATIVA SAN CLEMETE</v>
          </cell>
          <cell r="K3045">
            <v>110958719</v>
          </cell>
        </row>
        <row r="3046">
          <cell r="I3046">
            <v>812007562</v>
          </cell>
          <cell r="J3046" t="str">
            <v>ASOC. CENTRO EDUCATIVO RURAL LA GRANJITA</v>
          </cell>
          <cell r="K3046">
            <v>16389574</v>
          </cell>
        </row>
        <row r="3047">
          <cell r="I3047">
            <v>812007581</v>
          </cell>
          <cell r="J3047" t="str">
            <v>INSTITUCION EDUCATIVA SAN SIMON</v>
          </cell>
          <cell r="K3047">
            <v>109164563</v>
          </cell>
        </row>
        <row r="3048">
          <cell r="I3048">
            <v>812007594</v>
          </cell>
          <cell r="J3048" t="str">
            <v>INSTITUCION EDUCATIVA EL PLANCHON</v>
          </cell>
          <cell r="K3048">
            <v>46400455</v>
          </cell>
        </row>
        <row r="3049">
          <cell r="I3049">
            <v>812007597</v>
          </cell>
          <cell r="J3049" t="str">
            <v>INSTITUCION EDUCATIVA FRANCISCO JOSE D ECALDAS</v>
          </cell>
          <cell r="K3049">
            <v>161776322</v>
          </cell>
        </row>
        <row r="3050">
          <cell r="I3050">
            <v>812007598</v>
          </cell>
          <cell r="J3050" t="str">
            <v>CENTRO EDUCATIVO BERLIN</v>
          </cell>
          <cell r="K3050">
            <v>37208804</v>
          </cell>
        </row>
        <row r="3051">
          <cell r="I3051">
            <v>812007599</v>
          </cell>
          <cell r="J3051" t="str">
            <v>INSTITUCION EDUCATIVA PALMIRA</v>
          </cell>
          <cell r="K3051">
            <v>75867942</v>
          </cell>
        </row>
        <row r="3052">
          <cell r="I3052">
            <v>812007606</v>
          </cell>
          <cell r="J3052" t="str">
            <v>INSTITUCION EDUCATIVA LOS VOLCANES</v>
          </cell>
          <cell r="K3052">
            <v>42203464</v>
          </cell>
        </row>
        <row r="3053">
          <cell r="I3053">
            <v>812007611</v>
          </cell>
          <cell r="J3053" t="str">
            <v>IE CRISTOBAL COLON CAMPANITO</v>
          </cell>
          <cell r="K3053">
            <v>53969428</v>
          </cell>
        </row>
        <row r="3054">
          <cell r="I3054">
            <v>812007673</v>
          </cell>
          <cell r="J3054" t="str">
            <v>INSTITUCION EDUCATIVA ANTONIO DE LA TORRE Y MIRANDA</v>
          </cell>
          <cell r="K3054">
            <v>138296446</v>
          </cell>
        </row>
        <row r="3055">
          <cell r="I3055">
            <v>812007686</v>
          </cell>
          <cell r="J3055" t="str">
            <v>CENTRO EDUCATIVO RURAL NUEVA PLATANERA</v>
          </cell>
          <cell r="K3055">
            <v>35525864</v>
          </cell>
        </row>
        <row r="3056">
          <cell r="I3056">
            <v>812007743</v>
          </cell>
          <cell r="J3056" t="str">
            <v>I.E. INMACULADA CARRIZOLA</v>
          </cell>
          <cell r="K3056">
            <v>41561970</v>
          </cell>
        </row>
        <row r="3057">
          <cell r="I3057">
            <v>812007746</v>
          </cell>
          <cell r="J3057" t="str">
            <v>INSTITUCION EDUCATIVA VILLA CIELO</v>
          </cell>
          <cell r="K3057">
            <v>141349060</v>
          </cell>
        </row>
        <row r="3058">
          <cell r="I3058">
            <v>812007814</v>
          </cell>
          <cell r="J3058" t="str">
            <v>I.E. SAN LUIS DE SEVILLA</v>
          </cell>
          <cell r="K3058">
            <v>41222532</v>
          </cell>
        </row>
        <row r="3059">
          <cell r="I3059">
            <v>812007817</v>
          </cell>
          <cell r="J3059" t="str">
            <v>INSTITUCION EDUCATIVA VICENTE DIAZ</v>
          </cell>
          <cell r="K3059">
            <v>23766219</v>
          </cell>
        </row>
        <row r="3060">
          <cell r="I3060">
            <v>812007867</v>
          </cell>
          <cell r="J3060" t="str">
            <v>INSTITUCION EDUCATIVA LUIS FERNANDO GONZALEZ BOTERO</v>
          </cell>
          <cell r="K3060">
            <v>74298192</v>
          </cell>
        </row>
        <row r="3061">
          <cell r="I3061">
            <v>812007868</v>
          </cell>
          <cell r="J3061" t="str">
            <v>centro educativo santa catalina</v>
          </cell>
          <cell r="K3061">
            <v>14268644</v>
          </cell>
        </row>
        <row r="3062">
          <cell r="I3062">
            <v>812007889</v>
          </cell>
          <cell r="J3062" t="str">
            <v>INSTITUCION EDUCATIVA SANTA FE RALITO</v>
          </cell>
          <cell r="K3062">
            <v>51144491</v>
          </cell>
        </row>
        <row r="3063">
          <cell r="I3063">
            <v>812007891</v>
          </cell>
          <cell r="J3063" t="str">
            <v>INSTITUCION EDUCATIVA BETANIA</v>
          </cell>
          <cell r="K3063">
            <v>51569833</v>
          </cell>
        </row>
        <row r="3064">
          <cell r="I3064">
            <v>812007900</v>
          </cell>
          <cell r="J3064" t="str">
            <v>INSTITUCION EDUCATIVA PATIO BONITO</v>
          </cell>
          <cell r="K3064">
            <v>90745843</v>
          </cell>
        </row>
        <row r="3065">
          <cell r="I3065">
            <v>812007916</v>
          </cell>
          <cell r="J3065" t="str">
            <v>CENTRO EDUCATIVO RURAL SAN ANTONIO</v>
          </cell>
          <cell r="K3065">
            <v>30520870</v>
          </cell>
        </row>
        <row r="3066">
          <cell r="I3066">
            <v>812007977</v>
          </cell>
          <cell r="J3066" t="str">
            <v>centro educativo los galanes</v>
          </cell>
          <cell r="K3066">
            <v>28509984</v>
          </cell>
        </row>
        <row r="3067">
          <cell r="I3067">
            <v>812008015</v>
          </cell>
          <cell r="J3067" t="str">
            <v>INSTITUCION EDUCATIVA LAS DELICIAS</v>
          </cell>
          <cell r="K3067">
            <v>78234348</v>
          </cell>
        </row>
        <row r="3068">
          <cell r="I3068">
            <v>812008061</v>
          </cell>
          <cell r="J3068" t="str">
            <v>centro educativo el crucero</v>
          </cell>
          <cell r="K3068">
            <v>75467018</v>
          </cell>
        </row>
        <row r="3069">
          <cell r="I3069">
            <v>812008106</v>
          </cell>
          <cell r="J3069" t="str">
            <v>CENT EDUC MADRE LAURA</v>
          </cell>
          <cell r="K3069">
            <v>27964994</v>
          </cell>
        </row>
        <row r="3070">
          <cell r="I3070">
            <v>812008107</v>
          </cell>
          <cell r="J3070" t="str">
            <v>INSTITUCION EDUCATIVA ESTEFANIA MARIMON</v>
          </cell>
          <cell r="K3070">
            <v>28078483</v>
          </cell>
        </row>
        <row r="3071">
          <cell r="I3071">
            <v>812008168</v>
          </cell>
          <cell r="J3071" t="str">
            <v>centro educativo el escobar</v>
          </cell>
          <cell r="K3071">
            <v>19168635</v>
          </cell>
        </row>
        <row r="3072">
          <cell r="I3072">
            <v>812008178</v>
          </cell>
          <cell r="J3072" t="str">
            <v>INSTITUCION EDUCATIVA 1 DE MAYO</v>
          </cell>
          <cell r="K3072">
            <v>46470372</v>
          </cell>
        </row>
        <row r="3073">
          <cell r="I3073">
            <v>812008180</v>
          </cell>
          <cell r="J3073" t="str">
            <v>INSTITUCION EDUCATIVA LOS GARZONES</v>
          </cell>
          <cell r="K3073">
            <v>131177643</v>
          </cell>
        </row>
        <row r="3074">
          <cell r="I3074">
            <v>812008181</v>
          </cell>
          <cell r="J3074" t="str">
            <v>centro educativo pisaflores</v>
          </cell>
          <cell r="K3074">
            <v>8005224</v>
          </cell>
        </row>
        <row r="3075">
          <cell r="I3075">
            <v>812008207</v>
          </cell>
          <cell r="J3075" t="str">
            <v>CENTRO EDUCATIVO RURAL SAGRADO CORAZON DE JESUS</v>
          </cell>
          <cell r="K3075">
            <v>55893335</v>
          </cell>
        </row>
        <row r="3076">
          <cell r="I3076">
            <v>812008225</v>
          </cell>
          <cell r="J3076" t="str">
            <v>CENTRO EDUCATIVO LAS NUBES</v>
          </cell>
          <cell r="K3076">
            <v>29032786</v>
          </cell>
        </row>
        <row r="3077">
          <cell r="I3077">
            <v>812008226</v>
          </cell>
          <cell r="J3077" t="str">
            <v>INSTITUCION EDUCATIVA MATA DE MAIZ</v>
          </cell>
          <cell r="K3077">
            <v>56487464</v>
          </cell>
        </row>
        <row r="3078">
          <cell r="I3078">
            <v>812008229</v>
          </cell>
          <cell r="J3078" t="str">
            <v>CENTRO EDUCATIVO NUESTRA SEÑORA DEL CARMEN</v>
          </cell>
          <cell r="K3078">
            <v>40256171</v>
          </cell>
        </row>
        <row r="3079">
          <cell r="I3079">
            <v>812008239</v>
          </cell>
          <cell r="J3079" t="str">
            <v>I.E. PUERTO COLOMBIA</v>
          </cell>
          <cell r="K3079">
            <v>19482828</v>
          </cell>
        </row>
        <row r="3080">
          <cell r="I3080">
            <v>812008252</v>
          </cell>
          <cell r="J3080" t="str">
            <v>CENTRO EDUCATIVO RURAL ANTILLANA</v>
          </cell>
          <cell r="K3080">
            <v>20102493</v>
          </cell>
        </row>
        <row r="3081">
          <cell r="I3081">
            <v>812008272</v>
          </cell>
          <cell r="J3081" t="str">
            <v>INSTITUCION EDUCATIVA ISLAS DE LOS MILAGROS</v>
          </cell>
          <cell r="K3081">
            <v>40074503</v>
          </cell>
        </row>
        <row r="3082">
          <cell r="I3082">
            <v>812008352</v>
          </cell>
          <cell r="J3082" t="str">
            <v>INSTITUCION EDUCATIVA TRES MARIAS</v>
          </cell>
          <cell r="K3082">
            <v>35494185</v>
          </cell>
        </row>
        <row r="3083">
          <cell r="I3083">
            <v>812008414</v>
          </cell>
          <cell r="J3083" t="str">
            <v>INSTITUCION EDUCATIVA EL ROSARIO</v>
          </cell>
          <cell r="K3083">
            <v>63752098</v>
          </cell>
        </row>
        <row r="3084">
          <cell r="I3084">
            <v>812008415</v>
          </cell>
          <cell r="J3084" t="str">
            <v>centro educativo guaimaro</v>
          </cell>
          <cell r="K3084">
            <v>14541817</v>
          </cell>
        </row>
        <row r="3085">
          <cell r="I3085">
            <v>812008445</v>
          </cell>
          <cell r="J3085" t="str">
            <v>centro educativo trementino</v>
          </cell>
          <cell r="K3085">
            <v>5681361</v>
          </cell>
        </row>
        <row r="3086">
          <cell r="I3086">
            <v>812008449</v>
          </cell>
          <cell r="J3086" t="str">
            <v>INSTITUCION EDUCATIVA ANTONIO NARIÑO</v>
          </cell>
          <cell r="K3086">
            <v>19249498</v>
          </cell>
        </row>
        <row r="3087">
          <cell r="I3087">
            <v>812008486</v>
          </cell>
          <cell r="J3087" t="str">
            <v>CENTRO EDUCATIVO RURAL PUEBLO NUEVO</v>
          </cell>
          <cell r="K3087">
            <v>20923760</v>
          </cell>
        </row>
        <row r="3088">
          <cell r="I3088">
            <v>812008487</v>
          </cell>
          <cell r="J3088" t="str">
            <v>CENTRO EDUCATIVO PALMAS VERDES</v>
          </cell>
          <cell r="K3088">
            <v>16244671</v>
          </cell>
        </row>
        <row r="3089">
          <cell r="I3089">
            <v>812008498</v>
          </cell>
          <cell r="J3089" t="str">
            <v>INSTITUCION EDUCATIVA SANTA TERESITA</v>
          </cell>
          <cell r="K3089">
            <v>68044163</v>
          </cell>
        </row>
        <row r="3090">
          <cell r="I3090">
            <v>812008620</v>
          </cell>
          <cell r="J3090" t="str">
            <v>CENTRO EDUCATIVO SANTA ROSA DE LA CAÑA</v>
          </cell>
          <cell r="K3090">
            <v>41775582</v>
          </cell>
        </row>
        <row r="3091">
          <cell r="I3091">
            <v>813000224</v>
          </cell>
          <cell r="J3091" t="str">
            <v>I.E. OSPINA PEREZ</v>
          </cell>
          <cell r="K3091">
            <v>26055727</v>
          </cell>
        </row>
        <row r="3092">
          <cell r="I3092">
            <v>813000631</v>
          </cell>
          <cell r="J3092" t="str">
            <v>I.E. EL PARAISO</v>
          </cell>
          <cell r="K3092">
            <v>64077121</v>
          </cell>
        </row>
        <row r="3093">
          <cell r="I3093">
            <v>813000832</v>
          </cell>
          <cell r="J3093" t="str">
            <v>FSE I.E. LA VEGA</v>
          </cell>
          <cell r="K3093">
            <v>44099991</v>
          </cell>
        </row>
        <row r="3094">
          <cell r="I3094">
            <v>813001075</v>
          </cell>
          <cell r="J3094" t="str">
            <v>IE MISAEL PASTRANA B</v>
          </cell>
          <cell r="K3094">
            <v>137550117</v>
          </cell>
        </row>
        <row r="3095">
          <cell r="I3095">
            <v>813001257</v>
          </cell>
          <cell r="J3095" t="str">
            <v>IE PALESTINA</v>
          </cell>
          <cell r="K3095">
            <v>87627366</v>
          </cell>
        </row>
        <row r="3096">
          <cell r="I3096">
            <v>813001590</v>
          </cell>
          <cell r="J3096" t="str">
            <v>I.E. JOSE EUSATACIO RIVERA FONDOS COMUNES</v>
          </cell>
          <cell r="K3096">
            <v>154706778</v>
          </cell>
        </row>
        <row r="3097">
          <cell r="I3097">
            <v>813001633</v>
          </cell>
          <cell r="J3097" t="str">
            <v>Institución Educativa Agustin Codazzi</v>
          </cell>
          <cell r="K3097">
            <v>123263674</v>
          </cell>
        </row>
        <row r="3098">
          <cell r="I3098">
            <v>813001664</v>
          </cell>
          <cell r="J3098" t="str">
            <v>INSTITUCION EDUCATIVA NUCLEO ESCOLAR EL GUADUAL</v>
          </cell>
          <cell r="K3098">
            <v>51492441</v>
          </cell>
        </row>
        <row r="3099">
          <cell r="I3099">
            <v>813001766</v>
          </cell>
          <cell r="J3099" t="str">
            <v>Institución Educativa San Antonio de Anaconia</v>
          </cell>
          <cell r="K3099">
            <v>48634379</v>
          </cell>
        </row>
        <row r="3100">
          <cell r="I3100">
            <v>813002077</v>
          </cell>
          <cell r="J3100" t="str">
            <v>I.E. LA ARCADIA</v>
          </cell>
          <cell r="K3100">
            <v>76312775</v>
          </cell>
        </row>
        <row r="3101">
          <cell r="I3101">
            <v>813002424</v>
          </cell>
          <cell r="J3101" t="str">
            <v>INSTITUTO TECNICO AGRICOLA RAMON ALVARADO SANCHEZ</v>
          </cell>
          <cell r="K3101">
            <v>56304958</v>
          </cell>
        </row>
        <row r="3102">
          <cell r="I3102">
            <v>813002490</v>
          </cell>
          <cell r="J3102" t="str">
            <v>I.E. SILVANIA FONDO DE SERVICIOS EDUCATIVO</v>
          </cell>
          <cell r="K3102">
            <v>75147666</v>
          </cell>
        </row>
        <row r="3103">
          <cell r="I3103">
            <v>813002684</v>
          </cell>
          <cell r="J3103" t="str">
            <v>Fondo de Servicios Educativo Jairo Morera Lizcano</v>
          </cell>
          <cell r="K3103">
            <v>67934076</v>
          </cell>
        </row>
        <row r="3104">
          <cell r="I3104">
            <v>813002693</v>
          </cell>
          <cell r="J3104" t="str">
            <v>Institución Educativa Misael Pastrana Borrero</v>
          </cell>
          <cell r="K3104">
            <v>88513407</v>
          </cell>
        </row>
        <row r="3105">
          <cell r="I3105">
            <v>813002882</v>
          </cell>
          <cell r="J3105" t="str">
            <v>Institución Educativa Atanasio Girardot</v>
          </cell>
          <cell r="K3105">
            <v>107362262</v>
          </cell>
        </row>
        <row r="3106">
          <cell r="I3106">
            <v>813003086</v>
          </cell>
          <cell r="J3106" t="str">
            <v>INSTITUCION EDUCATIVA PROMOCION SOCIAL</v>
          </cell>
          <cell r="K3106">
            <v>87025835</v>
          </cell>
        </row>
        <row r="3107">
          <cell r="I3107">
            <v>813003170</v>
          </cell>
          <cell r="J3107" t="str">
            <v>Institución Educativa Santa Teresa</v>
          </cell>
          <cell r="K3107">
            <v>43126197</v>
          </cell>
        </row>
        <row r="3108">
          <cell r="I3108">
            <v>813003233</v>
          </cell>
          <cell r="J3108" t="str">
            <v>Institución Educativa El Limonar</v>
          </cell>
          <cell r="K3108">
            <v>177094596</v>
          </cell>
        </row>
        <row r="3109">
          <cell r="I3109">
            <v>813003248</v>
          </cell>
          <cell r="J3109" t="str">
            <v>I.E. LA VICTORIA</v>
          </cell>
          <cell r="K3109">
            <v>31905674</v>
          </cell>
        </row>
        <row r="3110">
          <cell r="I3110">
            <v>813003429</v>
          </cell>
          <cell r="J3110" t="str">
            <v>I.E. EL PESCADOR</v>
          </cell>
          <cell r="K3110">
            <v>27787147</v>
          </cell>
        </row>
        <row r="3111">
          <cell r="I3111">
            <v>813003567</v>
          </cell>
          <cell r="J3111" t="str">
            <v>Institucion  Educativa Rodrigo Lara Bonilla</v>
          </cell>
          <cell r="K3111">
            <v>79854171</v>
          </cell>
        </row>
        <row r="3112">
          <cell r="I3112">
            <v>813003622</v>
          </cell>
          <cell r="J3112" t="str">
            <v>Institución Educativa Ricardo Borrero Alvarez</v>
          </cell>
          <cell r="K3112">
            <v>90899013</v>
          </cell>
        </row>
        <row r="3113">
          <cell r="I3113">
            <v>813004119</v>
          </cell>
          <cell r="J3113" t="str">
            <v>Institucion Educativa Juan de Cabrera</v>
          </cell>
          <cell r="K3113">
            <v>106151194</v>
          </cell>
        </row>
        <row r="3114">
          <cell r="I3114">
            <v>813004126</v>
          </cell>
          <cell r="J3114" t="str">
            <v>I.E. SANTA ROSALIA</v>
          </cell>
          <cell r="K3114">
            <v>46929735</v>
          </cell>
        </row>
        <row r="3115">
          <cell r="I3115">
            <v>813004235</v>
          </cell>
          <cell r="J3115" t="str">
            <v>I.E. SAN JOAQUIN</v>
          </cell>
          <cell r="K3115">
            <v>31170297</v>
          </cell>
        </row>
        <row r="3116">
          <cell r="I3116">
            <v>813004241</v>
          </cell>
          <cell r="J3116" t="str">
            <v>Institución Educativa Enrique Olaya Herrera</v>
          </cell>
          <cell r="K3116">
            <v>118534911</v>
          </cell>
        </row>
        <row r="3117">
          <cell r="I3117">
            <v>813004410</v>
          </cell>
          <cell r="J3117" t="str">
            <v>I.E. LUIS CALIXTO LEIVA</v>
          </cell>
          <cell r="K3117">
            <v>90221999</v>
          </cell>
        </row>
        <row r="3118">
          <cell r="I3118">
            <v>813004415</v>
          </cell>
          <cell r="J3118" t="str">
            <v>Institución Educativa Eduardo Santos</v>
          </cell>
          <cell r="K3118">
            <v>111382032</v>
          </cell>
        </row>
        <row r="3119">
          <cell r="I3119">
            <v>813004643</v>
          </cell>
          <cell r="J3119" t="str">
            <v>Institución Educativa Guacirco</v>
          </cell>
          <cell r="K3119">
            <v>39225210</v>
          </cell>
        </row>
        <row r="3120">
          <cell r="I3120">
            <v>813004751</v>
          </cell>
          <cell r="J3120" t="str">
            <v>I.E. ALTO DEL OBISPO</v>
          </cell>
          <cell r="K3120">
            <v>38893130</v>
          </cell>
        </row>
        <row r="3121">
          <cell r="I3121">
            <v>813004926</v>
          </cell>
          <cell r="J3121" t="str">
            <v>I.E. BARRIOS UNIDOS</v>
          </cell>
          <cell r="K3121">
            <v>127424725</v>
          </cell>
        </row>
        <row r="3122">
          <cell r="I3122">
            <v>813005317</v>
          </cell>
          <cell r="J3122" t="str">
            <v>I.E. CAGUANCITO</v>
          </cell>
          <cell r="K3122">
            <v>68142256</v>
          </cell>
        </row>
        <row r="3123">
          <cell r="I3123">
            <v>813005463</v>
          </cell>
          <cell r="J3123" t="str">
            <v>I.E. ECOPETROL</v>
          </cell>
          <cell r="K3123">
            <v>67776161</v>
          </cell>
        </row>
        <row r="3124">
          <cell r="I3124">
            <v>813005521</v>
          </cell>
          <cell r="J3124" t="str">
            <v>I.E. LA PERDIZ</v>
          </cell>
          <cell r="K3124">
            <v>26110625</v>
          </cell>
        </row>
        <row r="3125">
          <cell r="I3125">
            <v>813005678</v>
          </cell>
          <cell r="J3125" t="str">
            <v>I.E. LOS NEGROS</v>
          </cell>
          <cell r="K3125">
            <v>20641890</v>
          </cell>
        </row>
        <row r="3126">
          <cell r="I3126">
            <v>813005694</v>
          </cell>
          <cell r="J3126" t="str">
            <v>institucion educativa el descanso</v>
          </cell>
          <cell r="K3126">
            <v>27154754</v>
          </cell>
        </row>
        <row r="3127">
          <cell r="I3127">
            <v>813005732</v>
          </cell>
          <cell r="J3127" t="str">
            <v>I.E. SAN MIGUEL</v>
          </cell>
          <cell r="K3127">
            <v>13658385</v>
          </cell>
        </row>
        <row r="3128">
          <cell r="I3128">
            <v>813005817</v>
          </cell>
          <cell r="J3128" t="str">
            <v>I.E. NUESTRA SEÑORA DEL CARMEN</v>
          </cell>
          <cell r="K3128">
            <v>45148266</v>
          </cell>
        </row>
        <row r="3129">
          <cell r="I3129">
            <v>813006132</v>
          </cell>
          <cell r="J3129" t="str">
            <v>I.E. QUEBRADON SUR</v>
          </cell>
          <cell r="K3129">
            <v>23288660</v>
          </cell>
        </row>
        <row r="3130">
          <cell r="I3130">
            <v>813006158</v>
          </cell>
          <cell r="J3130" t="str">
            <v>I.E. TULIO ARBELAEZ</v>
          </cell>
          <cell r="K3130">
            <v>60959204</v>
          </cell>
        </row>
        <row r="3131">
          <cell r="I3131">
            <v>813006266</v>
          </cell>
          <cell r="J3131" t="str">
            <v>I.E. VALENCIA DE LA PAZ</v>
          </cell>
          <cell r="K3131">
            <v>37812359</v>
          </cell>
        </row>
        <row r="3132">
          <cell r="I3132">
            <v>813006268</v>
          </cell>
          <cell r="J3132" t="str">
            <v>I.E. SAN ANTONIO DEL PESCADO</v>
          </cell>
          <cell r="K3132">
            <v>67522444</v>
          </cell>
        </row>
        <row r="3133">
          <cell r="I3133">
            <v>813006282</v>
          </cell>
          <cell r="J3133" t="str">
            <v>FSE. I.E.  LA MERCED</v>
          </cell>
          <cell r="K3133">
            <v>111413867</v>
          </cell>
        </row>
        <row r="3134">
          <cell r="I3134">
            <v>813006290</v>
          </cell>
          <cell r="J3134" t="str">
            <v>I.E. NUESTRA SEÑORA DEL CARMEN</v>
          </cell>
          <cell r="K3134">
            <v>131471450</v>
          </cell>
        </row>
        <row r="3135">
          <cell r="I3135">
            <v>813006515</v>
          </cell>
          <cell r="J3135" t="str">
            <v>I.E. EL RECREO</v>
          </cell>
          <cell r="K3135">
            <v>38320857</v>
          </cell>
        </row>
        <row r="3136">
          <cell r="I3136">
            <v>813006524</v>
          </cell>
          <cell r="J3136" t="str">
            <v>Institución Educativa Angel Maria Paredes</v>
          </cell>
          <cell r="K3136">
            <v>66899562</v>
          </cell>
        </row>
        <row r="3137">
          <cell r="I3137">
            <v>813006647</v>
          </cell>
          <cell r="J3137" t="str">
            <v>I.E. RICABRISA</v>
          </cell>
          <cell r="K3137">
            <v>44669230</v>
          </cell>
        </row>
        <row r="3138">
          <cell r="I3138">
            <v>813006879</v>
          </cell>
          <cell r="J3138" t="str">
            <v>INSTITUCION EDUCATIVA SAN JOSE</v>
          </cell>
          <cell r="K3138">
            <v>103959155</v>
          </cell>
        </row>
        <row r="3139">
          <cell r="I3139">
            <v>813007061</v>
          </cell>
          <cell r="J3139" t="str">
            <v>I.E. LA PRADERA</v>
          </cell>
          <cell r="K3139">
            <v>59868739</v>
          </cell>
        </row>
        <row r="3140">
          <cell r="I3140">
            <v>813007121</v>
          </cell>
          <cell r="J3140" t="str">
            <v>I.E. BORDONES</v>
          </cell>
          <cell r="K3140">
            <v>70612924</v>
          </cell>
        </row>
        <row r="3141">
          <cell r="I3141">
            <v>813007191</v>
          </cell>
          <cell r="J3141" t="str">
            <v>I.E. SAN GERARDO GARZON HUILA</v>
          </cell>
          <cell r="K3141">
            <v>63669660</v>
          </cell>
        </row>
        <row r="3142">
          <cell r="I3142">
            <v>813007249</v>
          </cell>
          <cell r="J3142" t="str">
            <v>Institucion Educativa Chillurco</v>
          </cell>
          <cell r="K3142">
            <v>33001654</v>
          </cell>
        </row>
        <row r="3143">
          <cell r="I3143">
            <v>813007251</v>
          </cell>
          <cell r="J3143" t="str">
            <v>Instituciòn Eduativa Guacacallo</v>
          </cell>
          <cell r="K3143">
            <v>68151992</v>
          </cell>
        </row>
        <row r="3144">
          <cell r="I3144">
            <v>813007321</v>
          </cell>
          <cell r="J3144" t="str">
            <v>I.E. LA PRIMAVERA FONDO SERVICIOS DOCENTES</v>
          </cell>
          <cell r="K3144">
            <v>19508946</v>
          </cell>
        </row>
        <row r="3145">
          <cell r="I3145">
            <v>813007327</v>
          </cell>
          <cell r="J3145" t="str">
            <v>I.E. OBANDO</v>
          </cell>
          <cell r="K3145">
            <v>44024364</v>
          </cell>
        </row>
        <row r="3146">
          <cell r="I3146">
            <v>813007372</v>
          </cell>
          <cell r="J3146" t="str">
            <v>Institucion Educativa Regueros</v>
          </cell>
          <cell r="K3146">
            <v>52603672</v>
          </cell>
        </row>
        <row r="3147">
          <cell r="I3147">
            <v>813007389</v>
          </cell>
          <cell r="J3147" t="str">
            <v>FSE IE PALMARITO</v>
          </cell>
          <cell r="K3147">
            <v>57727550</v>
          </cell>
        </row>
        <row r="3148">
          <cell r="I3148">
            <v>813007392</v>
          </cell>
          <cell r="J3148" t="str">
            <v>FONDO EDUCATIVO I.E. EL CISNE</v>
          </cell>
          <cell r="K3148">
            <v>13281664</v>
          </cell>
        </row>
        <row r="3149">
          <cell r="I3149">
            <v>813007394</v>
          </cell>
          <cell r="J3149" t="str">
            <v>Institucion Educativa La Laguna</v>
          </cell>
          <cell r="K3149">
            <v>59023629</v>
          </cell>
        </row>
        <row r="3150">
          <cell r="I3150">
            <v>813007413</v>
          </cell>
          <cell r="J3150" t="str">
            <v>Centro Educativo Rural Chapinero</v>
          </cell>
          <cell r="K3150">
            <v>35243380</v>
          </cell>
        </row>
        <row r="3151">
          <cell r="I3151">
            <v>813007463</v>
          </cell>
          <cell r="J3151" t="str">
            <v>I.E. MONDEYAL</v>
          </cell>
          <cell r="K3151">
            <v>46658958</v>
          </cell>
        </row>
        <row r="3152">
          <cell r="I3152">
            <v>813007522</v>
          </cell>
          <cell r="J3152" t="str">
            <v>I.E. SANTA ANA</v>
          </cell>
          <cell r="K3152">
            <v>25364691</v>
          </cell>
        </row>
        <row r="3153">
          <cell r="I3153">
            <v>813007582</v>
          </cell>
          <cell r="J3153" t="str">
            <v>I.E. EL VERGEL</v>
          </cell>
          <cell r="K3153">
            <v>55788253</v>
          </cell>
        </row>
        <row r="3154">
          <cell r="I3154">
            <v>813007603</v>
          </cell>
          <cell r="J3154" t="str">
            <v>I.E. CACHAYA FONDO DE SERVICIOS EDUCATIVO</v>
          </cell>
          <cell r="K3154">
            <v>46125425</v>
          </cell>
        </row>
        <row r="3155">
          <cell r="I3155">
            <v>813008033</v>
          </cell>
          <cell r="J3155" t="str">
            <v>I.E. LUIS ONOFRE ACOSTA</v>
          </cell>
          <cell r="K3155">
            <v>37223427</v>
          </cell>
        </row>
        <row r="3156">
          <cell r="I3156">
            <v>813008412</v>
          </cell>
          <cell r="J3156" t="str">
            <v>CE MAJO</v>
          </cell>
          <cell r="K3156">
            <v>23541537</v>
          </cell>
        </row>
        <row r="3157">
          <cell r="I3157">
            <v>813008454</v>
          </cell>
          <cell r="J3157" t="str">
            <v>I.E. SAN JUAN DE BOSCO</v>
          </cell>
          <cell r="K3157">
            <v>29626509</v>
          </cell>
        </row>
        <row r="3158">
          <cell r="I3158">
            <v>813008720</v>
          </cell>
          <cell r="J3158" t="str">
            <v>I.E. GUAYABAL</v>
          </cell>
          <cell r="K3158">
            <v>59160076</v>
          </cell>
        </row>
        <row r="3159">
          <cell r="I3159">
            <v>813008746</v>
          </cell>
          <cell r="J3159" t="str">
            <v>I.E. SANTA MARTHA</v>
          </cell>
          <cell r="K3159">
            <v>57012909</v>
          </cell>
        </row>
        <row r="3160">
          <cell r="I3160">
            <v>813008905</v>
          </cell>
          <cell r="J3160" t="str">
            <v>I.E. SANTA LUCIA</v>
          </cell>
          <cell r="K3160">
            <v>26879382</v>
          </cell>
        </row>
        <row r="3161">
          <cell r="I3161">
            <v>813009271</v>
          </cell>
          <cell r="J3161" t="str">
            <v>I.E. BETANIA</v>
          </cell>
          <cell r="K3161">
            <v>30846961</v>
          </cell>
        </row>
        <row r="3162">
          <cell r="I3162">
            <v>813009433</v>
          </cell>
          <cell r="J3162" t="str">
            <v>I.E. LAS TOLDAS</v>
          </cell>
          <cell r="K3162">
            <v>63748459</v>
          </cell>
        </row>
        <row r="3163">
          <cell r="I3163">
            <v>813009459</v>
          </cell>
          <cell r="J3163" t="str">
            <v>I.E. EL PENSIL</v>
          </cell>
          <cell r="K3163">
            <v>20768088</v>
          </cell>
        </row>
        <row r="3164">
          <cell r="I3164">
            <v>813009638</v>
          </cell>
          <cell r="J3164" t="str">
            <v>I.E. PANTANOS</v>
          </cell>
          <cell r="K3164">
            <v>56254114</v>
          </cell>
        </row>
        <row r="3165">
          <cell r="I3165">
            <v>813009858</v>
          </cell>
          <cell r="J3165" t="str">
            <v>I.E. CASCAJAL</v>
          </cell>
          <cell r="K3165">
            <v>47222098</v>
          </cell>
        </row>
        <row r="3166">
          <cell r="I3166">
            <v>813009861</v>
          </cell>
          <cell r="J3166" t="str">
            <v>C.E. RURAL LA UNION</v>
          </cell>
          <cell r="K3166">
            <v>12116038</v>
          </cell>
        </row>
        <row r="3167">
          <cell r="I3167">
            <v>813009891</v>
          </cell>
          <cell r="J3167" t="str">
            <v>I.E. SAN MARCOS</v>
          </cell>
          <cell r="K3167">
            <v>81903494</v>
          </cell>
        </row>
        <row r="3168">
          <cell r="I3168">
            <v>813010082</v>
          </cell>
          <cell r="J3168" t="str">
            <v>FONDO DE SERVICIOS EDUCATIVOS  I.E. MARIA MANDIGUAGUA</v>
          </cell>
          <cell r="K3168">
            <v>11788261</v>
          </cell>
        </row>
        <row r="3169">
          <cell r="I3169">
            <v>813010102</v>
          </cell>
          <cell r="J3169" t="str">
            <v>I.E. COSANZA</v>
          </cell>
          <cell r="K3169">
            <v>24238128</v>
          </cell>
        </row>
        <row r="3170">
          <cell r="I3170">
            <v>813010950</v>
          </cell>
          <cell r="J3170" t="str">
            <v>I.E. SOSIMO SUAREZ</v>
          </cell>
          <cell r="K3170">
            <v>37917296</v>
          </cell>
        </row>
        <row r="3171">
          <cell r="I3171">
            <v>813011028</v>
          </cell>
          <cell r="J3171" t="str">
            <v>FONDO DE SERVICIOS EDUCATIVO IE KUE DSI J</v>
          </cell>
          <cell r="K3171">
            <v>43519126</v>
          </cell>
        </row>
        <row r="3172">
          <cell r="I3172">
            <v>813011092</v>
          </cell>
          <cell r="J3172" t="str">
            <v>Institucion Educativa Jesùs Marài Basto</v>
          </cell>
          <cell r="K3172">
            <v>140160786</v>
          </cell>
        </row>
        <row r="3173">
          <cell r="I3173">
            <v>813011114</v>
          </cell>
          <cell r="J3173" t="str">
            <v>I.E. LA ULLOA</v>
          </cell>
          <cell r="K3173">
            <v>75660170</v>
          </cell>
        </row>
        <row r="3174">
          <cell r="I3174">
            <v>813011291</v>
          </cell>
          <cell r="J3174" t="str">
            <v>I.E. LOS YUYOS</v>
          </cell>
          <cell r="K3174">
            <v>10518904</v>
          </cell>
        </row>
        <row r="3175">
          <cell r="I3175">
            <v>813011475</v>
          </cell>
          <cell r="J3175" t="str">
            <v>I.E. SEGOVIANAS</v>
          </cell>
          <cell r="K3175">
            <v>24186048</v>
          </cell>
        </row>
        <row r="3176">
          <cell r="I3176">
            <v>813011529</v>
          </cell>
          <cell r="J3176" t="str">
            <v>IE LA BERNARDA</v>
          </cell>
          <cell r="K3176">
            <v>87196594</v>
          </cell>
        </row>
        <row r="3177">
          <cell r="I3177">
            <v>813011531</v>
          </cell>
          <cell r="J3177" t="str">
            <v>Inst Educativa Aipecito fdo de servicios educativos</v>
          </cell>
          <cell r="K3177">
            <v>43326199</v>
          </cell>
        </row>
        <row r="3178">
          <cell r="I3178">
            <v>813011533</v>
          </cell>
          <cell r="J3178" t="str">
            <v>Institución Educativa Maria Cristina Arango Pastrana</v>
          </cell>
          <cell r="K3178">
            <v>105519387</v>
          </cell>
        </row>
        <row r="3179">
          <cell r="I3179">
            <v>813011664</v>
          </cell>
          <cell r="J3179" t="str">
            <v>I.E. ANACLETO GARCIA</v>
          </cell>
          <cell r="K3179">
            <v>28868034</v>
          </cell>
        </row>
        <row r="3180">
          <cell r="I3180">
            <v>813011696</v>
          </cell>
          <cell r="J3180" t="str">
            <v>I.E. NILO</v>
          </cell>
          <cell r="K3180">
            <v>25704763</v>
          </cell>
        </row>
        <row r="3181">
          <cell r="I3181">
            <v>813011815</v>
          </cell>
          <cell r="J3181" t="str">
            <v>I.E. BELEN</v>
          </cell>
          <cell r="K3181">
            <v>25190227</v>
          </cell>
        </row>
        <row r="3182">
          <cell r="I3182">
            <v>813011870</v>
          </cell>
          <cell r="J3182" t="str">
            <v>I.E. MORTIÑO</v>
          </cell>
          <cell r="K3182">
            <v>35712218</v>
          </cell>
        </row>
        <row r="3183">
          <cell r="I3183">
            <v>813011884</v>
          </cell>
          <cell r="J3183" t="str">
            <v>I.E. SALEN</v>
          </cell>
          <cell r="K3183">
            <v>45550399</v>
          </cell>
        </row>
        <row r="3184">
          <cell r="I3184">
            <v>813011902</v>
          </cell>
          <cell r="J3184" t="str">
            <v>I.E. PUERTO QUINCHANA</v>
          </cell>
          <cell r="K3184">
            <v>46035947</v>
          </cell>
        </row>
        <row r="3185">
          <cell r="I3185">
            <v>813011948</v>
          </cell>
          <cell r="J3185" t="str">
            <v>INSTITUCION EDUCATIVA LA MINA</v>
          </cell>
          <cell r="K3185">
            <v>21017609</v>
          </cell>
        </row>
        <row r="3186">
          <cell r="I3186">
            <v>813012135</v>
          </cell>
          <cell r="J3186" t="str">
            <v>I.E. LAS JUNTAS FONDO SERVICIOS EDUCATIVO</v>
          </cell>
          <cell r="K3186">
            <v>32208394</v>
          </cell>
        </row>
        <row r="3187">
          <cell r="I3187">
            <v>813012177</v>
          </cell>
          <cell r="J3187" t="str">
            <v>I.E. LUIS EDGAR DURAN RAMIREZ</v>
          </cell>
          <cell r="K3187">
            <v>95999155</v>
          </cell>
        </row>
        <row r="3188">
          <cell r="I3188">
            <v>813012197</v>
          </cell>
          <cell r="J3188" t="str">
            <v>I.E. MISAEL PASTRANA BORRERO</v>
          </cell>
          <cell r="K3188">
            <v>100618397</v>
          </cell>
        </row>
        <row r="3189">
          <cell r="I3189">
            <v>813012306</v>
          </cell>
          <cell r="J3189" t="str">
            <v>I.E. LA TROJA</v>
          </cell>
          <cell r="K3189">
            <v>16381309</v>
          </cell>
        </row>
        <row r="3190">
          <cell r="I3190">
            <v>813012462</v>
          </cell>
          <cell r="J3190" t="str">
            <v>Institucion Educativa El Caguan</v>
          </cell>
          <cell r="K3190">
            <v>143434267</v>
          </cell>
        </row>
        <row r="3191">
          <cell r="I3191">
            <v>813012584</v>
          </cell>
          <cell r="J3191" t="str">
            <v>I.E. SAN ANTONIO</v>
          </cell>
          <cell r="K3191">
            <v>18705715</v>
          </cell>
        </row>
        <row r="3192">
          <cell r="I3192">
            <v>813012683</v>
          </cell>
          <cell r="J3192" t="str">
            <v>I.E. JOSE REINEL CERQUERA FSE</v>
          </cell>
          <cell r="K3192">
            <v>33591698</v>
          </cell>
        </row>
        <row r="3193">
          <cell r="I3193">
            <v>813012748</v>
          </cell>
          <cell r="J3193" t="str">
            <v>I.E. BAJO CAÑADA</v>
          </cell>
          <cell r="K3193">
            <v>44542601</v>
          </cell>
        </row>
        <row r="3194">
          <cell r="I3194">
            <v>813012874</v>
          </cell>
          <cell r="J3194" t="str">
            <v>I.E. MONTESITOS</v>
          </cell>
          <cell r="K3194">
            <v>25651392</v>
          </cell>
        </row>
        <row r="3195">
          <cell r="I3195">
            <v>813012924</v>
          </cell>
          <cell r="J3195" t="str">
            <v>I.E. EL CARMEN</v>
          </cell>
          <cell r="K3195">
            <v>23536010</v>
          </cell>
        </row>
        <row r="3196">
          <cell r="I3196">
            <v>813012998</v>
          </cell>
          <cell r="J3196" t="str">
            <v>C.E. SAN ANTONIO ALTO</v>
          </cell>
          <cell r="K3196">
            <v>7954121</v>
          </cell>
        </row>
        <row r="3197">
          <cell r="I3197">
            <v>813013067</v>
          </cell>
          <cell r="J3197" t="str">
            <v>I.E. RURAL SAN CALIXTO</v>
          </cell>
          <cell r="K3197">
            <v>26296750</v>
          </cell>
        </row>
        <row r="3198">
          <cell r="I3198">
            <v>813013077</v>
          </cell>
          <cell r="J3198" t="str">
            <v>I.E. LA UNION</v>
          </cell>
          <cell r="K3198">
            <v>67250868</v>
          </cell>
        </row>
        <row r="3199">
          <cell r="I3199">
            <v>813013097</v>
          </cell>
          <cell r="J3199" t="str">
            <v>I.E. BRASIL</v>
          </cell>
          <cell r="K3199">
            <v>28310867</v>
          </cell>
        </row>
        <row r="3200">
          <cell r="I3200">
            <v>813013106</v>
          </cell>
          <cell r="J3200" t="str">
            <v>I.E. EL ROSARIO</v>
          </cell>
          <cell r="K3200">
            <v>33537539</v>
          </cell>
        </row>
        <row r="3201">
          <cell r="I3201">
            <v>813013148</v>
          </cell>
          <cell r="J3201" t="str">
            <v>I.E. GALLARDO</v>
          </cell>
          <cell r="K3201">
            <v>88477253</v>
          </cell>
        </row>
        <row r="3202">
          <cell r="I3202">
            <v>813013255</v>
          </cell>
          <cell r="J3202" t="str">
            <v>Institucion Educativa Villafatima</v>
          </cell>
          <cell r="K3202">
            <v>42452237</v>
          </cell>
        </row>
        <row r="3203">
          <cell r="I3203">
            <v>813013407</v>
          </cell>
          <cell r="J3203" t="str">
            <v>Centro Educativo Rural Miravalle</v>
          </cell>
          <cell r="K3203">
            <v>49869250</v>
          </cell>
        </row>
        <row r="3204">
          <cell r="I3204">
            <v>813013469</v>
          </cell>
          <cell r="J3204" t="str">
            <v>I.E. BUENOS AIRES</v>
          </cell>
          <cell r="K3204">
            <v>25452735</v>
          </cell>
        </row>
        <row r="3205">
          <cell r="I3205">
            <v>813013481</v>
          </cell>
          <cell r="J3205" t="str">
            <v>I.E. LA ESPERANZA</v>
          </cell>
          <cell r="K3205">
            <v>26997414</v>
          </cell>
        </row>
        <row r="3206">
          <cell r="I3206">
            <v>813013508</v>
          </cell>
          <cell r="J3206" t="str">
            <v>FONDO SERVICIOS EDUCATIVO C.E. POLONIA</v>
          </cell>
          <cell r="K3206">
            <v>7865628</v>
          </cell>
        </row>
        <row r="3207">
          <cell r="I3207">
            <v>813013613</v>
          </cell>
          <cell r="J3207" t="str">
            <v>Fondo de Servicio Educativo Winnipeg</v>
          </cell>
          <cell r="K3207">
            <v>114692255</v>
          </cell>
        </row>
        <row r="3208">
          <cell r="I3208">
            <v>813013693</v>
          </cell>
          <cell r="J3208" t="str">
            <v>I.E. CANSARROCINES</v>
          </cell>
          <cell r="K3208">
            <v>37688200</v>
          </cell>
        </row>
        <row r="3209">
          <cell r="I3209">
            <v>813013754</v>
          </cell>
          <cell r="J3209" t="str">
            <v>INSTITUCION EDUCTATIVA MONTESSORI</v>
          </cell>
          <cell r="K3209">
            <v>217430171</v>
          </cell>
        </row>
        <row r="3210">
          <cell r="I3210">
            <v>813013755</v>
          </cell>
          <cell r="J3210" t="str">
            <v>C.E. LAS CEJA MESITAS</v>
          </cell>
          <cell r="K3210">
            <v>16267850</v>
          </cell>
        </row>
        <row r="3211">
          <cell r="I3211">
            <v>813013763</v>
          </cell>
          <cell r="J3211" t="str">
            <v>I.E. CARLOS RAMON REPIZO</v>
          </cell>
          <cell r="K3211">
            <v>81396283</v>
          </cell>
        </row>
        <row r="3212">
          <cell r="I3212">
            <v>813013790</v>
          </cell>
          <cell r="J3212" t="str">
            <v>I.E. EL ROBLE</v>
          </cell>
          <cell r="K3212">
            <v>29553301</v>
          </cell>
        </row>
        <row r="3213">
          <cell r="I3213">
            <v>814000052</v>
          </cell>
          <cell r="J3213" t="str">
            <v>INSTITUCION EDUCATIVA COLEGIO JOSE ANTONIO GALAN ILES</v>
          </cell>
          <cell r="K3213">
            <v>74507240</v>
          </cell>
        </row>
        <row r="3214">
          <cell r="I3214">
            <v>814000109</v>
          </cell>
          <cell r="J3214" t="str">
            <v>INSTITUCION EDUCATIVA VALLE DEL GUAMUEZ</v>
          </cell>
          <cell r="K3214">
            <v>99948926</v>
          </cell>
        </row>
        <row r="3215">
          <cell r="I3215">
            <v>814000114</v>
          </cell>
          <cell r="J3215" t="str">
            <v>IE GUILLERMO VALENCIA</v>
          </cell>
          <cell r="K3215">
            <v>115355357</v>
          </cell>
        </row>
        <row r="3216">
          <cell r="I3216">
            <v>814000236</v>
          </cell>
          <cell r="J3216" t="str">
            <v>INSTITUCION EDUCATIVA TECNICA PROMOCION SOCIAL -MUNICIPIO DE GUALMATAN</v>
          </cell>
          <cell r="K3216">
            <v>25605028</v>
          </cell>
        </row>
        <row r="3217">
          <cell r="I3217">
            <v>814000297</v>
          </cell>
          <cell r="J3217" t="str">
            <v>INSTITUCION EDUCATIVA TECNICA AGROECOLOGICA DE MALES-MUNICIPIO DE CORDOBA.</v>
          </cell>
          <cell r="K3217">
            <v>25577488</v>
          </cell>
        </row>
        <row r="3218">
          <cell r="I3218">
            <v>814000314</v>
          </cell>
          <cell r="J3218" t="str">
            <v>FONDO DE SERVICIOS EDUCATIVOS LUIS ANTONIO MONTERO</v>
          </cell>
          <cell r="K3218">
            <v>47045970</v>
          </cell>
        </row>
        <row r="3219">
          <cell r="I3219">
            <v>814000321</v>
          </cell>
          <cell r="J3219" t="str">
            <v>INSTITUCION EDUCATIVA SAN JOSE</v>
          </cell>
          <cell r="K3219">
            <v>47452091</v>
          </cell>
        </row>
        <row r="3220">
          <cell r="I3220">
            <v>814000328</v>
          </cell>
          <cell r="J3220" t="str">
            <v>INSTITUCION EDUCATIVA LAS MESAS</v>
          </cell>
          <cell r="K3220">
            <v>84496621</v>
          </cell>
        </row>
        <row r="3221">
          <cell r="I3221">
            <v>814000340</v>
          </cell>
          <cell r="J3221" t="str">
            <v>INSTITUCION EDUCATIVA MUNICIPAL SANTA BARBARA</v>
          </cell>
          <cell r="K3221">
            <v>44027035</v>
          </cell>
        </row>
        <row r="3222">
          <cell r="I3222">
            <v>814000361</v>
          </cell>
          <cell r="J3222" t="str">
            <v>COLEGIO BILINGUE ARTESANAL KAMENTSA</v>
          </cell>
          <cell r="K3222">
            <v>27186373</v>
          </cell>
        </row>
        <row r="3223">
          <cell r="I3223">
            <v>814000383</v>
          </cell>
          <cell r="J3223" t="str">
            <v>INSTITUCION EDUCATIVA ROSAFLORIDA</v>
          </cell>
          <cell r="K3223">
            <v>52515383</v>
          </cell>
        </row>
        <row r="3224">
          <cell r="I3224">
            <v>814000507</v>
          </cell>
          <cell r="J3224" t="str">
            <v>INSTITUCION EDUCATIVA SEBASTIAN DE BELARCAZAR</v>
          </cell>
          <cell r="K3224">
            <v>35300605</v>
          </cell>
        </row>
        <row r="3225">
          <cell r="I3225">
            <v>814000636</v>
          </cell>
          <cell r="J3225" t="str">
            <v>I.E AGROPECUARIA  MARISCAL SUCRE</v>
          </cell>
          <cell r="K3225">
            <v>17936589</v>
          </cell>
        </row>
        <row r="3226">
          <cell r="I3226">
            <v>814000644</v>
          </cell>
          <cell r="J3226" t="str">
            <v>INSTITUCION EDUCATIVA MUNICIPAL CABRERA</v>
          </cell>
          <cell r="K3226">
            <v>31655197</v>
          </cell>
        </row>
        <row r="3227">
          <cell r="I3227">
            <v>814000786</v>
          </cell>
          <cell r="J3227" t="str">
            <v>INSTITUCION EDUCATIVA MUNICIPAL SANTA TERESITA</v>
          </cell>
          <cell r="K3227">
            <v>118661863</v>
          </cell>
        </row>
        <row r="3228">
          <cell r="I3228">
            <v>814000796</v>
          </cell>
          <cell r="J3228" t="str">
            <v>INSTITUCION EDUCATIVA ALBERTO QUIJANO GUERRERO</v>
          </cell>
          <cell r="K3228">
            <v>26960094</v>
          </cell>
        </row>
        <row r="3229">
          <cell r="I3229">
            <v>814000817</v>
          </cell>
          <cell r="J3229" t="str">
            <v>INSTITUCION EDUCATIVA AGROPECUARIA MIGUEL ANGEL RANGEL</v>
          </cell>
          <cell r="K3229">
            <v>27721498</v>
          </cell>
        </row>
        <row r="3230">
          <cell r="I3230">
            <v>814000850</v>
          </cell>
          <cell r="J3230" t="str">
            <v>ESCUELA NORMAL SUPERIOR SAGRADO CORAZON DE JESUS</v>
          </cell>
          <cell r="K3230">
            <v>98853053</v>
          </cell>
        </row>
        <row r="3231">
          <cell r="I3231">
            <v>814000893</v>
          </cell>
          <cell r="J3231" t="str">
            <v>INSTITUCION EDUCATIVA SAN JOSE DE MATITUY- LA FLORIDA</v>
          </cell>
          <cell r="K3231">
            <v>20356594</v>
          </cell>
        </row>
        <row r="3232">
          <cell r="I3232">
            <v>814001094</v>
          </cell>
          <cell r="J3232" t="str">
            <v>INSTITUCION EDUCATIVA POLITECNICA SANTA BARBARA DE ISCUANDE</v>
          </cell>
          <cell r="K3232">
            <v>241302020</v>
          </cell>
        </row>
        <row r="3233">
          <cell r="I3233">
            <v>814001128</v>
          </cell>
          <cell r="J3233" t="str">
            <v>INSTITUCION EDUCATIVA MUNICIPAL CIUDADELA DE PASTO</v>
          </cell>
          <cell r="K3233">
            <v>175749265</v>
          </cell>
        </row>
        <row r="3234">
          <cell r="I3234">
            <v>814001171</v>
          </cell>
          <cell r="J3234" t="str">
            <v>INSTITUCION EDUCATIVA TABLON PANAMERICANO</v>
          </cell>
          <cell r="K3234">
            <v>33458300</v>
          </cell>
        </row>
        <row r="3235">
          <cell r="I3235">
            <v>814001182</v>
          </cell>
          <cell r="J3235" t="str">
            <v>INSTITUCION EDUCATIVA MANUEL BRICEÑO</v>
          </cell>
          <cell r="K3235">
            <v>22343979</v>
          </cell>
        </row>
        <row r="3236">
          <cell r="I3236">
            <v>814001259</v>
          </cell>
          <cell r="J3236" t="str">
            <v>INSTITUTO TECNICO AGROPECUARIO SANTA CECILIA</v>
          </cell>
          <cell r="K3236">
            <v>37981083</v>
          </cell>
        </row>
        <row r="3237">
          <cell r="I3237">
            <v>814001283</v>
          </cell>
          <cell r="J3237" t="str">
            <v>INSTITUCION EDUCATIVA TECNICA SAN FRANCISCO DE ASIS</v>
          </cell>
          <cell r="K3237">
            <v>28975968</v>
          </cell>
        </row>
        <row r="3238">
          <cell r="I3238">
            <v>814001320</v>
          </cell>
          <cell r="J3238" t="str">
            <v>INSTITUCION EDUCATIVA POLITECNICO JUAN BOLAÑOS</v>
          </cell>
          <cell r="K3238">
            <v>44158879</v>
          </cell>
        </row>
        <row r="3239">
          <cell r="I3239">
            <v>814001331</v>
          </cell>
          <cell r="J3239" t="str">
            <v>CENTRO EDUCATIVO MUNICIPAL JAMONDINO</v>
          </cell>
          <cell r="K3239">
            <v>15048504</v>
          </cell>
        </row>
        <row r="3240">
          <cell r="I3240">
            <v>814001370</v>
          </cell>
          <cell r="J3240" t="str">
            <v>CENTRO EDUCATIVO MUNICIPAL SANTA TERESITA</v>
          </cell>
          <cell r="K3240">
            <v>14252946</v>
          </cell>
        </row>
        <row r="3241">
          <cell r="I3241">
            <v>814001404</v>
          </cell>
          <cell r="J3241" t="str">
            <v>FONDOS DE SERVICIOS EDUCATIVOS DE LA INSTITUCION TECNICA MARIA AUXILIADORA</v>
          </cell>
          <cell r="K3241">
            <v>52470078</v>
          </cell>
        </row>
        <row r="3242">
          <cell r="I3242">
            <v>814001414</v>
          </cell>
          <cell r="J3242" t="str">
            <v>INSTITUCION EDUCATIVA CUNCHILA FONDO DE SERVICIO EDUCATIVO</v>
          </cell>
          <cell r="K3242">
            <v>20954977</v>
          </cell>
        </row>
        <row r="3243">
          <cell r="I3243">
            <v>814001432</v>
          </cell>
          <cell r="J3243" t="str">
            <v>INSTITUCION EDUCATIVA DIVINO NIÑO JESUS</v>
          </cell>
          <cell r="K3243">
            <v>110233470</v>
          </cell>
        </row>
        <row r="3244">
          <cell r="I3244">
            <v>814001536</v>
          </cell>
          <cell r="J3244" t="str">
            <v>I.E NUESTRA SEÑORA DEL CARMEN</v>
          </cell>
          <cell r="K3244">
            <v>29115236</v>
          </cell>
        </row>
        <row r="3245">
          <cell r="I3245">
            <v>814001573</v>
          </cell>
          <cell r="J3245" t="str">
            <v>INSTITUCION EDUCATIVA AGROPECUARIA ALTAMIRA</v>
          </cell>
          <cell r="K3245">
            <v>19858598</v>
          </cell>
        </row>
        <row r="3246">
          <cell r="I3246">
            <v>814001579</v>
          </cell>
          <cell r="J3246" t="str">
            <v>INSTITUCION EDUCATIVA MUNICIPAL CRISTO REY</v>
          </cell>
          <cell r="K3246">
            <v>54911782</v>
          </cell>
        </row>
        <row r="3247">
          <cell r="I3247">
            <v>814001614</v>
          </cell>
          <cell r="J3247" t="str">
            <v>COLEGIO AGROPECUARIO LA VEGA</v>
          </cell>
          <cell r="K3247">
            <v>29850317</v>
          </cell>
        </row>
        <row r="3248">
          <cell r="I3248">
            <v>814001615</v>
          </cell>
          <cell r="J3248" t="str">
            <v>INSTITUCION EDUCATIVA MUNICIPAL ANTONIO NARIÑO</v>
          </cell>
          <cell r="K3248">
            <v>43133475</v>
          </cell>
        </row>
        <row r="3249">
          <cell r="I3249">
            <v>814001691</v>
          </cell>
          <cell r="J3249" t="str">
            <v>CENTRO EDUCATIVO MUNICIPAL EL SOCORRO</v>
          </cell>
          <cell r="K3249">
            <v>47342120</v>
          </cell>
        </row>
        <row r="3250">
          <cell r="I3250">
            <v>814001746</v>
          </cell>
          <cell r="J3250" t="str">
            <v>INSTITUCION EDUCATIVA SAN GERARDO</v>
          </cell>
          <cell r="K3250">
            <v>72244875</v>
          </cell>
        </row>
        <row r="3251">
          <cell r="I3251">
            <v>814001747</v>
          </cell>
          <cell r="J3251" t="str">
            <v>INSTITUCION EDUCATIVA JOSE ANTONIO LLORENTE</v>
          </cell>
          <cell r="K3251">
            <v>122182184</v>
          </cell>
        </row>
        <row r="3252">
          <cell r="I3252">
            <v>814001758</v>
          </cell>
          <cell r="J3252" t="str">
            <v>ESCUELA NORMAL SUPERIOR PIO XII</v>
          </cell>
          <cell r="K3252">
            <v>69535181</v>
          </cell>
        </row>
        <row r="3253">
          <cell r="I3253">
            <v>814001838</v>
          </cell>
          <cell r="J3253" t="str">
            <v>INSTITUCION EDUCATIVA SAGRADO CORAZON DE JESUS EL INGENIO</v>
          </cell>
          <cell r="K3253">
            <v>26556847</v>
          </cell>
        </row>
        <row r="3254">
          <cell r="I3254">
            <v>814001960</v>
          </cell>
          <cell r="J3254" t="str">
            <v>INSTITUCION EDUCATIVA CHAPACUAL</v>
          </cell>
          <cell r="K3254">
            <v>28484675</v>
          </cell>
        </row>
        <row r="3255">
          <cell r="I3255">
            <v>814002081</v>
          </cell>
          <cell r="J3255" t="str">
            <v>FONDO DE SERVICIOS EDUCATIVOS DOCENTES INSTITUCION EDUCATIVA MUNICIPAL COLEGIO SAN FRANCISCO DE ASIS</v>
          </cell>
          <cell r="K3255">
            <v>22149513</v>
          </cell>
        </row>
        <row r="3256">
          <cell r="I3256">
            <v>814002089</v>
          </cell>
          <cell r="J3256" t="str">
            <v>INSTITUCION EDUCATIVA JESUS DE PRAGA</v>
          </cell>
          <cell r="K3256">
            <v>23616769</v>
          </cell>
        </row>
        <row r="3257">
          <cell r="I3257">
            <v>814002093</v>
          </cell>
          <cell r="J3257" t="str">
            <v>INSTITUCION EDUCATIVA NUESTRA SEÑORA DEL ROSARIO</v>
          </cell>
          <cell r="K3257">
            <v>51322158</v>
          </cell>
        </row>
        <row r="3258">
          <cell r="I3258">
            <v>814002128</v>
          </cell>
          <cell r="J3258" t="str">
            <v>INSTITUCION EDUCATIVA NUESTRA SEÑORA DEL CARMEN</v>
          </cell>
          <cell r="K3258">
            <v>61203525</v>
          </cell>
        </row>
        <row r="3259">
          <cell r="I3259">
            <v>814002151</v>
          </cell>
          <cell r="J3259" t="str">
            <v>INSTITUCION EDUCATIVA ECOLOGICA LA COCHA</v>
          </cell>
          <cell r="K3259">
            <v>17943751</v>
          </cell>
        </row>
        <row r="3260">
          <cell r="I3260">
            <v>814002163</v>
          </cell>
          <cell r="J3260" t="str">
            <v>INSTITUCION EDUCATIVA COLEGIO AGROPECUARIO DE BOMBONA</v>
          </cell>
          <cell r="K3260">
            <v>44073262</v>
          </cell>
        </row>
        <row r="3261">
          <cell r="I3261">
            <v>814002168</v>
          </cell>
          <cell r="J3261" t="str">
            <v>INSTITUCION EDUCATIVA AGROPECUARIA COMUNIDAD INDIGENA INKALAWA</v>
          </cell>
          <cell r="K3261">
            <v>22786498</v>
          </cell>
        </row>
        <row r="3262">
          <cell r="I3262">
            <v>814002243</v>
          </cell>
          <cell r="J3262" t="str">
            <v>MUNICIPIO DE EL PEÑOL</v>
          </cell>
          <cell r="K3262">
            <v>65248064</v>
          </cell>
        </row>
        <row r="3263">
          <cell r="I3263">
            <v>814002386</v>
          </cell>
          <cell r="J3263" t="str">
            <v>INSTITUCION EDUCATIVA JOSE MARIA NAVARRETE</v>
          </cell>
          <cell r="K3263">
            <v>14377657</v>
          </cell>
        </row>
        <row r="3264">
          <cell r="I3264">
            <v>814002393</v>
          </cell>
          <cell r="J3264" t="str">
            <v>CENTRO EDUCATIVO MUNICIPAL LOS ANGELES</v>
          </cell>
          <cell r="K3264">
            <v>13961350</v>
          </cell>
        </row>
        <row r="3265">
          <cell r="I3265">
            <v>814002408</v>
          </cell>
          <cell r="J3265" t="str">
            <v>INSTITUCION EDUCATIVA TECNICA EL ESPINO</v>
          </cell>
          <cell r="K3265">
            <v>39377090</v>
          </cell>
        </row>
        <row r="3266">
          <cell r="I3266">
            <v>814002486</v>
          </cell>
          <cell r="J3266" t="str">
            <v>CENTRO EDUCATIVO MUNICIPAL EL CAMPANERO</v>
          </cell>
          <cell r="K3266">
            <v>26689538</v>
          </cell>
        </row>
        <row r="3267">
          <cell r="I3267">
            <v>814002829</v>
          </cell>
          <cell r="J3267" t="str">
            <v>INSTITUCION EDUCATIVA INSTITUTO TERESIANO</v>
          </cell>
          <cell r="K3267">
            <v>98507713</v>
          </cell>
        </row>
        <row r="3268">
          <cell r="I3268">
            <v>814002932</v>
          </cell>
          <cell r="J3268" t="str">
            <v>INSTITUCION EDUCATIVA AGROPECUARIA SAN MARTIN DE PORRES</v>
          </cell>
          <cell r="K3268">
            <v>31711057</v>
          </cell>
        </row>
        <row r="3269">
          <cell r="I3269">
            <v>814003417</v>
          </cell>
          <cell r="J3269" t="str">
            <v>INSTITUCION EDUCATIVA MUNICIPIO DE MALLAMA</v>
          </cell>
          <cell r="K3269">
            <v>72420052</v>
          </cell>
        </row>
        <row r="3270">
          <cell r="I3270">
            <v>814003511</v>
          </cell>
          <cell r="J3270" t="str">
            <v>INSTITUCION EDUCATIVA AGROPECUARIA CUATRO ESQUINAS</v>
          </cell>
          <cell r="K3270">
            <v>34804907</v>
          </cell>
        </row>
        <row r="3271">
          <cell r="I3271">
            <v>814003734</v>
          </cell>
          <cell r="J3271" t="str">
            <v>MUNICIPIO DE NARIÑO</v>
          </cell>
          <cell r="K3271">
            <v>35385322</v>
          </cell>
        </row>
        <row r="3272">
          <cell r="I3272">
            <v>814003752</v>
          </cell>
          <cell r="J3272" t="str">
            <v>INSTITUCION EDUCATIVA TECNICA NUESTRA SEÑORADE LOURDES</v>
          </cell>
          <cell r="K3272">
            <v>62473895</v>
          </cell>
        </row>
        <row r="3273">
          <cell r="I3273">
            <v>814003802</v>
          </cell>
          <cell r="J3273" t="str">
            <v>INSTITUCION EDUCATIVA JUANAMBU</v>
          </cell>
          <cell r="K3273">
            <v>194824427</v>
          </cell>
        </row>
        <row r="3274">
          <cell r="I3274">
            <v>814004085</v>
          </cell>
          <cell r="J3274" t="str">
            <v>FONDO DE SERVICIOS DOCENTES I.E TECNICA AGROPECUARIA SAN GERERDO</v>
          </cell>
          <cell r="K3274">
            <v>35248328</v>
          </cell>
        </row>
        <row r="3275">
          <cell r="I3275">
            <v>814004095</v>
          </cell>
          <cell r="J3275" t="str">
            <v>INSTITUCION EDUCATIVA PROVIDENCIA</v>
          </cell>
          <cell r="K3275">
            <v>68504000</v>
          </cell>
        </row>
        <row r="3276">
          <cell r="I3276">
            <v>814004128</v>
          </cell>
          <cell r="J3276" t="str">
            <v>INSTITUCION EDUCATIVA TECNICA AGROPECUARIA INDIGENA CUMBE-FONDOS DE SERVICIOS DOCENTES</v>
          </cell>
          <cell r="K3276">
            <v>30011212</v>
          </cell>
        </row>
        <row r="3277">
          <cell r="I3277">
            <v>814004251</v>
          </cell>
          <cell r="J3277" t="str">
            <v>INSTITUCION EDUCATIVA TECNICA SAN FRANCISCO DE ASIS</v>
          </cell>
          <cell r="K3277">
            <v>15283751</v>
          </cell>
        </row>
        <row r="3278">
          <cell r="I3278">
            <v>814004611</v>
          </cell>
          <cell r="J3278" t="str">
            <v>INSTITUCION EDUCATIVA OSPINA PEREZ</v>
          </cell>
          <cell r="K3278">
            <v>39770269</v>
          </cell>
        </row>
        <row r="3279">
          <cell r="I3279">
            <v>814004810</v>
          </cell>
          <cell r="J3279" t="str">
            <v>INSTITUTO AGROPECUARIO LA FLORESTA</v>
          </cell>
          <cell r="K3279">
            <v>13277820</v>
          </cell>
        </row>
        <row r="3280">
          <cell r="I3280">
            <v>814004826</v>
          </cell>
          <cell r="J3280" t="str">
            <v>IE COLEGIO MICROEMPRESARIAL DE CABUYALES</v>
          </cell>
          <cell r="K3280">
            <v>22694509</v>
          </cell>
        </row>
        <row r="3281">
          <cell r="I3281">
            <v>814005042</v>
          </cell>
          <cell r="J3281" t="str">
            <v>COLEGIO AGROPECUARIO MUNICIPAL NUESTRA SEÑORA DEL CARMEN</v>
          </cell>
          <cell r="K3281">
            <v>21063904</v>
          </cell>
        </row>
        <row r="3282">
          <cell r="I3282">
            <v>814005251</v>
          </cell>
          <cell r="J3282" t="str">
            <v>INSTITUCION EDUCATIVA SAN FRANCISCO DE ASIS</v>
          </cell>
          <cell r="K3282">
            <v>37423449</v>
          </cell>
        </row>
        <row r="3283">
          <cell r="I3283">
            <v>814005267</v>
          </cell>
          <cell r="J3283" t="str">
            <v>UNIDAD EDUCATIVA SAN JUAN BAUTISTA</v>
          </cell>
          <cell r="K3283">
            <v>64039397</v>
          </cell>
        </row>
        <row r="3284">
          <cell r="I3284">
            <v>814005308</v>
          </cell>
          <cell r="J3284" t="str">
            <v>INSTITUCION EDUCATIVA LA INMACULADA DE ROBLES</v>
          </cell>
          <cell r="K3284">
            <v>30440572</v>
          </cell>
        </row>
        <row r="3285">
          <cell r="I3285">
            <v>814005317</v>
          </cell>
          <cell r="J3285" t="str">
            <v>INSTITUCION EDUCATIVA AGROAMBIENTAL SANTA ROSA</v>
          </cell>
          <cell r="K3285">
            <v>14064678</v>
          </cell>
        </row>
        <row r="3286">
          <cell r="I3286">
            <v>814005427</v>
          </cell>
          <cell r="J3286" t="str">
            <v>INSTITUCION EDUCATIVA SAN ANTONIO DE PADUA</v>
          </cell>
          <cell r="K3286">
            <v>15148890</v>
          </cell>
        </row>
        <row r="3287">
          <cell r="I3287">
            <v>814005428</v>
          </cell>
          <cell r="J3287" t="str">
            <v>INSTITUCION EDUCATIVA MUNICIPIO DE FUNES</v>
          </cell>
          <cell r="K3287">
            <v>49154524</v>
          </cell>
        </row>
        <row r="3288">
          <cell r="I3288">
            <v>814005544</v>
          </cell>
          <cell r="J3288" t="str">
            <v>INSTITUCION EDUCATIVA LOS ARRAYANES-MUNICIPIO DE CORDOBA</v>
          </cell>
          <cell r="K3288">
            <v>31248012</v>
          </cell>
        </row>
        <row r="3289">
          <cell r="I3289">
            <v>814005581</v>
          </cell>
          <cell r="J3289" t="str">
            <v>INSTITUCION EDUCATIVA SANTANDER -MUNICIPIO DE CORDOBA</v>
          </cell>
          <cell r="K3289">
            <v>36692389</v>
          </cell>
        </row>
        <row r="3290">
          <cell r="I3290">
            <v>814005655</v>
          </cell>
          <cell r="J3290" t="str">
            <v>INSTITUCION EDUCATIVA AGROPECUARIA EL EJIDO</v>
          </cell>
          <cell r="K3290">
            <v>33885792</v>
          </cell>
        </row>
        <row r="3291">
          <cell r="I3291">
            <v>814005673</v>
          </cell>
          <cell r="J3291" t="str">
            <v>INSTITUCION EDUCATIVA SANTANDER</v>
          </cell>
          <cell r="K3291">
            <v>24638795</v>
          </cell>
        </row>
        <row r="3292">
          <cell r="I3292">
            <v>814005938</v>
          </cell>
          <cell r="J3292" t="str">
            <v>INSTITUCION EDUCATIVA SAN PEDRO</v>
          </cell>
          <cell r="K3292">
            <v>25139413</v>
          </cell>
        </row>
        <row r="3293">
          <cell r="I3293">
            <v>814005956</v>
          </cell>
          <cell r="J3293" t="str">
            <v>INSTITUCION EDUCATIVA TELESECUNDARIA SAN GERARDO</v>
          </cell>
          <cell r="K3293">
            <v>27603009</v>
          </cell>
        </row>
        <row r="3294">
          <cell r="I3294">
            <v>814005959</v>
          </cell>
          <cell r="J3294" t="str">
            <v>INSTITUCION EDUCATIVA LAS DELICIAS</v>
          </cell>
          <cell r="K3294">
            <v>30576476</v>
          </cell>
        </row>
        <row r="3295">
          <cell r="I3295">
            <v>814005962</v>
          </cell>
          <cell r="J3295" t="str">
            <v>I.E AGROPECUARIA LA PLANADA</v>
          </cell>
          <cell r="K3295">
            <v>28126666</v>
          </cell>
        </row>
        <row r="3296">
          <cell r="I3296">
            <v>814005976</v>
          </cell>
          <cell r="J3296" t="str">
            <v>I.E MADRIGAL FONDO SERVICIOS EDUCATIVOS</v>
          </cell>
          <cell r="K3296">
            <v>36864787</v>
          </cell>
        </row>
        <row r="3297">
          <cell r="I3297">
            <v>814005999</v>
          </cell>
          <cell r="J3297" t="str">
            <v>I.E TECNICA AGROPECUARIA INDIGENA DEL RESGUARDO DE MALES</v>
          </cell>
          <cell r="K3297">
            <v>30277728</v>
          </cell>
        </row>
        <row r="3298">
          <cell r="I3298">
            <v>814006017</v>
          </cell>
          <cell r="J3298" t="str">
            <v>INSTITUCION EDUCATIVA AGROPECUARIA INDIGENA SEBASTIAN GARCIA CARLOSAMA</v>
          </cell>
          <cell r="K3298">
            <v>30964573</v>
          </cell>
        </row>
        <row r="3299">
          <cell r="I3299">
            <v>814006030</v>
          </cell>
          <cell r="J3299" t="str">
            <v>INSTITUCION EDUCATIVA LOS LIBERTADORES</v>
          </cell>
          <cell r="K3299">
            <v>72452021</v>
          </cell>
        </row>
        <row r="3300">
          <cell r="I3300">
            <v>814006043</v>
          </cell>
          <cell r="J3300" t="str">
            <v>I.E LIBARDO RAMIRO MUÑOZ</v>
          </cell>
          <cell r="K3300">
            <v>27649033</v>
          </cell>
        </row>
        <row r="3301">
          <cell r="I3301">
            <v>814006081</v>
          </cell>
          <cell r="J3301" t="str">
            <v>FONDO DE SERVICIOS EDUCATIVOS DE LA INSTITUCION EDUCATIVA EL PARAMO</v>
          </cell>
          <cell r="K3301">
            <v>37834798</v>
          </cell>
        </row>
        <row r="3302">
          <cell r="I3302">
            <v>814006096</v>
          </cell>
          <cell r="J3302" t="str">
            <v>INSTITUCION EDUCATIVA NUESTRA SEÑORA DE LAS LAJAS EL CONVENTO-CHACHAGUI NARIÑO</v>
          </cell>
          <cell r="K3302">
            <v>52554615</v>
          </cell>
        </row>
        <row r="3303">
          <cell r="I3303">
            <v>814006123</v>
          </cell>
          <cell r="J3303" t="str">
            <v>INSTITUCION EDUCATIVA LA PAZ CARRIZAL</v>
          </cell>
          <cell r="K3303">
            <v>10808392</v>
          </cell>
        </row>
        <row r="3304">
          <cell r="I3304">
            <v>814006237</v>
          </cell>
          <cell r="J3304" t="str">
            <v>INSTITUCION EDUCATIVA SAN PEDRO DE CARTAGO</v>
          </cell>
          <cell r="K3304">
            <v>72206382</v>
          </cell>
        </row>
        <row r="3305">
          <cell r="I3305">
            <v>814006267</v>
          </cell>
          <cell r="J3305" t="str">
            <v>INSTITUCION EDUCATIVA BAJO SINAI</v>
          </cell>
          <cell r="K3305">
            <v>26272319</v>
          </cell>
        </row>
        <row r="3306">
          <cell r="I3306">
            <v>814006334</v>
          </cell>
          <cell r="J3306" t="str">
            <v>INSTITUCION EDUCATIVA MUNICIPAL LIBERTAD</v>
          </cell>
          <cell r="K3306">
            <v>220105556</v>
          </cell>
        </row>
        <row r="3307">
          <cell r="I3307">
            <v>814006378</v>
          </cell>
          <cell r="J3307" t="str">
            <v>INSTITUCION EDUCATIVA MUNICIPAL MORASURCO</v>
          </cell>
          <cell r="K3307">
            <v>23497360</v>
          </cell>
        </row>
        <row r="3308">
          <cell r="I3308">
            <v>814006411</v>
          </cell>
          <cell r="J3308" t="str">
            <v>INSTITUCION EDUCATIVA SAN MATEO</v>
          </cell>
          <cell r="K3308">
            <v>12788423</v>
          </cell>
        </row>
        <row r="3309">
          <cell r="I3309">
            <v>814006422</v>
          </cell>
          <cell r="J3309" t="str">
            <v>INSTITUCION EDUCATIVA NUESTRA SEÑORA DE LAS LAJAS</v>
          </cell>
          <cell r="K3309">
            <v>23357807</v>
          </cell>
        </row>
        <row r="3310">
          <cell r="I3310">
            <v>814006461</v>
          </cell>
          <cell r="J3310" t="str">
            <v>INSTITUCION EDUCATIVA MONOPAMBA</v>
          </cell>
          <cell r="K3310">
            <v>24476128</v>
          </cell>
        </row>
        <row r="3311">
          <cell r="I3311">
            <v>814006466</v>
          </cell>
          <cell r="J3311" t="str">
            <v>INSTITUCION EDUCATIVA YANANCHA</v>
          </cell>
          <cell r="K3311">
            <v>7445369</v>
          </cell>
        </row>
        <row r="3312">
          <cell r="I3312">
            <v>814006472</v>
          </cell>
          <cell r="J3312" t="str">
            <v>INSTITUCION EDUCATIVA AGROPECUARIA SAN CARLOS</v>
          </cell>
          <cell r="K3312">
            <v>33192047</v>
          </cell>
        </row>
        <row r="3313">
          <cell r="I3313">
            <v>814006476</v>
          </cell>
          <cell r="J3313" t="str">
            <v>INSTITUCION EDUCATIVA SAN JUAN DE MAYESQUER</v>
          </cell>
          <cell r="K3313">
            <v>17126644</v>
          </cell>
        </row>
        <row r="3314">
          <cell r="I3314">
            <v>814006489</v>
          </cell>
          <cell r="J3314" t="str">
            <v>INSTITUCION EDUCATIVA MARIA AUXILIADORA</v>
          </cell>
          <cell r="K3314">
            <v>10445953</v>
          </cell>
        </row>
        <row r="3315">
          <cell r="I3315">
            <v>814006505</v>
          </cell>
          <cell r="J3315" t="str">
            <v>IEM NORMAL SUPERIOR DE PASTO</v>
          </cell>
          <cell r="K3315">
            <v>236602693</v>
          </cell>
        </row>
        <row r="3316">
          <cell r="I3316">
            <v>814006512</v>
          </cell>
          <cell r="J3316" t="str">
            <v>INSTITUCION EDUCATIVA MUNICIPAL EDUARDO ROMO ROSERO</v>
          </cell>
          <cell r="K3316">
            <v>56367535</v>
          </cell>
        </row>
        <row r="3317">
          <cell r="I3317">
            <v>814006513</v>
          </cell>
          <cell r="J3317" t="str">
            <v>INDTITUCION EDUCATIVA MUNICIPAL GUALMATAN</v>
          </cell>
          <cell r="K3317">
            <v>30427307</v>
          </cell>
        </row>
        <row r="3318">
          <cell r="I3318">
            <v>814006528</v>
          </cell>
          <cell r="J3318" t="str">
            <v>CENTRO EDUCATIVO MUNICIPAL CEROTAL</v>
          </cell>
          <cell r="K3318">
            <v>9035898</v>
          </cell>
        </row>
        <row r="3319">
          <cell r="I3319">
            <v>814006536</v>
          </cell>
          <cell r="J3319" t="str">
            <v>CENTRO EDUCATIVO MUNICIPAL LA VICTORIA</v>
          </cell>
          <cell r="K3319">
            <v>21659994</v>
          </cell>
        </row>
        <row r="3320">
          <cell r="I3320">
            <v>814006541</v>
          </cell>
          <cell r="J3320" t="str">
            <v>INSTITUCION EDUCATIVA AGROPECUARIA LA ESPERANZA</v>
          </cell>
          <cell r="K3320">
            <v>18775607</v>
          </cell>
        </row>
        <row r="3321">
          <cell r="I3321">
            <v>814006542</v>
          </cell>
          <cell r="J3321" t="str">
            <v>CEM SAN FRANCISCO DE ASIS</v>
          </cell>
          <cell r="K3321">
            <v>17306629</v>
          </cell>
        </row>
        <row r="3322">
          <cell r="I3322">
            <v>814006569</v>
          </cell>
          <cell r="J3322" t="str">
            <v>CENTRO EDUCATIVO MUNICIPAL LA CALDERA</v>
          </cell>
          <cell r="K3322">
            <v>16731716</v>
          </cell>
        </row>
        <row r="3323">
          <cell r="I3323">
            <v>814006658</v>
          </cell>
          <cell r="J3323" t="str">
            <v>INSTITUCION EDUCATIVA LAS DELICIAS</v>
          </cell>
          <cell r="K3323">
            <v>11018458</v>
          </cell>
        </row>
        <row r="3324">
          <cell r="I3324">
            <v>814006667</v>
          </cell>
          <cell r="J3324" t="str">
            <v>INSTITUCION EDUCATIVA RODRIGO LARA BONILLA</v>
          </cell>
          <cell r="K3324">
            <v>14600254</v>
          </cell>
        </row>
        <row r="3325">
          <cell r="I3325">
            <v>814006677</v>
          </cell>
          <cell r="J3325" t="str">
            <v>INSTITUCION EDUCATIVA SAN ANTONIO DE PADUA</v>
          </cell>
          <cell r="K3325">
            <v>18921925</v>
          </cell>
        </row>
        <row r="3326">
          <cell r="I3326">
            <v>814006690</v>
          </cell>
          <cell r="J3326" t="str">
            <v>INSTITUCION EDUCATIVA LA LOMA</v>
          </cell>
          <cell r="K3326">
            <v>7409817</v>
          </cell>
        </row>
        <row r="3327">
          <cell r="I3327">
            <v>814006709</v>
          </cell>
          <cell r="J3327" t="str">
            <v>INSTITUCION EDUCATIVA INSTITUTO TECNICO SANTO TOMAS</v>
          </cell>
          <cell r="K3327">
            <v>19052845</v>
          </cell>
        </row>
        <row r="3328">
          <cell r="I3328">
            <v>814006878</v>
          </cell>
          <cell r="J3328" t="str">
            <v>INSTITUCION EDUCATIVA SANTA ROSA DE LIMA</v>
          </cell>
          <cell r="K3328">
            <v>18284499</v>
          </cell>
        </row>
        <row r="3329">
          <cell r="I3329">
            <v>814006897</v>
          </cell>
          <cell r="J3329" t="str">
            <v>INSTITUCION EDUCATIVA COLEGIO SAGRADO CORAZON DE JESUS</v>
          </cell>
          <cell r="K3329">
            <v>20589846</v>
          </cell>
        </row>
        <row r="3330">
          <cell r="I3330">
            <v>814007000</v>
          </cell>
          <cell r="J3330" t="str">
            <v>INSTITUCION EDUCATIVA TECNICA DIVINO NIÑO</v>
          </cell>
          <cell r="K3330">
            <v>14300542</v>
          </cell>
        </row>
        <row r="3331">
          <cell r="I3331">
            <v>814007201</v>
          </cell>
          <cell r="J3331" t="str">
            <v>INSTITUCION EDUCATIVA COLEGIO AGROECOLOGICO SAGRADO CORAZÓN DE  JESÚS</v>
          </cell>
          <cell r="K3331">
            <v>20021402</v>
          </cell>
        </row>
        <row r="3332">
          <cell r="I3332">
            <v>814007209</v>
          </cell>
          <cell r="J3332" t="str">
            <v>INSTITUCION EDUCATIVA OLAYA</v>
          </cell>
          <cell r="K3332">
            <v>28062757</v>
          </cell>
        </row>
        <row r="3333">
          <cell r="I3333">
            <v>814007236</v>
          </cell>
          <cell r="J3333" t="str">
            <v>INSTITUCION EDUCATIVA TECNICA AGROPECUARIA JUBANGUANA</v>
          </cell>
          <cell r="K3333">
            <v>38071102</v>
          </cell>
        </row>
        <row r="3334">
          <cell r="I3334">
            <v>815000563</v>
          </cell>
          <cell r="J3334" t="str">
            <v>Institucion educativa La Magdalena</v>
          </cell>
          <cell r="K3334">
            <v>32547234</v>
          </cell>
        </row>
        <row r="3335">
          <cell r="I3335">
            <v>815000989</v>
          </cell>
          <cell r="J3335" t="str">
            <v>INSTITUCION EDUCATIVA HAROLD EDER</v>
          </cell>
          <cell r="K3335">
            <v>121805760</v>
          </cell>
        </row>
        <row r="3336">
          <cell r="I3336">
            <v>815001098</v>
          </cell>
          <cell r="J3336" t="str">
            <v>INSTITUCION EDUCATIVA DOMINGO IRURITA</v>
          </cell>
          <cell r="K3336">
            <v>104467686</v>
          </cell>
        </row>
        <row r="3337">
          <cell r="I3337">
            <v>815001161</v>
          </cell>
          <cell r="J3337" t="str">
            <v>INSTITUCION EDUCATIVA ABSALON TORRES CAMACHO</v>
          </cell>
          <cell r="K3337">
            <v>194148747</v>
          </cell>
        </row>
        <row r="3338">
          <cell r="I3338">
            <v>815001203</v>
          </cell>
          <cell r="J3338" t="str">
            <v>I.E ALFREDO POSADA CORREA</v>
          </cell>
          <cell r="K3338">
            <v>205846724</v>
          </cell>
        </row>
        <row r="3339">
          <cell r="I3339">
            <v>815001247</v>
          </cell>
          <cell r="J3339" t="str">
            <v>Fondo de servicios Educativos Institucion  Educativa  Manuel Antonio Sanclemente</v>
          </cell>
          <cell r="K3339">
            <v>90706061</v>
          </cell>
        </row>
        <row r="3340">
          <cell r="I3340">
            <v>815001599</v>
          </cell>
          <cell r="J3340" t="str">
            <v>INSTITUCION EDUCATIVA SIMON BOLIVAR</v>
          </cell>
          <cell r="K3340">
            <v>52839379</v>
          </cell>
        </row>
        <row r="3341">
          <cell r="I3341">
            <v>815001612</v>
          </cell>
          <cell r="J3341" t="str">
            <v>INSTITUCION EDUCATIVA MONSEÑOR JOSE MANUEL SALCEDO</v>
          </cell>
          <cell r="K3341">
            <v>75390113</v>
          </cell>
        </row>
        <row r="3342">
          <cell r="I3342">
            <v>815001828</v>
          </cell>
          <cell r="J3342" t="str">
            <v>INSTITUCION EDUCATIVA GENERAL SANTANDER</v>
          </cell>
          <cell r="K3342">
            <v>46260670</v>
          </cell>
        </row>
        <row r="3343">
          <cell r="I3343">
            <v>815001980</v>
          </cell>
          <cell r="J3343" t="str">
            <v>INSTITUCION EDUCATIVA SAGRADA FAMILIA POTRERILLO</v>
          </cell>
          <cell r="K3343">
            <v>74578586</v>
          </cell>
        </row>
        <row r="3344">
          <cell r="I3344">
            <v>815002305</v>
          </cell>
          <cell r="J3344" t="str">
            <v>Institucion Educativa Agricola Guadalajara</v>
          </cell>
          <cell r="K3344">
            <v>125246119</v>
          </cell>
        </row>
        <row r="3345">
          <cell r="I3345">
            <v>815002993</v>
          </cell>
          <cell r="J3345" t="str">
            <v>Institucion Educativa  Agropecuario Monterrey</v>
          </cell>
          <cell r="K3345">
            <v>20466331</v>
          </cell>
        </row>
        <row r="3346">
          <cell r="I3346">
            <v>815002996</v>
          </cell>
          <cell r="J3346" t="str">
            <v>INSTITUCION EDUCATIVA MANUELA</v>
          </cell>
          <cell r="K3346">
            <v>82541111</v>
          </cell>
        </row>
        <row r="3347">
          <cell r="I3347">
            <v>815003057</v>
          </cell>
          <cell r="J3347" t="str">
            <v>INSTITUCION EDUCATIVA ATANASIO GIRARDOT</v>
          </cell>
          <cell r="K3347">
            <v>37310054</v>
          </cell>
        </row>
        <row r="3348">
          <cell r="I3348">
            <v>815003149</v>
          </cell>
          <cell r="J3348" t="str">
            <v>Institucion educativa Tulio enrique Tascon Chambimbal</v>
          </cell>
          <cell r="K3348">
            <v>56188826</v>
          </cell>
        </row>
        <row r="3349">
          <cell r="I3349">
            <v>815003704</v>
          </cell>
          <cell r="J3349" t="str">
            <v>INSTITUCION EDUCATIVA RODRIGO LLOREDA CAICEDO</v>
          </cell>
          <cell r="K3349">
            <v>211654986</v>
          </cell>
        </row>
        <row r="3350">
          <cell r="I3350">
            <v>815003853</v>
          </cell>
          <cell r="J3350" t="str">
            <v>INSTITUCION EDUCATIVA JORGE ISAACS EL PLACER</v>
          </cell>
          <cell r="K3350">
            <v>103124268</v>
          </cell>
        </row>
        <row r="3351">
          <cell r="I3351">
            <v>815004247</v>
          </cell>
          <cell r="J3351" t="str">
            <v>INSTITUCION EDUCATIVA SEMILLA DE LA ESPERANZA</v>
          </cell>
          <cell r="K3351">
            <v>102485305</v>
          </cell>
        </row>
        <row r="3352">
          <cell r="I3352">
            <v>815004288</v>
          </cell>
          <cell r="J3352" t="str">
            <v>INSTITUCION EDUCATIVA DE ROZO</v>
          </cell>
          <cell r="K3352">
            <v>185580440</v>
          </cell>
        </row>
        <row r="3353">
          <cell r="I3353">
            <v>815004297</v>
          </cell>
          <cell r="J3353" t="str">
            <v>INSTITUCION EDUCATIVA TECNICA COMERCIAL DEL VALLE</v>
          </cell>
          <cell r="K3353">
            <v>87328824</v>
          </cell>
        </row>
        <row r="3354">
          <cell r="I3354">
            <v>815004298</v>
          </cell>
          <cell r="J3354" t="str">
            <v>INSTITUCION EDUCATIVA TECNICA INDUSTRIAL HUMBERTO RAFFO</v>
          </cell>
          <cell r="K3354">
            <v>146033181</v>
          </cell>
        </row>
        <row r="3355">
          <cell r="I3355">
            <v>815004303</v>
          </cell>
          <cell r="J3355" t="str">
            <v>INSTITUCION EDUCATIVA NUESTRA SEÑORA DEL PALMAR</v>
          </cell>
          <cell r="K3355">
            <v>154810542</v>
          </cell>
        </row>
        <row r="3356">
          <cell r="I3356">
            <v>815004305</v>
          </cell>
          <cell r="J3356" t="str">
            <v>INSTITUCION EDUCATIVA SAGRADA FAMILIA</v>
          </cell>
          <cell r="K3356">
            <v>155513593</v>
          </cell>
        </row>
        <row r="3357">
          <cell r="I3357">
            <v>815004306</v>
          </cell>
          <cell r="J3357" t="str">
            <v>INSTITUCION EDUCATIVA LA MILAGROSA</v>
          </cell>
          <cell r="K3357">
            <v>119667595</v>
          </cell>
        </row>
        <row r="3358">
          <cell r="I3358">
            <v>815004332</v>
          </cell>
          <cell r="J3358" t="str">
            <v>INSTITUCION EDUCATIVA SAN VICENTE</v>
          </cell>
          <cell r="K3358">
            <v>259206760</v>
          </cell>
        </row>
        <row r="3359">
          <cell r="I3359">
            <v>815004333</v>
          </cell>
          <cell r="J3359" t="str">
            <v>INSTITUCION EDUCATIVA MERCEDES ABREGO</v>
          </cell>
          <cell r="K3359">
            <v>98542847</v>
          </cell>
        </row>
        <row r="3360">
          <cell r="I3360">
            <v>815004334</v>
          </cell>
          <cell r="J3360" t="str">
            <v>INSTITUCION EDUCATIVA TERESA CALDERON DE LASSO</v>
          </cell>
          <cell r="K3360">
            <v>66180672</v>
          </cell>
        </row>
        <row r="3361">
          <cell r="I3361">
            <v>815004342</v>
          </cell>
          <cell r="J3361" t="str">
            <v>INSTITUCION EDUCATIVA SANTA BARBARA</v>
          </cell>
          <cell r="K3361">
            <v>51445240</v>
          </cell>
        </row>
        <row r="3362">
          <cell r="I3362">
            <v>815004351</v>
          </cell>
          <cell r="J3362" t="str">
            <v>IE DE TABLONES</v>
          </cell>
          <cell r="K3362">
            <v>80606602</v>
          </cell>
        </row>
        <row r="3363">
          <cell r="I3363">
            <v>815004356</v>
          </cell>
          <cell r="J3363" t="str">
            <v>Fondo de servicio educativo  de la Inst. educativa Academico</v>
          </cell>
          <cell r="K3363">
            <v>144109094</v>
          </cell>
        </row>
        <row r="3364">
          <cell r="I3364">
            <v>815004366</v>
          </cell>
          <cell r="J3364" t="str">
            <v>Institucion educativa Gran Colombia</v>
          </cell>
          <cell r="K3364">
            <v>141257637</v>
          </cell>
        </row>
        <row r="3365">
          <cell r="I3365">
            <v>815004393</v>
          </cell>
          <cell r="J3365" t="str">
            <v>Institucion educativa Jose Maria Villegas</v>
          </cell>
          <cell r="K3365">
            <v>67723431</v>
          </cell>
        </row>
        <row r="3366">
          <cell r="I3366">
            <v>815004416</v>
          </cell>
          <cell r="J3366" t="str">
            <v>Fondos de servicios eductivos institucion educativa Tulio Enrique Tascon</v>
          </cell>
          <cell r="K3366">
            <v>225316359</v>
          </cell>
        </row>
        <row r="3367">
          <cell r="I3367">
            <v>815004417</v>
          </cell>
          <cell r="J3367" t="str">
            <v>Institucion educativa San Vicente</v>
          </cell>
          <cell r="K3367">
            <v>141225180</v>
          </cell>
        </row>
        <row r="3368">
          <cell r="I3368">
            <v>815004418</v>
          </cell>
          <cell r="J3368" t="str">
            <v>INSTITUCION EDUCATIVA INMACULADA CONCEPCION</v>
          </cell>
          <cell r="K3368">
            <v>316044123</v>
          </cell>
        </row>
        <row r="3369">
          <cell r="I3369">
            <v>815004462</v>
          </cell>
          <cell r="J3369" t="str">
            <v>Institucion educativa El Placer</v>
          </cell>
          <cell r="K3369">
            <v>19083857</v>
          </cell>
        </row>
        <row r="3370">
          <cell r="I3370">
            <v>815004472</v>
          </cell>
          <cell r="J3370" t="str">
            <v>INSTITUCION EDUCATIVA ANTONIO NARIÑO</v>
          </cell>
          <cell r="K3370">
            <v>30363668</v>
          </cell>
        </row>
        <row r="3371">
          <cell r="I3371">
            <v>815004488</v>
          </cell>
          <cell r="J3371" t="str">
            <v>INSTITUCION EDUCATIVA FRANCISCO MIRANDA</v>
          </cell>
          <cell r="K3371">
            <v>61647078</v>
          </cell>
        </row>
        <row r="3372">
          <cell r="I3372">
            <v>815004490</v>
          </cell>
          <cell r="J3372" t="str">
            <v>INSTITUCION EDUCATIVA JOSE MARIA CORDOBA</v>
          </cell>
          <cell r="K3372">
            <v>46930617</v>
          </cell>
        </row>
        <row r="3373">
          <cell r="I3373">
            <v>815004491</v>
          </cell>
          <cell r="J3373" t="str">
            <v>Institucion educativa Angel Cuadros</v>
          </cell>
          <cell r="K3373">
            <v>47577556</v>
          </cell>
        </row>
        <row r="3374">
          <cell r="I3374">
            <v>815004506</v>
          </cell>
          <cell r="J3374" t="str">
            <v>INSTITUCION EDUCATIVA JORGE ELIECER GAITAN</v>
          </cell>
          <cell r="K3374">
            <v>152228939</v>
          </cell>
        </row>
        <row r="3375">
          <cell r="I3375">
            <v>815004510</v>
          </cell>
          <cell r="J3375" t="str">
            <v>INSTITUCION EDUCAQTIVA ATENEO</v>
          </cell>
          <cell r="K3375">
            <v>232969791</v>
          </cell>
        </row>
        <row r="3376">
          <cell r="I3376">
            <v>815004532</v>
          </cell>
          <cell r="J3376" t="str">
            <v>INSTITUCION EDUCATIVA MARIA ANTONIA PENAGOS</v>
          </cell>
          <cell r="K3376">
            <v>136629856</v>
          </cell>
        </row>
        <row r="3377">
          <cell r="I3377">
            <v>815004541</v>
          </cell>
          <cell r="J3377" t="str">
            <v>INSTITUCION EDUCATIVA MARCO FIDEL SUAREZ</v>
          </cell>
          <cell r="K3377">
            <v>10732640</v>
          </cell>
        </row>
        <row r="3378">
          <cell r="I3378">
            <v>815004547</v>
          </cell>
          <cell r="J3378" t="str">
            <v>INSTITUCION EDUCATIVA SANTA ELENA</v>
          </cell>
          <cell r="K3378">
            <v>94693020</v>
          </cell>
        </row>
        <row r="3379">
          <cell r="I3379">
            <v>815004588</v>
          </cell>
          <cell r="J3379" t="str">
            <v>INSTITUCION EDUCATIVA JOSE CELESTINO MUTIS</v>
          </cell>
          <cell r="K3379">
            <v>35182167</v>
          </cell>
        </row>
        <row r="3380">
          <cell r="I3380">
            <v>815004606</v>
          </cell>
          <cell r="J3380" t="str">
            <v>FONDOS EDUCATIVOS INST MARINO RENGIFO</v>
          </cell>
          <cell r="K3380">
            <v>116124143</v>
          </cell>
        </row>
        <row r="3381">
          <cell r="I3381">
            <v>815004633</v>
          </cell>
          <cell r="J3381" t="str">
            <v>INSTITUCION EDUCATIVA JOSE IGNACIO OSPINA</v>
          </cell>
          <cell r="K3381">
            <v>32058673</v>
          </cell>
        </row>
        <row r="3382">
          <cell r="I3382">
            <v>815004634</v>
          </cell>
          <cell r="J3382" t="str">
            <v>INSTITUCION EDUCATIVA HERNANDO BORRERO CUADROS</v>
          </cell>
          <cell r="K3382">
            <v>35937657</v>
          </cell>
        </row>
        <row r="3383">
          <cell r="I3383">
            <v>815004675</v>
          </cell>
          <cell r="J3383" t="str">
            <v>INSTITUCION EDUCATIVA ANTONIO LIZARAZO</v>
          </cell>
          <cell r="K3383">
            <v>149427488</v>
          </cell>
        </row>
        <row r="3384">
          <cell r="I3384">
            <v>815004730</v>
          </cell>
          <cell r="J3384" t="str">
            <v>INSTITUCION EDUCATIVA PABLO VI</v>
          </cell>
          <cell r="K3384">
            <v>66771527</v>
          </cell>
        </row>
        <row r="3385">
          <cell r="I3385">
            <v>815004736</v>
          </cell>
          <cell r="J3385" t="str">
            <v>CE PANEBIANCO AMERICANO</v>
          </cell>
          <cell r="K3385">
            <v>127066062</v>
          </cell>
        </row>
        <row r="3386">
          <cell r="I3386">
            <v>815004746</v>
          </cell>
          <cell r="J3386" t="str">
            <v>INSTITUCION EDUCATIVA CARDENAS MIRRIÑAO</v>
          </cell>
          <cell r="K3386">
            <v>185460716</v>
          </cell>
        </row>
        <row r="3387">
          <cell r="I3387">
            <v>815004834</v>
          </cell>
          <cell r="J3387" t="str">
            <v>INSTITUCION EDUCATIVA ALFONSO LOPEZ P.</v>
          </cell>
          <cell r="K3387">
            <v>86434683</v>
          </cell>
        </row>
        <row r="3388">
          <cell r="I3388">
            <v>815004943</v>
          </cell>
          <cell r="J3388" t="str">
            <v>INSTITUCION EDUCATIVA CARDENAS CENTRO</v>
          </cell>
          <cell r="K3388">
            <v>118169534</v>
          </cell>
        </row>
        <row r="3389">
          <cell r="I3389">
            <v>815005230</v>
          </cell>
          <cell r="J3389" t="str">
            <v>Institucion educativa Nuestra Señora de Fatima</v>
          </cell>
          <cell r="K3389">
            <v>18754916</v>
          </cell>
        </row>
        <row r="3390">
          <cell r="I3390">
            <v>816000231</v>
          </cell>
          <cell r="J3390" t="str">
            <v>FONDO DE SERVICIOS EDUCATIVOS-INSTITUCION EDUCATIVA AUGUSTO ZULUAGA PATIÑO</v>
          </cell>
          <cell r="K3390">
            <v>64632883</v>
          </cell>
        </row>
        <row r="3391">
          <cell r="I3391">
            <v>816000514</v>
          </cell>
          <cell r="J3391" t="str">
            <v>FONDO SERV EDUCAT INST EDUC MANUEL E. PATARROYO</v>
          </cell>
          <cell r="K3391">
            <v>152145906</v>
          </cell>
        </row>
        <row r="3392">
          <cell r="I3392">
            <v>816000542</v>
          </cell>
          <cell r="J3392" t="str">
            <v>INSTITUCION EDUCATIVA AGROAMBIENTAL PIO  XXI</v>
          </cell>
          <cell r="K3392">
            <v>42748279</v>
          </cell>
        </row>
        <row r="3393">
          <cell r="I3393">
            <v>816000699</v>
          </cell>
          <cell r="J3393" t="str">
            <v>INSTITUCION EDUCATIVA MARIA DOLOROSA-FRANCISCO JAVIER</v>
          </cell>
          <cell r="K3393">
            <v>75834873</v>
          </cell>
        </row>
        <row r="3394">
          <cell r="I3394">
            <v>816000739</v>
          </cell>
          <cell r="J3394" t="str">
            <v>INSTITUCION EDUCATIVA JUAN MANUEL GONZALEZ</v>
          </cell>
          <cell r="K3394">
            <v>94329301</v>
          </cell>
        </row>
        <row r="3395">
          <cell r="I3395">
            <v>816000830</v>
          </cell>
          <cell r="J3395" t="str">
            <v>INSTITUTO EDUCATIVO NUESTRA SEÑORADE GUADALUPE</v>
          </cell>
          <cell r="K3395">
            <v>104613912</v>
          </cell>
        </row>
        <row r="3396">
          <cell r="I3396">
            <v>816000862</v>
          </cell>
          <cell r="J3396" t="str">
            <v>INSTITUCION EDUCATIVA CARLOS CASTRO SAAVEDRA</v>
          </cell>
          <cell r="K3396">
            <v>90534001</v>
          </cell>
        </row>
        <row r="3397">
          <cell r="I3397">
            <v>816000891</v>
          </cell>
          <cell r="J3397" t="str">
            <v>INSTITUCION OFICIAL NUEVA GRANADA</v>
          </cell>
          <cell r="K3397">
            <v>93058086</v>
          </cell>
        </row>
        <row r="3398">
          <cell r="I3398">
            <v>816000905</v>
          </cell>
          <cell r="J3398" t="str">
            <v>INSTITUCION EDUCATIVA INSTITUTO INTEGRADO IRRA</v>
          </cell>
          <cell r="K3398">
            <v>52192264</v>
          </cell>
        </row>
        <row r="3399">
          <cell r="I3399">
            <v>816000910</v>
          </cell>
          <cell r="J3399" t="str">
            <v>INSTITUCION EDUCATIVA JORGE ELIECER GAITAN</v>
          </cell>
          <cell r="K3399">
            <v>37619126</v>
          </cell>
        </row>
        <row r="3400">
          <cell r="I3400">
            <v>816001217</v>
          </cell>
          <cell r="J3400" t="str">
            <v>INSTITUCION EDUCATIVA SAN PABLO</v>
          </cell>
          <cell r="K3400">
            <v>62833451</v>
          </cell>
        </row>
        <row r="3401">
          <cell r="I3401">
            <v>816001230</v>
          </cell>
          <cell r="J3401" t="str">
            <v>INSTITUCION EDUCATIVA REMIGIO ANTONIO CAÑARTE</v>
          </cell>
          <cell r="K3401">
            <v>70197237</v>
          </cell>
        </row>
        <row r="3402">
          <cell r="I3402">
            <v>816001232</v>
          </cell>
          <cell r="J3402" t="str">
            <v>INSTITUCION EDUCATIVA RAFAEL URIBE URIBE</v>
          </cell>
          <cell r="K3402">
            <v>69451951</v>
          </cell>
        </row>
        <row r="3403">
          <cell r="I3403">
            <v>816001296</v>
          </cell>
          <cell r="J3403" t="str">
            <v>COLEGIO MUNDO NUEVO</v>
          </cell>
          <cell r="K3403">
            <v>24549643</v>
          </cell>
        </row>
        <row r="3404">
          <cell r="I3404">
            <v>816001501</v>
          </cell>
          <cell r="J3404" t="str">
            <v>IE HANS DREWS ARANGO</v>
          </cell>
          <cell r="K3404">
            <v>82292569</v>
          </cell>
        </row>
        <row r="3405">
          <cell r="I3405">
            <v>816001632</v>
          </cell>
          <cell r="J3405" t="str">
            <v>INSTITUCION EDUCATIVA CIUDAD BOQUIA</v>
          </cell>
          <cell r="K3405">
            <v>154949124</v>
          </cell>
        </row>
        <row r="3406">
          <cell r="I3406">
            <v>816001837</v>
          </cell>
          <cell r="J3406" t="str">
            <v>INSTITUCION EDUCATIVA SAN VICENTE HOGAR</v>
          </cell>
          <cell r="K3406">
            <v>63739633</v>
          </cell>
        </row>
        <row r="3407">
          <cell r="I3407">
            <v>816001860</v>
          </cell>
          <cell r="J3407" t="str">
            <v>INSTITUCION EDUCATIVA FRANCISCO DE PAULA SANTANDER</v>
          </cell>
          <cell r="K3407">
            <v>24802422</v>
          </cell>
        </row>
        <row r="3408">
          <cell r="I3408">
            <v>816001947</v>
          </cell>
          <cell r="J3408" t="str">
            <v>INSTITUCION EDUCATIVA RODRIGO ARENAS BETANCURT</v>
          </cell>
          <cell r="K3408">
            <v>72474667</v>
          </cell>
        </row>
        <row r="3409">
          <cell r="I3409">
            <v>816001984</v>
          </cell>
          <cell r="J3409" t="str">
            <v>INSTITUCION EDUCATIVA JESUS DE LA BUENA ESPERANZA</v>
          </cell>
          <cell r="K3409">
            <v>50518358</v>
          </cell>
        </row>
        <row r="3410">
          <cell r="I3410">
            <v>816002032</v>
          </cell>
          <cell r="J3410" t="str">
            <v>INSTITUCION EDUCATIVA CENTENARIO</v>
          </cell>
          <cell r="K3410">
            <v>47655324</v>
          </cell>
        </row>
        <row r="3411">
          <cell r="I3411">
            <v>816002101</v>
          </cell>
          <cell r="J3411" t="str">
            <v>INSTITUCION EDUCATIVA INSTITUTO GUATICA</v>
          </cell>
          <cell r="K3411">
            <v>47557709</v>
          </cell>
        </row>
        <row r="3412">
          <cell r="I3412">
            <v>816002206</v>
          </cell>
          <cell r="J3412" t="str">
            <v>INSTITUCION EDUCATIVA MIRACAMPOS</v>
          </cell>
          <cell r="K3412">
            <v>49390083</v>
          </cell>
        </row>
        <row r="3413">
          <cell r="I3413">
            <v>816002347</v>
          </cell>
          <cell r="J3413" t="str">
            <v>INSTITUCION EDUCATIVA BOYACA</v>
          </cell>
          <cell r="K3413">
            <v>115926658</v>
          </cell>
        </row>
        <row r="3414">
          <cell r="I3414">
            <v>816002480</v>
          </cell>
          <cell r="J3414" t="str">
            <v>INSTITUCION EDUCATIVA ALFONSO LOPEZ PUMAREJO</v>
          </cell>
          <cell r="K3414">
            <v>56032160</v>
          </cell>
        </row>
        <row r="3415">
          <cell r="I3415">
            <v>816002678</v>
          </cell>
          <cell r="J3415" t="str">
            <v>INSTITUCION EDUCATIVA SANTA SOFIA</v>
          </cell>
          <cell r="K3415">
            <v>139934670</v>
          </cell>
        </row>
        <row r="3416">
          <cell r="I3416">
            <v>816002832</v>
          </cell>
          <cell r="J3416" t="str">
            <v>INSTITUCION EDUCATIVA LENINGRADO</v>
          </cell>
          <cell r="K3416">
            <v>19966734</v>
          </cell>
        </row>
        <row r="3417">
          <cell r="I3417">
            <v>816002838</v>
          </cell>
          <cell r="J3417" t="str">
            <v>INSTITUCION EDUCATIVA SAN NICOLAS</v>
          </cell>
          <cell r="K3417">
            <v>50243057</v>
          </cell>
        </row>
        <row r="3418">
          <cell r="I3418">
            <v>816002930</v>
          </cell>
          <cell r="J3418" t="str">
            <v>INSTITUTO DE EDUCACION ESPERANZA GALICIA</v>
          </cell>
          <cell r="K3418">
            <v>23321155</v>
          </cell>
        </row>
        <row r="3419">
          <cell r="I3419">
            <v>816002971</v>
          </cell>
          <cell r="J3419" t="str">
            <v>INSTITUTO DOCENTE ENRIQUE MILLAN RUBIO</v>
          </cell>
          <cell r="K3419">
            <v>30121785</v>
          </cell>
        </row>
        <row r="3420">
          <cell r="I3420">
            <v>816002999</v>
          </cell>
          <cell r="J3420" t="str">
            <v>IE COMUNITARIO CERRITOS</v>
          </cell>
          <cell r="K3420">
            <v>82821560</v>
          </cell>
        </row>
        <row r="3421">
          <cell r="I3421">
            <v>816003156</v>
          </cell>
          <cell r="J3421" t="str">
            <v>CENTRO EDUCATIVA SAN ANTONIO DE PADUA</v>
          </cell>
          <cell r="K3421">
            <v>14644328</v>
          </cell>
        </row>
        <row r="3422">
          <cell r="I3422">
            <v>816003212</v>
          </cell>
          <cell r="J3422" t="str">
            <v>INSTITUCION EDUCATIVA SAN JOAQUIN</v>
          </cell>
          <cell r="K3422">
            <v>66945201</v>
          </cell>
        </row>
        <row r="3423">
          <cell r="I3423">
            <v>816003264</v>
          </cell>
          <cell r="J3423" t="str">
            <v>FONDOS DE SERVICIOS EDUCATIVOS IE BOSQUES DE LA ACUARELA</v>
          </cell>
          <cell r="K3423">
            <v>105564003</v>
          </cell>
        </row>
        <row r="3424">
          <cell r="I3424">
            <v>816003396</v>
          </cell>
          <cell r="J3424" t="str">
            <v>CENTRO EDUCATIVO MATECAÑA</v>
          </cell>
          <cell r="K3424">
            <v>38274519</v>
          </cell>
        </row>
        <row r="3425">
          <cell r="I3425">
            <v>816003420</v>
          </cell>
          <cell r="J3425" t="str">
            <v>INSTITUTO DOCENTE TREINTA DE AGOSTO</v>
          </cell>
          <cell r="K3425">
            <v>23907798</v>
          </cell>
        </row>
        <row r="3426">
          <cell r="I3426">
            <v>816003905</v>
          </cell>
          <cell r="J3426" t="str">
            <v>INSTITUCION EDUCATIVA SOFIA HERNANDEZ</v>
          </cell>
          <cell r="K3426">
            <v>34857097</v>
          </cell>
        </row>
        <row r="3427">
          <cell r="I3427">
            <v>816003965</v>
          </cell>
          <cell r="J3427" t="str">
            <v>INSTITUCION EDUCATIVA GABRIEL TRUJILLO</v>
          </cell>
          <cell r="K3427">
            <v>106345161</v>
          </cell>
        </row>
        <row r="3428">
          <cell r="I3428">
            <v>816004312</v>
          </cell>
          <cell r="J3428" t="str">
            <v>INSTITUCION EDUCATIVA EL RETIRO</v>
          </cell>
          <cell r="K3428">
            <v>36567062</v>
          </cell>
        </row>
        <row r="3429">
          <cell r="I3429">
            <v>816004331</v>
          </cell>
          <cell r="J3429" t="str">
            <v>COLEGIO PABLO EMILIO CARDONA</v>
          </cell>
          <cell r="K3429">
            <v>70388987</v>
          </cell>
        </row>
        <row r="3430">
          <cell r="I3430">
            <v>816004731</v>
          </cell>
          <cell r="J3430" t="str">
            <v>INSTITUCION EDUCATIVA OFICIAL SAN FERNANDO</v>
          </cell>
          <cell r="K3430">
            <v>78607374</v>
          </cell>
        </row>
        <row r="3431">
          <cell r="I3431">
            <v>816004819</v>
          </cell>
          <cell r="J3431" t="str">
            <v>CENTRO EDUCATIVO MARIA CRISTINA GOMEZ</v>
          </cell>
          <cell r="K3431">
            <v>14847372</v>
          </cell>
        </row>
        <row r="3432">
          <cell r="I3432">
            <v>816004993</v>
          </cell>
          <cell r="J3432" t="str">
            <v>INSTITUCION EDUCATIVA PATIO BONITO</v>
          </cell>
          <cell r="K3432">
            <v>24833930</v>
          </cell>
        </row>
        <row r="3433">
          <cell r="I3433">
            <v>816005849</v>
          </cell>
          <cell r="J3433" t="str">
            <v>COLEGIO SURORIENTAL DE PEREIRA</v>
          </cell>
          <cell r="K3433">
            <v>76187993</v>
          </cell>
        </row>
        <row r="3434">
          <cell r="I3434">
            <v>816006192</v>
          </cell>
          <cell r="J3434" t="str">
            <v>CENTRO EDUCATIVO PUERTO CALDAS BAJO</v>
          </cell>
          <cell r="K3434">
            <v>11524368</v>
          </cell>
        </row>
        <row r="3435">
          <cell r="I3435">
            <v>816006205</v>
          </cell>
          <cell r="J3435" t="str">
            <v>CENTRO DOCENTE LA CARBONERA</v>
          </cell>
          <cell r="K3435">
            <v>15787490</v>
          </cell>
        </row>
        <row r="3436">
          <cell r="I3436">
            <v>816006215</v>
          </cell>
          <cell r="J3436" t="str">
            <v>INSTITUCION EDUCATIVA CIUDADELA CUBA</v>
          </cell>
          <cell r="K3436">
            <v>196885910</v>
          </cell>
        </row>
        <row r="3437">
          <cell r="I3437">
            <v>816006253</v>
          </cell>
          <cell r="J3437" t="str">
            <v>ESCUELA BETULIA BAJA</v>
          </cell>
          <cell r="K3437">
            <v>10461410</v>
          </cell>
        </row>
        <row r="3438">
          <cell r="I3438">
            <v>816006276</v>
          </cell>
          <cell r="J3438" t="str">
            <v>INSTITUCION EDUCATIVA INSTITUTO EDUCATIVO LA VIRGINIA</v>
          </cell>
          <cell r="K3438">
            <v>42827776</v>
          </cell>
        </row>
        <row r="3439">
          <cell r="I3439">
            <v>816006283</v>
          </cell>
          <cell r="J3439" t="str">
            <v>INSTITUCION EDUCATIVA EL DORADO</v>
          </cell>
          <cell r="K3439">
            <v>46094226</v>
          </cell>
        </row>
        <row r="3440">
          <cell r="I3440">
            <v>816006284</v>
          </cell>
          <cell r="J3440" t="str">
            <v>COLEGIO BASICO COMPARTIR LAS BRISAS</v>
          </cell>
          <cell r="K3440">
            <v>70467807</v>
          </cell>
        </row>
        <row r="3441">
          <cell r="I3441">
            <v>816006339</v>
          </cell>
          <cell r="J3441" t="str">
            <v>INSTITUCION EDUCATIVA LUIS CARLOS GONZALEZ</v>
          </cell>
          <cell r="K3441">
            <v>76768648</v>
          </cell>
        </row>
        <row r="3442">
          <cell r="I3442">
            <v>816006409</v>
          </cell>
          <cell r="J3442" t="str">
            <v>INSTITUCION EDUCATIVA CARLOS EDUARDO VASCO URIBE</v>
          </cell>
          <cell r="K3442">
            <v>132000030</v>
          </cell>
        </row>
        <row r="3443">
          <cell r="I3443">
            <v>816006428</v>
          </cell>
          <cell r="J3443" t="str">
            <v>INSTITUCION EDUCATIVA LA BELLA</v>
          </cell>
          <cell r="K3443">
            <v>36631530</v>
          </cell>
        </row>
        <row r="3444">
          <cell r="I3444">
            <v>816007166</v>
          </cell>
          <cell r="J3444" t="str">
            <v>INSTITUCION EDUCATIVA CREC GUILLERMO HOYOS</v>
          </cell>
          <cell r="K3444">
            <v>17666253</v>
          </cell>
        </row>
        <row r="3445">
          <cell r="I3445">
            <v>816007239</v>
          </cell>
          <cell r="J3445" t="str">
            <v>INSTITUCION EDUCATIVA EL PITAL</v>
          </cell>
          <cell r="K3445">
            <v>60633932</v>
          </cell>
        </row>
        <row r="3446">
          <cell r="I3446">
            <v>816007244</v>
          </cell>
          <cell r="J3446" t="str">
            <v>INSTITUCION EDUCATIVA ESCUELA DE LA PALABRA</v>
          </cell>
          <cell r="K3446">
            <v>33269864</v>
          </cell>
        </row>
        <row r="3447">
          <cell r="I3447">
            <v>816007274</v>
          </cell>
          <cell r="J3447" t="str">
            <v>BACHILLERATO EN BIENESTAR RURAL</v>
          </cell>
          <cell r="K3447">
            <v>195347256</v>
          </cell>
        </row>
        <row r="3448">
          <cell r="I3448">
            <v>816007457</v>
          </cell>
          <cell r="J3448" t="str">
            <v>INSTITUCION EDUCATIVA SANTA ELENA</v>
          </cell>
          <cell r="K3448">
            <v>38169315</v>
          </cell>
        </row>
        <row r="3449">
          <cell r="I3449">
            <v>817000022</v>
          </cell>
          <cell r="J3449" t="str">
            <v>institucion educativa agroecologico de sevilla</v>
          </cell>
          <cell r="K3449">
            <v>34674179</v>
          </cell>
        </row>
        <row r="3450">
          <cell r="I3450">
            <v>817000052</v>
          </cell>
          <cell r="J3450" t="str">
            <v>INSTITUCION EDUCATIVA AGROPECUARIA MARISCAL SUCRE</v>
          </cell>
          <cell r="K3450">
            <v>60893477</v>
          </cell>
        </row>
        <row r="3451">
          <cell r="I3451">
            <v>817000164</v>
          </cell>
          <cell r="J3451" t="str">
            <v>INSTITUCION EDUCATIVA AGROPECUARIA INTEGRADO SOTARA</v>
          </cell>
          <cell r="K3451">
            <v>23872561</v>
          </cell>
        </row>
        <row r="3452">
          <cell r="I3452">
            <v>817000291</v>
          </cell>
          <cell r="J3452" t="str">
            <v>INSTITUCION EDUCATIVA FRANCISCO JOSE DE CALDAS</v>
          </cell>
          <cell r="K3452">
            <v>59088714</v>
          </cell>
        </row>
        <row r="3453">
          <cell r="I3453">
            <v>817000340</v>
          </cell>
          <cell r="J3453" t="str">
            <v>INSTITUCION EUDUCATIVA NUCLEO ESCOLAR FONDOS DE SERVICIOS EDUCATIVOS</v>
          </cell>
          <cell r="K3453">
            <v>50480760</v>
          </cell>
        </row>
        <row r="3454">
          <cell r="I3454">
            <v>817000348</v>
          </cell>
          <cell r="J3454" t="str">
            <v>INSTITUCION EDUCATIVA AGRICOLA DE NUESTRA SEÑORA DE LA CANDELARIA</v>
          </cell>
          <cell r="K3454">
            <v>83565738</v>
          </cell>
        </row>
        <row r="3455">
          <cell r="I3455">
            <v>817000360</v>
          </cell>
          <cell r="J3455" t="str">
            <v>institucion educativa santa de rosa de lima la toma</v>
          </cell>
          <cell r="K3455">
            <v>35532964</v>
          </cell>
        </row>
        <row r="3456">
          <cell r="I3456">
            <v>817000400</v>
          </cell>
          <cell r="J3456" t="str">
            <v>institución educativa microempresarial agropecuaria de san andres-fondo de servicios educativos</v>
          </cell>
          <cell r="K3456">
            <v>42647208</v>
          </cell>
        </row>
        <row r="3457">
          <cell r="I3457">
            <v>817000449</v>
          </cell>
          <cell r="J3457" t="str">
            <v>INSTITUTO AGRICOLA FELIX MARIA ORTIZ FONDOS DE SERVICIOS EDUCATIVOS</v>
          </cell>
          <cell r="K3457">
            <v>25656123</v>
          </cell>
        </row>
        <row r="3458">
          <cell r="I3458">
            <v>817000506</v>
          </cell>
          <cell r="J3458" t="str">
            <v>INSTITUCION EDUCATIVA NORMAL SUPERIOR DE GUAPI</v>
          </cell>
          <cell r="K3458">
            <v>102526792</v>
          </cell>
        </row>
        <row r="3459">
          <cell r="I3459">
            <v>817000566</v>
          </cell>
          <cell r="J3459" t="str">
            <v>INSTITUCION EDUCATIVA LA ESPERANZA</v>
          </cell>
          <cell r="K3459">
            <v>24487073</v>
          </cell>
        </row>
        <row r="3460">
          <cell r="I3460">
            <v>817000594</v>
          </cell>
          <cell r="J3460" t="str">
            <v>institucion educativa tecnico senon fabio villegas</v>
          </cell>
          <cell r="K3460">
            <v>82587324</v>
          </cell>
        </row>
        <row r="3461">
          <cell r="I3461">
            <v>817000642</v>
          </cell>
          <cell r="J3461" t="str">
            <v>INSTITUCION EDUCATIVA TECNICO MARISCAL SUCRE</v>
          </cell>
          <cell r="K3461">
            <v>77122930</v>
          </cell>
        </row>
        <row r="3462">
          <cell r="I3462">
            <v>817000664</v>
          </cell>
          <cell r="J3462" t="str">
            <v>institución educativa sagrada familia</v>
          </cell>
          <cell r="K3462">
            <v>40798967</v>
          </cell>
        </row>
        <row r="3463">
          <cell r="I3463">
            <v>817000937</v>
          </cell>
          <cell r="J3463" t="str">
            <v>INSTITUCION EDUCATIVA VASCO NUÑEZ DE BALBOA</v>
          </cell>
          <cell r="K3463">
            <v>136084941</v>
          </cell>
        </row>
        <row r="3464">
          <cell r="I3464">
            <v>817000943</v>
          </cell>
          <cell r="J3464" t="str">
            <v>INSTITUCION EDUCATIVA FRANCISCO  JOSE DE CALDAS</v>
          </cell>
          <cell r="K3464">
            <v>71279270</v>
          </cell>
        </row>
        <row r="3465">
          <cell r="I3465">
            <v>817000949</v>
          </cell>
          <cell r="J3465" t="str">
            <v>INSTITUION EDUCATIVA LIMBANIA</v>
          </cell>
          <cell r="K3465">
            <v>101035942</v>
          </cell>
        </row>
        <row r="3466">
          <cell r="I3466">
            <v>817000992</v>
          </cell>
          <cell r="J3466" t="str">
            <v>MUNICIPIO DE PIAMONTE</v>
          </cell>
          <cell r="K3466">
            <v>169740781</v>
          </cell>
        </row>
        <row r="3467">
          <cell r="I3467">
            <v>817001154</v>
          </cell>
          <cell r="J3467" t="str">
            <v>I.E. de Usenda</v>
          </cell>
          <cell r="K3467">
            <v>23685098</v>
          </cell>
        </row>
        <row r="3468">
          <cell r="I3468">
            <v>817001159</v>
          </cell>
          <cell r="J3468" t="str">
            <v>COLEGIO AGROPECUARIO HERMES MARTINEZ</v>
          </cell>
          <cell r="K3468">
            <v>53632555</v>
          </cell>
        </row>
        <row r="3469">
          <cell r="I3469">
            <v>817001179</v>
          </cell>
          <cell r="J3469" t="str">
            <v>INSTITUCION EDUCATIVA AGROPECUARIA JOSE DOLORES DAZA</v>
          </cell>
          <cell r="K3469">
            <v>66918494</v>
          </cell>
        </row>
        <row r="3470">
          <cell r="I3470">
            <v>817001400</v>
          </cell>
          <cell r="J3470" t="str">
            <v>INSTITUCION EDUCATIVA LA MILAGROSA</v>
          </cell>
          <cell r="K3470">
            <v>55353438</v>
          </cell>
        </row>
        <row r="3471">
          <cell r="I3471">
            <v>817001477</v>
          </cell>
          <cell r="J3471" t="str">
            <v>INSTITUCION EDUCATIVA SAGRADA FAMILIA</v>
          </cell>
          <cell r="K3471">
            <v>56825125</v>
          </cell>
        </row>
        <row r="3472">
          <cell r="I3472">
            <v>817001487</v>
          </cell>
          <cell r="J3472" t="str">
            <v>institución educativa san josé</v>
          </cell>
          <cell r="K3472">
            <v>46776210</v>
          </cell>
        </row>
        <row r="3473">
          <cell r="I3473">
            <v>817001720</v>
          </cell>
          <cell r="J3473" t="str">
            <v>institución educativa holanda</v>
          </cell>
          <cell r="K3473">
            <v>24235286</v>
          </cell>
        </row>
        <row r="3474">
          <cell r="I3474">
            <v>817001767</v>
          </cell>
          <cell r="J3474" t="str">
            <v>Fondo de Servicios Educativos Institucion Educativa Santa Rosa</v>
          </cell>
          <cell r="K3474">
            <v>24297589</v>
          </cell>
        </row>
        <row r="3475">
          <cell r="I3475">
            <v>817001799</v>
          </cell>
          <cell r="J3475" t="str">
            <v>Institucion Educativa Carlos M. Simmonds</v>
          </cell>
          <cell r="K3475">
            <v>99106507</v>
          </cell>
        </row>
        <row r="3476">
          <cell r="I3476">
            <v>817001805</v>
          </cell>
          <cell r="J3476" t="str">
            <v>Fondo de Servicios Educativos  de la Institucion Educativa Francisco Jose de Caldas</v>
          </cell>
          <cell r="K3476">
            <v>25205290</v>
          </cell>
        </row>
        <row r="3477">
          <cell r="I3477">
            <v>817001810</v>
          </cell>
          <cell r="J3477" t="str">
            <v>institución educativa simón bolivar</v>
          </cell>
          <cell r="K3477">
            <v>60764245</v>
          </cell>
        </row>
        <row r="3478">
          <cell r="I3478">
            <v>817001816</v>
          </cell>
          <cell r="J3478" t="str">
            <v>INSTITUCION EDUCATIVA ALFEREZ REAL</v>
          </cell>
          <cell r="K3478">
            <v>22772257</v>
          </cell>
        </row>
        <row r="3479">
          <cell r="I3479">
            <v>817001831</v>
          </cell>
          <cell r="J3479" t="str">
            <v>fondo de Servicios Docentes Colegio Madre</v>
          </cell>
          <cell r="K3479">
            <v>33377550</v>
          </cell>
        </row>
        <row r="3480">
          <cell r="I3480">
            <v>817001846</v>
          </cell>
          <cell r="J3480" t="str">
            <v>INSTITUCION EDUCATIVA INEM FRANCISCO JOSE DE CALDAS</v>
          </cell>
          <cell r="K3480">
            <v>92664569</v>
          </cell>
        </row>
        <row r="3481">
          <cell r="I3481">
            <v>817001852</v>
          </cell>
          <cell r="J3481" t="str">
            <v>FONDO DE SERVICIOS EDUCATIVOS LA MILAGROSA</v>
          </cell>
          <cell r="K3481">
            <v>49644739</v>
          </cell>
        </row>
        <row r="3482">
          <cell r="I3482">
            <v>817001853</v>
          </cell>
          <cell r="J3482" t="str">
            <v>INSTITUCION EDUCATIVA TOMAS CIPRIANO DE MOSQUERA</v>
          </cell>
          <cell r="K3482">
            <v>82121758</v>
          </cell>
        </row>
        <row r="3483">
          <cell r="I3483">
            <v>817001864</v>
          </cell>
          <cell r="J3483" t="str">
            <v>INSTITUCION EDUCATIVA SAN PEDRO CLAVER</v>
          </cell>
          <cell r="K3483">
            <v>64017109</v>
          </cell>
        </row>
        <row r="3484">
          <cell r="I3484">
            <v>817001917</v>
          </cell>
          <cell r="J3484" t="str">
            <v>institución educativa comercial cerro alto</v>
          </cell>
          <cell r="K3484">
            <v>43012480</v>
          </cell>
        </row>
        <row r="3485">
          <cell r="I3485">
            <v>817001924</v>
          </cell>
          <cell r="J3485" t="str">
            <v>INSTITUCION EDUCATIVA COMERCIAL DEL NORTE</v>
          </cell>
          <cell r="K3485">
            <v>121985597</v>
          </cell>
        </row>
        <row r="3486">
          <cell r="I3486">
            <v>817001928</v>
          </cell>
          <cell r="J3486" t="str">
            <v>Institucion Educativa Los Comuneros</v>
          </cell>
          <cell r="K3486">
            <v>51285974</v>
          </cell>
        </row>
        <row r="3487">
          <cell r="I3487">
            <v>817002012</v>
          </cell>
          <cell r="J3487" t="str">
            <v>INSTITUCION EDUCATIVA SAGRADO CORAZON</v>
          </cell>
          <cell r="K3487">
            <v>113689769</v>
          </cell>
        </row>
        <row r="3488">
          <cell r="I3488">
            <v>817002071</v>
          </cell>
          <cell r="J3488" t="str">
            <v>fondo  de  servicios  educativos de la  institución  educativa politecnico francisco de paula santander</v>
          </cell>
          <cell r="K3488">
            <v>68393807</v>
          </cell>
        </row>
        <row r="3489">
          <cell r="I3489">
            <v>817002077</v>
          </cell>
          <cell r="J3489" t="str">
            <v>Institución Educativa Santa Teresita</v>
          </cell>
          <cell r="K3489">
            <v>37245259</v>
          </cell>
        </row>
        <row r="3490">
          <cell r="I3490">
            <v>817002107</v>
          </cell>
          <cell r="J3490" t="str">
            <v>fondo de servicios docentes colegio san carlos</v>
          </cell>
          <cell r="K3490">
            <v>70476827</v>
          </cell>
        </row>
        <row r="3491">
          <cell r="I3491">
            <v>817002113</v>
          </cell>
          <cell r="J3491" t="str">
            <v>institucion educativa toribio paz moncayo</v>
          </cell>
          <cell r="K3491">
            <v>73859857</v>
          </cell>
        </row>
        <row r="3492">
          <cell r="I3492">
            <v>817002124</v>
          </cell>
          <cell r="J3492" t="str">
            <v>Institucion Educativa Niño Jesus de Praga</v>
          </cell>
          <cell r="K3492">
            <v>35108845</v>
          </cell>
        </row>
        <row r="3493">
          <cell r="I3493">
            <v>817002149</v>
          </cell>
          <cell r="J3493" t="str">
            <v>F.S.E. Institucion Educativa El Mirador</v>
          </cell>
          <cell r="K3493">
            <v>72206460</v>
          </cell>
        </row>
        <row r="3494">
          <cell r="I3494">
            <v>817002241</v>
          </cell>
          <cell r="J3494" t="str">
            <v>INSTITUCION EDUCATIVA AGROPECUARIA  LOS ROBLES</v>
          </cell>
          <cell r="K3494">
            <v>29645326</v>
          </cell>
        </row>
        <row r="3495">
          <cell r="I3495">
            <v>817002249</v>
          </cell>
          <cell r="J3495" t="str">
            <v>INSTITUCION EDUCATIVA AGROPECUARIA BRISAS DE MARILOPEZ</v>
          </cell>
          <cell r="K3495">
            <v>50700960</v>
          </cell>
        </row>
        <row r="3496">
          <cell r="I3496">
            <v>817002266</v>
          </cell>
          <cell r="J3496" t="str">
            <v>INST EDUC CAPITAN BERMUDEZ</v>
          </cell>
          <cell r="K3496">
            <v>42425745</v>
          </cell>
        </row>
        <row r="3497">
          <cell r="I3497">
            <v>817002334</v>
          </cell>
          <cell r="J3497" t="str">
            <v>INSTITUCION EDUCATIVA AGRICOLA SAN ALFONSO</v>
          </cell>
          <cell r="K3497">
            <v>33082070</v>
          </cell>
        </row>
        <row r="3498">
          <cell r="I3498">
            <v>817002347</v>
          </cell>
          <cell r="J3498" t="str">
            <v>fondo de servicios educativos institucion educativa agroindustrial de quilcace</v>
          </cell>
          <cell r="K3498">
            <v>27527375</v>
          </cell>
        </row>
        <row r="3499">
          <cell r="I3499">
            <v>817002450</v>
          </cell>
          <cell r="J3499" t="str">
            <v>institucion educativa piagua</v>
          </cell>
          <cell r="K3499">
            <v>31543782</v>
          </cell>
        </row>
        <row r="3500">
          <cell r="I3500">
            <v>817002484</v>
          </cell>
          <cell r="J3500" t="str">
            <v>INSTITUCION EDUCATIVA MADRE DE DIOS</v>
          </cell>
          <cell r="K3500">
            <v>78131105</v>
          </cell>
        </row>
        <row r="3501">
          <cell r="I3501">
            <v>817002520</v>
          </cell>
          <cell r="J3501" t="str">
            <v>Institucion Educativa Negret Velasco</v>
          </cell>
          <cell r="K3501">
            <v>58454118</v>
          </cell>
        </row>
        <row r="3502">
          <cell r="I3502">
            <v>817002535</v>
          </cell>
          <cell r="J3502" t="str">
            <v>institución educativa ecológica veredas unidas</v>
          </cell>
          <cell r="K3502">
            <v>29186483</v>
          </cell>
        </row>
        <row r="3503">
          <cell r="I3503">
            <v>817002648</v>
          </cell>
          <cell r="J3503" t="str">
            <v>INSTITUCION EDUCATIVA COMERCIAL EL PALO</v>
          </cell>
          <cell r="K3503">
            <v>77704882</v>
          </cell>
        </row>
        <row r="3504">
          <cell r="I3504">
            <v>817002675</v>
          </cell>
          <cell r="J3504" t="str">
            <v>MUNICIPIO DE VILLA RICA CAUCA</v>
          </cell>
          <cell r="K3504">
            <v>137208925</v>
          </cell>
        </row>
        <row r="3505">
          <cell r="I3505">
            <v>817002769</v>
          </cell>
          <cell r="J3505" t="str">
            <v>institucion educativa agropecuaria villalobos</v>
          </cell>
          <cell r="K3505">
            <v>36003051</v>
          </cell>
        </row>
        <row r="3506">
          <cell r="I3506">
            <v>817002798</v>
          </cell>
          <cell r="J3506" t="str">
            <v>INSTITUCION AGROINDUSTRIAL VICTOR MANUEL CHAUX VILLAMIL</v>
          </cell>
          <cell r="K3506">
            <v>33623798</v>
          </cell>
        </row>
        <row r="3507">
          <cell r="I3507">
            <v>817002824</v>
          </cell>
          <cell r="J3507" t="str">
            <v>INSTITUCION EDUCATIVA ARBOLEDA</v>
          </cell>
          <cell r="K3507">
            <v>15568242</v>
          </cell>
        </row>
        <row r="3508">
          <cell r="I3508">
            <v>817002839</v>
          </cell>
          <cell r="J3508" t="str">
            <v>INSTITUCION EDUCATIVA SAN LUIS</v>
          </cell>
          <cell r="K3508">
            <v>29992946</v>
          </cell>
        </row>
        <row r="3509">
          <cell r="I3509">
            <v>817003139</v>
          </cell>
          <cell r="J3509" t="str">
            <v>fondo de servicio educativo institución educativa agricola justiniano ocoro</v>
          </cell>
          <cell r="K3509">
            <v>122195485</v>
          </cell>
        </row>
        <row r="3510">
          <cell r="I3510">
            <v>817003309</v>
          </cell>
          <cell r="J3510" t="str">
            <v>INSTITUCION EDUCATIVA MOJARRAS</v>
          </cell>
          <cell r="K3510">
            <v>22160890</v>
          </cell>
        </row>
        <row r="3511">
          <cell r="I3511">
            <v>817003352</v>
          </cell>
          <cell r="J3511" t="str">
            <v>INSTITUCION EDUCATIVA  SANTA  ANA</v>
          </cell>
          <cell r="K3511">
            <v>25527247</v>
          </cell>
        </row>
        <row r="3512">
          <cell r="I3512">
            <v>817003464</v>
          </cell>
          <cell r="J3512" t="str">
            <v>Institucion Educativa Rafael Pombo</v>
          </cell>
          <cell r="K3512">
            <v>44697578</v>
          </cell>
        </row>
        <row r="3513">
          <cell r="I3513">
            <v>817003472</v>
          </cell>
          <cell r="J3513" t="str">
            <v>INSTITUCION EDUCATIVA ANA SILENA ARROYAVE ROA</v>
          </cell>
          <cell r="K3513">
            <v>29933084</v>
          </cell>
        </row>
        <row r="3514">
          <cell r="I3514">
            <v>817003487</v>
          </cell>
          <cell r="J3514" t="str">
            <v>INSTITUCION EDUCATIVA AGROPECUARIO PALO BLANCO</v>
          </cell>
          <cell r="K3514">
            <v>57975792</v>
          </cell>
        </row>
        <row r="3515">
          <cell r="I3515">
            <v>817003509</v>
          </cell>
          <cell r="J3515" t="str">
            <v>Institucion Educativa La Pamba</v>
          </cell>
          <cell r="K3515">
            <v>27222660</v>
          </cell>
        </row>
        <row r="3516">
          <cell r="I3516">
            <v>817003572</v>
          </cell>
          <cell r="J3516" t="str">
            <v>INSTITUCION EDUCATIVA AGROPECUARIA MAZAMORRERO</v>
          </cell>
          <cell r="K3516">
            <v>49454853</v>
          </cell>
        </row>
        <row r="3517">
          <cell r="I3517">
            <v>817003838</v>
          </cell>
          <cell r="J3517" t="str">
            <v>FONDOD E SERVICIOS EDUCATIVOS INSTITUCION EDUCATIVA EL CRUCERO SOTARA</v>
          </cell>
          <cell r="K3517">
            <v>17481366</v>
          </cell>
        </row>
        <row r="3518">
          <cell r="I3518">
            <v>817003903</v>
          </cell>
          <cell r="J3518" t="str">
            <v>colegio integrado el carmen</v>
          </cell>
          <cell r="K3518">
            <v>55940643</v>
          </cell>
        </row>
        <row r="3519">
          <cell r="I3519">
            <v>817003943</v>
          </cell>
          <cell r="J3519" t="str">
            <v>INSTITUCION EDUCATIVA LA MESA</v>
          </cell>
          <cell r="K3519">
            <v>31915195</v>
          </cell>
        </row>
        <row r="3520">
          <cell r="I3520">
            <v>817003946</v>
          </cell>
          <cell r="J3520" t="str">
            <v>colegio mixto integrado santa elena</v>
          </cell>
          <cell r="K3520">
            <v>33772261</v>
          </cell>
        </row>
        <row r="3521">
          <cell r="I3521">
            <v>817004168</v>
          </cell>
          <cell r="J3521" t="str">
            <v>fdo serv educ simon bolivar</v>
          </cell>
          <cell r="K3521">
            <v>92541717</v>
          </cell>
        </row>
        <row r="3522">
          <cell r="I3522">
            <v>817004311</v>
          </cell>
          <cell r="J3522" t="str">
            <v>Institucion Educativa Nor-Occidente</v>
          </cell>
          <cell r="K3522">
            <v>30724298</v>
          </cell>
        </row>
        <row r="3523">
          <cell r="I3523">
            <v>817004357</v>
          </cell>
          <cell r="J3523" t="str">
            <v>institución educativa pablo VI</v>
          </cell>
          <cell r="K3523">
            <v>114828024</v>
          </cell>
        </row>
        <row r="3524">
          <cell r="I3524">
            <v>817004382</v>
          </cell>
          <cell r="J3524" t="str">
            <v>institucion educativa escuela niormal superior los andes</v>
          </cell>
          <cell r="K3524">
            <v>40644433</v>
          </cell>
        </row>
        <row r="3525">
          <cell r="I3525">
            <v>817004493</v>
          </cell>
          <cell r="J3525" t="str">
            <v>institucion educativa tecnica miguel zapata</v>
          </cell>
          <cell r="K3525">
            <v>107144792</v>
          </cell>
        </row>
        <row r="3526">
          <cell r="I3526">
            <v>817004647</v>
          </cell>
          <cell r="J3526" t="str">
            <v>institucion educativa de chisquio</v>
          </cell>
          <cell r="K3526">
            <v>27576826</v>
          </cell>
        </row>
        <row r="3527">
          <cell r="I3527">
            <v>817004899</v>
          </cell>
          <cell r="J3527" t="str">
            <v>institucion educativa san jose de altamira</v>
          </cell>
          <cell r="K3527">
            <v>25003895</v>
          </cell>
        </row>
        <row r="3528">
          <cell r="I3528">
            <v>817004907</v>
          </cell>
          <cell r="J3528" t="str">
            <v>institucion educativa agropecuaria san sebastian</v>
          </cell>
          <cell r="K3528">
            <v>14696885</v>
          </cell>
        </row>
        <row r="3529">
          <cell r="I3529">
            <v>817005022</v>
          </cell>
          <cell r="J3529" t="str">
            <v>Institucion Educativa Republica de Suiza</v>
          </cell>
          <cell r="K3529">
            <v>67576394</v>
          </cell>
        </row>
        <row r="3530">
          <cell r="I3530">
            <v>817005066</v>
          </cell>
          <cell r="J3530" t="str">
            <v>INSTITUCION EDUCATIVA LA NINA MARIA</v>
          </cell>
          <cell r="K3530">
            <v>34626566</v>
          </cell>
        </row>
        <row r="3531">
          <cell r="I3531">
            <v>817005076</v>
          </cell>
          <cell r="J3531" t="str">
            <v>fondo  de servicios educativos  colegio  basico cuatro  esquinas</v>
          </cell>
          <cell r="K3531">
            <v>46445068</v>
          </cell>
        </row>
        <row r="3532">
          <cell r="I3532">
            <v>817005077</v>
          </cell>
          <cell r="J3532" t="str">
            <v>Institucion Educativa Julumito</v>
          </cell>
          <cell r="K3532">
            <v>60635631</v>
          </cell>
        </row>
        <row r="3533">
          <cell r="I3533">
            <v>817005250</v>
          </cell>
          <cell r="J3533" t="str">
            <v>INSTITUCION NUEVA VISION DE HONDURAS</v>
          </cell>
          <cell r="K3533">
            <v>73693275</v>
          </cell>
        </row>
        <row r="3534">
          <cell r="I3534">
            <v>817005288</v>
          </cell>
          <cell r="J3534" t="str">
            <v>fondo de servicios educativos</v>
          </cell>
          <cell r="K3534">
            <v>38205677</v>
          </cell>
        </row>
        <row r="3535">
          <cell r="I3535">
            <v>817005351</v>
          </cell>
          <cell r="J3535" t="str">
            <v>instituto agricola valencia</v>
          </cell>
          <cell r="K3535">
            <v>20267382</v>
          </cell>
        </row>
        <row r="3536">
          <cell r="I3536">
            <v>817005367</v>
          </cell>
          <cell r="J3536" t="str">
            <v>fondo de servicios educativos institucion educativa los anayes</v>
          </cell>
          <cell r="K3536">
            <v>37289962</v>
          </cell>
        </row>
        <row r="3537">
          <cell r="I3537">
            <v>817005400</v>
          </cell>
          <cell r="J3537" t="str">
            <v>INSTITUCION EDUCATIVA LAS BOTAS</v>
          </cell>
          <cell r="K3537">
            <v>4297814</v>
          </cell>
        </row>
        <row r="3538">
          <cell r="I3538">
            <v>817005504</v>
          </cell>
          <cell r="J3538" t="str">
            <v>INSTITUCION EDUCATIVA AGROPECUARIA LA CAPILLA</v>
          </cell>
          <cell r="K3538">
            <v>44984363</v>
          </cell>
        </row>
        <row r="3539">
          <cell r="I3539">
            <v>817005525</v>
          </cell>
          <cell r="J3539" t="str">
            <v>INSTITUCION EDUCATIVA LA MESETA</v>
          </cell>
          <cell r="K3539">
            <v>31841274</v>
          </cell>
        </row>
        <row r="3540">
          <cell r="I3540">
            <v>817005528</v>
          </cell>
          <cell r="J3540" t="str">
            <v>colegio basico sinai</v>
          </cell>
          <cell r="K3540">
            <v>43080406</v>
          </cell>
        </row>
        <row r="3541">
          <cell r="I3541">
            <v>817005534</v>
          </cell>
          <cell r="J3541" t="str">
            <v>institucion educativa juan ignacio</v>
          </cell>
          <cell r="K3541">
            <v>31764152</v>
          </cell>
        </row>
        <row r="3542">
          <cell r="I3542">
            <v>817005568</v>
          </cell>
          <cell r="J3542" t="str">
            <v>INSTITUCION EDUCATIVA AGROPECUARIA MAXIMO GOMEZ</v>
          </cell>
          <cell r="K3542">
            <v>113026710</v>
          </cell>
        </row>
        <row r="3543">
          <cell r="I3543">
            <v>817005570</v>
          </cell>
          <cell r="J3543" t="str">
            <v>INSTITUCION EDUCATIVA LOS SOMBRERILLOS</v>
          </cell>
          <cell r="K3543">
            <v>21776837</v>
          </cell>
        </row>
        <row r="3544">
          <cell r="I3544">
            <v>817005586</v>
          </cell>
          <cell r="J3544" t="str">
            <v>Fondo de Servicios Educativos Institucion Educativa Las Mercedes</v>
          </cell>
          <cell r="K3544">
            <v>28004723</v>
          </cell>
        </row>
        <row r="3545">
          <cell r="I3545">
            <v>817005597</v>
          </cell>
          <cell r="J3545" t="str">
            <v>COLEGIO DEL RESARIO MIRANDA</v>
          </cell>
          <cell r="K3545">
            <v>78791888</v>
          </cell>
        </row>
        <row r="3546">
          <cell r="I3546">
            <v>817005605</v>
          </cell>
          <cell r="J3546" t="str">
            <v>institucion educativa la belleza</v>
          </cell>
          <cell r="K3546">
            <v>37753814</v>
          </cell>
        </row>
        <row r="3547">
          <cell r="I3547">
            <v>817005615</v>
          </cell>
          <cell r="J3547" t="str">
            <v>INSTITUCION EDUCATIVA POLICARPA FERNANDEZ</v>
          </cell>
          <cell r="K3547">
            <v>54696020</v>
          </cell>
        </row>
        <row r="3548">
          <cell r="I3548">
            <v>817005620</v>
          </cell>
          <cell r="J3548" t="str">
            <v>INSTITUCION EDUCATIVA NUEVA  GENERACION</v>
          </cell>
          <cell r="K3548">
            <v>31338136</v>
          </cell>
        </row>
        <row r="3549">
          <cell r="I3549">
            <v>817005789</v>
          </cell>
          <cell r="J3549" t="str">
            <v>institucion educativa santa juana de arco</v>
          </cell>
          <cell r="K3549">
            <v>7722910</v>
          </cell>
        </row>
        <row r="3550">
          <cell r="I3550">
            <v>817005831</v>
          </cell>
          <cell r="J3550" t="str">
            <v>institución educativa manuel de valverde</v>
          </cell>
          <cell r="K3550">
            <v>115020820</v>
          </cell>
        </row>
        <row r="3551">
          <cell r="I3551">
            <v>817005937</v>
          </cell>
          <cell r="J3551" t="str">
            <v>colegio integrado san josé</v>
          </cell>
          <cell r="K3551">
            <v>174084495</v>
          </cell>
        </row>
        <row r="3552">
          <cell r="I3552">
            <v>817005940</v>
          </cell>
          <cell r="J3552" t="str">
            <v>instituto educativo fray luis aragón</v>
          </cell>
          <cell r="K3552">
            <v>66705471</v>
          </cell>
        </row>
        <row r="3553">
          <cell r="I3553">
            <v>817005969</v>
          </cell>
          <cell r="J3553" t="str">
            <v>institución educativa comercial santa clara de asís</v>
          </cell>
          <cell r="K3553">
            <v>121442764</v>
          </cell>
        </row>
        <row r="3554">
          <cell r="I3554">
            <v>817005986</v>
          </cell>
          <cell r="J3554" t="str">
            <v>Institución Educativa Nuestra Sra del Carmen</v>
          </cell>
          <cell r="K3554">
            <v>14405323</v>
          </cell>
        </row>
        <row r="3555">
          <cell r="I3555">
            <v>817005987</v>
          </cell>
          <cell r="J3555" t="str">
            <v>INSTITUCION EDUCATIVA DOMINGUILLO</v>
          </cell>
          <cell r="K3555">
            <v>41207919</v>
          </cell>
        </row>
        <row r="3556">
          <cell r="I3556">
            <v>817006060</v>
          </cell>
          <cell r="J3556" t="str">
            <v>FONDO DE SERVICIOS EDUCATIVOS INSTITUCION EDUCATIVA LA HERRADURA</v>
          </cell>
          <cell r="K3556">
            <v>39470505</v>
          </cell>
        </row>
        <row r="3557">
          <cell r="I3557">
            <v>817006066</v>
          </cell>
          <cell r="J3557" t="str">
            <v>INSTITUCION EDUCATIVA LLACUANAS</v>
          </cell>
          <cell r="K3557">
            <v>21262825</v>
          </cell>
        </row>
        <row r="3558">
          <cell r="I3558">
            <v>817006110</v>
          </cell>
          <cell r="J3558" t="str">
            <v>institucion educativa la paz</v>
          </cell>
          <cell r="K3558">
            <v>19648931</v>
          </cell>
        </row>
        <row r="3559">
          <cell r="I3559">
            <v>817006113</v>
          </cell>
          <cell r="J3559" t="str">
            <v>INSTITUCION EDUCATIVA SAN FERNANDO DE MELCHOR</v>
          </cell>
          <cell r="K3559">
            <v>21807935</v>
          </cell>
        </row>
        <row r="3560">
          <cell r="I3560">
            <v>817006163</v>
          </cell>
          <cell r="J3560" t="str">
            <v>institucion educativa el palcr</v>
          </cell>
          <cell r="K3560">
            <v>25162435</v>
          </cell>
        </row>
        <row r="3561">
          <cell r="I3561">
            <v>817006271</v>
          </cell>
          <cell r="J3561" t="str">
            <v>Institución Educativa Agropecuaria Cinco Días</v>
          </cell>
          <cell r="K3561">
            <v>23877037</v>
          </cell>
        </row>
        <row r="3562">
          <cell r="I3562">
            <v>817006296</v>
          </cell>
          <cell r="J3562" t="str">
            <v>institucion educativa agropecuaria santa rita</v>
          </cell>
          <cell r="K3562">
            <v>34862679</v>
          </cell>
        </row>
        <row r="3563">
          <cell r="I3563">
            <v>817006320</v>
          </cell>
          <cell r="J3563" t="str">
            <v>Institución Educativa Agropecuario Parraga</v>
          </cell>
          <cell r="K3563">
            <v>14204731</v>
          </cell>
        </row>
        <row r="3564">
          <cell r="I3564">
            <v>817006629</v>
          </cell>
          <cell r="J3564" t="str">
            <v>INSTITUCION EDUCATIVA MONTERILLA</v>
          </cell>
          <cell r="K3564">
            <v>100930386</v>
          </cell>
        </row>
        <row r="3565">
          <cell r="I3565">
            <v>817006642</v>
          </cell>
          <cell r="J3565" t="str">
            <v>INSTITUCION EDUCATIVA LA PAZ</v>
          </cell>
          <cell r="K3565">
            <v>24598153</v>
          </cell>
        </row>
        <row r="3566">
          <cell r="I3566">
            <v>817006672</v>
          </cell>
          <cell r="J3566" t="str">
            <v>institucion educativa santa rosa de lima</v>
          </cell>
          <cell r="K3566">
            <v>11135970</v>
          </cell>
        </row>
        <row r="3567">
          <cell r="I3567">
            <v>817006697</v>
          </cell>
          <cell r="J3567" t="str">
            <v>INSTITUCION EDUCATIVA EL PALMAR</v>
          </cell>
          <cell r="K3567">
            <v>33267960</v>
          </cell>
        </row>
        <row r="3568">
          <cell r="I3568">
            <v>817006705</v>
          </cell>
          <cell r="J3568" t="str">
            <v>institucion educativa uribe</v>
          </cell>
          <cell r="K3568">
            <v>45523459</v>
          </cell>
        </row>
        <row r="3569">
          <cell r="I3569">
            <v>817006790</v>
          </cell>
          <cell r="J3569" t="str">
            <v>INSTITUCION EDUCATIVA AGROPECUARIO NUESTRA SEÑORA</v>
          </cell>
          <cell r="K3569">
            <v>24499659</v>
          </cell>
        </row>
        <row r="3570">
          <cell r="I3570">
            <v>817006804</v>
          </cell>
          <cell r="J3570" t="str">
            <v>INSTITUCION EDUCATIVA SAN AGUSTIN DEL NAPI</v>
          </cell>
          <cell r="K3570">
            <v>46391612</v>
          </cell>
        </row>
        <row r="3571">
          <cell r="I3571">
            <v>817006845</v>
          </cell>
          <cell r="J3571" t="str">
            <v>institución educativa san antonio</v>
          </cell>
          <cell r="K3571">
            <v>26967172</v>
          </cell>
        </row>
        <row r="3572">
          <cell r="I3572">
            <v>817006851</v>
          </cell>
          <cell r="J3572" t="str">
            <v>institución educativa zaragoza</v>
          </cell>
          <cell r="K3572">
            <v>21406216</v>
          </cell>
        </row>
        <row r="3573">
          <cell r="I3573">
            <v>817006936</v>
          </cell>
          <cell r="J3573" t="str">
            <v>institución educativa san josé</v>
          </cell>
          <cell r="K3573">
            <v>45754229</v>
          </cell>
        </row>
        <row r="3574">
          <cell r="I3574">
            <v>817007407</v>
          </cell>
          <cell r="J3574" t="str">
            <v>institución educativa san pedro y san pablo</v>
          </cell>
          <cell r="K3574">
            <v>93072319</v>
          </cell>
        </row>
        <row r="3575">
          <cell r="I3575">
            <v>817007476</v>
          </cell>
          <cell r="J3575" t="str">
            <v>Institucion Educativa Francisco de Paula Santander</v>
          </cell>
          <cell r="K3575">
            <v>30815568</v>
          </cell>
        </row>
        <row r="3576">
          <cell r="I3576">
            <v>817007553</v>
          </cell>
          <cell r="J3576" t="str">
            <v>INSTITUCION EDUCATIVA EL RODEO</v>
          </cell>
          <cell r="K3576">
            <v>32540661</v>
          </cell>
        </row>
        <row r="3577">
          <cell r="I3577">
            <v>817007610</v>
          </cell>
          <cell r="J3577" t="str">
            <v>INSTITUCION EDUCATIVA SAN ANTONIO DE CHUARE</v>
          </cell>
          <cell r="K3577">
            <v>31613820</v>
          </cell>
        </row>
        <row r="3578">
          <cell r="I3578">
            <v>817007680</v>
          </cell>
          <cell r="J3578" t="str">
            <v>institución educativa santa cruz alto sigui</v>
          </cell>
          <cell r="K3578">
            <v>21218216</v>
          </cell>
        </row>
        <row r="3579">
          <cell r="I3579">
            <v>818000002</v>
          </cell>
          <cell r="J3579" t="str">
            <v>MUNICIPIO DEL LITORAL DEL SAN JUAN</v>
          </cell>
          <cell r="K3579">
            <v>282988104</v>
          </cell>
        </row>
        <row r="3580">
          <cell r="I3580">
            <v>818000246</v>
          </cell>
          <cell r="J3580" t="str">
            <v>INSTITUCION EDUCATIVA MATIA TRESPALACIOS</v>
          </cell>
          <cell r="K3580">
            <v>88876138</v>
          </cell>
        </row>
        <row r="3581">
          <cell r="I3581">
            <v>818000274</v>
          </cell>
          <cell r="J3581" t="str">
            <v>CE EL BARRANCO</v>
          </cell>
          <cell r="K3581">
            <v>12704200</v>
          </cell>
        </row>
        <row r="3582">
          <cell r="I3582">
            <v>818000284</v>
          </cell>
          <cell r="J3582" t="str">
            <v>FONDO DE SERVICIO EDUCATIVO</v>
          </cell>
          <cell r="K3582">
            <v>165702730</v>
          </cell>
        </row>
        <row r="3583">
          <cell r="I3583">
            <v>818000302</v>
          </cell>
          <cell r="J3583" t="str">
            <v>INSTITUCION  EDUCATIVA GIMNACIO  DE  EDUCACION  MEDIA</v>
          </cell>
          <cell r="K3583">
            <v>118717129</v>
          </cell>
        </row>
        <row r="3584">
          <cell r="I3584">
            <v>818000315</v>
          </cell>
          <cell r="J3584" t="str">
            <v>COLEGIO AGROPECUARIO JOSE MANUEL PALACIOS PALACIOS</v>
          </cell>
          <cell r="K3584">
            <v>59731458</v>
          </cell>
        </row>
        <row r="3585">
          <cell r="I3585">
            <v>818000330</v>
          </cell>
          <cell r="J3585" t="str">
            <v>Fondo de Servicios Educativos Institución Educativa Ambiental Saulo Sanchez Cordoba</v>
          </cell>
          <cell r="K3585">
            <v>65414849</v>
          </cell>
        </row>
        <row r="3586">
          <cell r="I3586">
            <v>818000395</v>
          </cell>
          <cell r="J3586" t="str">
            <v>MUNICIPIO DE ATRATO</v>
          </cell>
          <cell r="K3586">
            <v>129495345</v>
          </cell>
        </row>
        <row r="3587">
          <cell r="I3587">
            <v>818000468</v>
          </cell>
          <cell r="J3587" t="str">
            <v>Fondo de Servicios Educativos Institución Educativa Agropecurio Ramon Lozano Garces</v>
          </cell>
          <cell r="K3587">
            <v>35085151</v>
          </cell>
        </row>
        <row r="3588">
          <cell r="I3588">
            <v>818000484</v>
          </cell>
          <cell r="J3588" t="str">
            <v>INSTITUCION EDUCATICA ANTONIO RICAUTER</v>
          </cell>
          <cell r="K3588">
            <v>80801352</v>
          </cell>
        </row>
        <row r="3589">
          <cell r="I3589">
            <v>818000497</v>
          </cell>
          <cell r="J3589" t="str">
            <v>Fondo de Servicios Educativos Institución Educativa Agropecuaria Nuestroz Esfuerzos</v>
          </cell>
          <cell r="K3589">
            <v>47728938</v>
          </cell>
        </row>
        <row r="3590">
          <cell r="I3590">
            <v>818000524</v>
          </cell>
          <cell r="J3590" t="str">
            <v>Fondo de Servicios Educativos Institución Educativa Agropecuaria Bernardino Becerra Rodriguez de  Paimado</v>
          </cell>
          <cell r="K3590">
            <v>50265737</v>
          </cell>
        </row>
        <row r="3591">
          <cell r="I3591">
            <v>818000671</v>
          </cell>
          <cell r="J3591" t="str">
            <v>IE ROGERIO VELASQUEZ MURILLO</v>
          </cell>
          <cell r="K3591">
            <v>172389928</v>
          </cell>
        </row>
        <row r="3592">
          <cell r="I3592">
            <v>818000716</v>
          </cell>
          <cell r="J3592" t="str">
            <v>Instituto Integrado San Pablo Industrial / Fondo de Sevicios Educativos</v>
          </cell>
          <cell r="K3592">
            <v>137304952</v>
          </cell>
        </row>
        <row r="3593">
          <cell r="I3593">
            <v>818000899</v>
          </cell>
          <cell r="J3593" t="str">
            <v>MUNICIPIO DEL RIO QUITO</v>
          </cell>
          <cell r="K3593">
            <v>212634856</v>
          </cell>
        </row>
        <row r="3594">
          <cell r="I3594">
            <v>818000907</v>
          </cell>
          <cell r="J3594" t="str">
            <v>MUNICIPIO DEL MEDIO BAUDO</v>
          </cell>
          <cell r="K3594">
            <v>289592156</v>
          </cell>
        </row>
        <row r="3595">
          <cell r="I3595">
            <v>818000941</v>
          </cell>
          <cell r="J3595" t="str">
            <v>MUNICIPIO DEL MEDIO ATRATO</v>
          </cell>
          <cell r="K3595">
            <v>187710558</v>
          </cell>
        </row>
        <row r="3596">
          <cell r="I3596">
            <v>818000961</v>
          </cell>
          <cell r="J3596" t="str">
            <v>MUNICIPIO DE LA UNION PANAMERICANA</v>
          </cell>
          <cell r="K3596">
            <v>90198815</v>
          </cell>
        </row>
        <row r="3597">
          <cell r="I3597">
            <v>818001017</v>
          </cell>
          <cell r="J3597" t="str">
            <v>Institución Educativa Liceo Agropecuario San Agustin - Fondo de Servicios Educativos</v>
          </cell>
          <cell r="K3597">
            <v>16652816</v>
          </cell>
        </row>
        <row r="3598">
          <cell r="I3598">
            <v>818001181</v>
          </cell>
          <cell r="J3598" t="str">
            <v>Fondo de Servicios Educativos Centro Educativo  de Punta Arusi - Nuqui</v>
          </cell>
          <cell r="K3598">
            <v>21805446</v>
          </cell>
        </row>
        <row r="3599">
          <cell r="I3599">
            <v>818001202</v>
          </cell>
          <cell r="J3599" t="str">
            <v>MUNICIPIO DE CERTEGUI</v>
          </cell>
          <cell r="K3599">
            <v>94710868</v>
          </cell>
        </row>
        <row r="3600">
          <cell r="I3600">
            <v>818001203</v>
          </cell>
          <cell r="J3600" t="str">
            <v>MUNICIPIO DEL RIO IRO</v>
          </cell>
          <cell r="K3600">
            <v>137653369</v>
          </cell>
        </row>
        <row r="3601">
          <cell r="I3601">
            <v>818001206</v>
          </cell>
          <cell r="J3601" t="str">
            <v>MUNICIPIO DEL MEDIO SAN JUAN</v>
          </cell>
          <cell r="K3601">
            <v>149662303</v>
          </cell>
        </row>
        <row r="3602">
          <cell r="I3602">
            <v>818001341</v>
          </cell>
          <cell r="J3602" t="str">
            <v>MUNICIPIO CARMEN DE DARIEN</v>
          </cell>
          <cell r="K3602">
            <v>285625144</v>
          </cell>
        </row>
        <row r="3603">
          <cell r="I3603">
            <v>818001458</v>
          </cell>
          <cell r="J3603" t="str">
            <v>Fondo de Servicios Educativos Intitucion Educativa  Media Técnica Comercial San Jose</v>
          </cell>
          <cell r="K3603">
            <v>46106185</v>
          </cell>
        </row>
        <row r="3604">
          <cell r="I3604">
            <v>818001571</v>
          </cell>
          <cell r="J3604" t="str">
            <v>COLEGIO LUIS LOPEZ DE MESA</v>
          </cell>
          <cell r="K3604">
            <v>112969052</v>
          </cell>
        </row>
        <row r="3605">
          <cell r="I3605">
            <v>818001581</v>
          </cell>
          <cell r="J3605" t="str">
            <v>INSTITUCION EDUCATIVA AGROAMBIENTAL CARLOS HOLGUIN MALLARINO</v>
          </cell>
          <cell r="K3605">
            <v>100679254</v>
          </cell>
        </row>
        <row r="3606">
          <cell r="I3606">
            <v>818002021</v>
          </cell>
          <cell r="J3606" t="str">
            <v>INSTITUTO EDUCATIVO AGROPECUARIA GUSTAVO POSADA</v>
          </cell>
          <cell r="K3606">
            <v>78961553</v>
          </cell>
        </row>
        <row r="3607">
          <cell r="I3607">
            <v>818002048</v>
          </cell>
          <cell r="J3607" t="str">
            <v>INSTITUCION EDUCATIVA AGROPECUARIA NUESTRA SEÑORA DE LAS MERCEDES</v>
          </cell>
          <cell r="K3607">
            <v>95715282</v>
          </cell>
        </row>
        <row r="3608">
          <cell r="I3608">
            <v>818002082</v>
          </cell>
          <cell r="J3608" t="str">
            <v>INSTITUTO DIOCESANO PEDRO GRAU Y AROLA</v>
          </cell>
          <cell r="K3608">
            <v>198099846</v>
          </cell>
        </row>
        <row r="3609">
          <cell r="I3609">
            <v>818002148</v>
          </cell>
          <cell r="J3609" t="str">
            <v>FONDO DE SERVICIOS EDUCATIVOS INSTITUCION EDUCATIVA ABADIA MORENO</v>
          </cell>
          <cell r="K3609">
            <v>44142021</v>
          </cell>
        </row>
        <row r="3610">
          <cell r="I3610">
            <v>819000002</v>
          </cell>
          <cell r="J3610" t="str">
            <v>Fondo de Servicio Educativo IED Fondo de Servicio Educativo IED Guachaca</v>
          </cell>
          <cell r="K3610">
            <v>79915905</v>
          </cell>
        </row>
        <row r="3611">
          <cell r="I3611">
            <v>819000067</v>
          </cell>
          <cell r="J3611" t="str">
            <v>FONDOS EDUCATIVOS INSTITUCION EDUCATIVA DEPARTAMENTAL RAFAEL NUÑEZ</v>
          </cell>
          <cell r="K3611">
            <v>89258141</v>
          </cell>
        </row>
        <row r="3612">
          <cell r="I3612">
            <v>819000381</v>
          </cell>
          <cell r="J3612" t="str">
            <v>Fondo de Servicio Docente IED Once de Noviembre</v>
          </cell>
          <cell r="K3612">
            <v>201616623</v>
          </cell>
        </row>
        <row r="3613">
          <cell r="I3613">
            <v>819000497</v>
          </cell>
          <cell r="J3613" t="str">
            <v>Fondo de Servicio Educativo IED Bonda</v>
          </cell>
          <cell r="K3613">
            <v>204276075</v>
          </cell>
        </row>
        <row r="3614">
          <cell r="I3614">
            <v>819000603</v>
          </cell>
          <cell r="J3614" t="str">
            <v>INSTITUCION EDUCATIVA DEPARTAMENTAL THELMA ROSA AREVALO</v>
          </cell>
          <cell r="K3614">
            <v>95712411</v>
          </cell>
        </row>
        <row r="3615">
          <cell r="I3615">
            <v>819000683</v>
          </cell>
          <cell r="J3615" t="str">
            <v>Fondo de Servicio Educativo IED Juan Maiguel de Osuna</v>
          </cell>
          <cell r="K3615">
            <v>112812931</v>
          </cell>
        </row>
        <row r="3616">
          <cell r="I3616">
            <v>819000909</v>
          </cell>
          <cell r="J3616" t="str">
            <v>EDUCACION DEPARTAMENTAL JUAN MANUEL RUDAS</v>
          </cell>
          <cell r="K3616">
            <v>95268443</v>
          </cell>
        </row>
        <row r="3617">
          <cell r="I3617">
            <v>819000925</v>
          </cell>
          <cell r="J3617" t="str">
            <v>MUNICIPIO DE EL RETEN</v>
          </cell>
          <cell r="K3617">
            <v>409365208</v>
          </cell>
        </row>
        <row r="3618">
          <cell r="I3618">
            <v>819000946</v>
          </cell>
          <cell r="J3618" t="str">
            <v>INSTITUCION EDUCATIVA EXTERNO MIXTO  SAN SEBASTIAN</v>
          </cell>
          <cell r="K3618">
            <v>104300243</v>
          </cell>
        </row>
        <row r="3619">
          <cell r="I3619">
            <v>819000947</v>
          </cell>
          <cell r="J3619" t="str">
            <v>INSTITUCION EDUCATIVA DEPARTAMENTAL MACONDO DE GUACAMAYAL</v>
          </cell>
          <cell r="K3619">
            <v>194395752</v>
          </cell>
        </row>
        <row r="3620">
          <cell r="I3620">
            <v>819000959</v>
          </cell>
          <cell r="J3620" t="str">
            <v>INSTITUCION EDUCATIVA DEPARTAMENTAL PEDRO DE HEREDIA</v>
          </cell>
          <cell r="K3620">
            <v>46341222</v>
          </cell>
        </row>
        <row r="3621">
          <cell r="I3621">
            <v>819000972</v>
          </cell>
          <cell r="J3621" t="str">
            <v>FONDOS DE SERVICIOS EDUCACTIVOS INST. EDUCACION  LUIS C. GALAN</v>
          </cell>
          <cell r="K3621">
            <v>291831724</v>
          </cell>
        </row>
        <row r="3622">
          <cell r="I3622">
            <v>819000985</v>
          </cell>
          <cell r="J3622" t="str">
            <v>MUNICIPIO DE PIJIÑO DEL CARMEN</v>
          </cell>
          <cell r="K3622">
            <v>317863175</v>
          </cell>
        </row>
        <row r="3623">
          <cell r="I3623">
            <v>819001094</v>
          </cell>
          <cell r="J3623" t="str">
            <v>INSTITUCION EDUCATIVA DEPARTAMENTAL TOMAS HERRERA CANTILLO</v>
          </cell>
          <cell r="K3623">
            <v>82853320</v>
          </cell>
        </row>
        <row r="3624">
          <cell r="I3624">
            <v>819001158</v>
          </cell>
          <cell r="J3624" t="str">
            <v>INSTITUCION EDUCATIVA LICEO MODERNO DEL SUR</v>
          </cell>
          <cell r="K3624">
            <v>192064187</v>
          </cell>
        </row>
        <row r="3625">
          <cell r="I3625">
            <v>819001188</v>
          </cell>
          <cell r="J3625" t="str">
            <v>INSTITUCION EDUCATIVA DEPARTAMENTAL RODRIGO VIVES DE ANDREIS</v>
          </cell>
          <cell r="K3625">
            <v>226047319</v>
          </cell>
        </row>
        <row r="3626">
          <cell r="I3626">
            <v>819001189</v>
          </cell>
          <cell r="J3626" t="str">
            <v>INSTITUCION EDUCATIVA AGROPECUARIA JOSE MARIA HERRERA FONDO DE SERVICIO EDUCATIVO</v>
          </cell>
          <cell r="K3626">
            <v>58833319</v>
          </cell>
        </row>
        <row r="3627">
          <cell r="I3627">
            <v>819001253</v>
          </cell>
          <cell r="J3627" t="str">
            <v>Fondos de Servicios Docentes IED Francisco de Paula Santander</v>
          </cell>
          <cell r="K3627">
            <v>107872431</v>
          </cell>
        </row>
        <row r="3628">
          <cell r="I3628">
            <v>819001275</v>
          </cell>
          <cell r="J3628" t="str">
            <v>INSTITUCION EDUCATIVA DEPARTAMENTAL DE NUEVA GRANADA</v>
          </cell>
          <cell r="K3628">
            <v>111510234</v>
          </cell>
        </row>
        <row r="3629">
          <cell r="I3629">
            <v>819001282</v>
          </cell>
          <cell r="J3629" t="str">
            <v>Fondo de Servicio Educativo IED Jacqueline Kennedy</v>
          </cell>
          <cell r="K3629">
            <v>218863937</v>
          </cell>
        </row>
        <row r="3630">
          <cell r="I3630">
            <v>819001313</v>
          </cell>
          <cell r="J3630" t="str">
            <v>institucion educativa isabel de la trinidad</v>
          </cell>
          <cell r="K3630">
            <v>52211973</v>
          </cell>
        </row>
        <row r="3631">
          <cell r="I3631">
            <v>819001349</v>
          </cell>
          <cell r="J3631" t="str">
            <v>INSTITUCION EDUCATIVA DEPARTAMENTAL SAGRADO CORAZON DE JESUS DE GUAIMARAL</v>
          </cell>
          <cell r="K3631">
            <v>39883401</v>
          </cell>
        </row>
        <row r="3632">
          <cell r="I3632">
            <v>819001414</v>
          </cell>
          <cell r="J3632" t="str">
            <v>INSTITUCION EDUCATIVA TECNICA DEPARTAMENTAL DE CABRERA</v>
          </cell>
          <cell r="K3632">
            <v>55250730</v>
          </cell>
        </row>
        <row r="3633">
          <cell r="I3633">
            <v>819001423</v>
          </cell>
          <cell r="J3633" t="str">
            <v>INSTITUCION EDUCATIVA DEPARTAMENTAL NUESTRA SEÑORA DEL CARMEN</v>
          </cell>
          <cell r="K3633">
            <v>84133278</v>
          </cell>
        </row>
        <row r="3634">
          <cell r="I3634">
            <v>819001650</v>
          </cell>
          <cell r="J3634" t="str">
            <v>INSTITUCION EDUCATIVA DEPARTAMENTAL MANUEL SALVADOR MEZA</v>
          </cell>
          <cell r="K3634">
            <v>133856929</v>
          </cell>
        </row>
        <row r="3635">
          <cell r="I3635">
            <v>819001704</v>
          </cell>
          <cell r="J3635" t="str">
            <v>Fondo de Servicios Docentes IED Los Olivos</v>
          </cell>
          <cell r="K3635">
            <v>41394625</v>
          </cell>
        </row>
        <row r="3636">
          <cell r="I3636">
            <v>819001706</v>
          </cell>
          <cell r="J3636" t="str">
            <v>INSTITUCION EDUCATIVA DEPARTAMENTAL LICEO SANTANDER</v>
          </cell>
          <cell r="K3636">
            <v>108809460</v>
          </cell>
        </row>
        <row r="3637">
          <cell r="I3637">
            <v>819001717</v>
          </cell>
          <cell r="J3637" t="str">
            <v>Fondos de Servicios Docentes IED Edgardo Vives Campo</v>
          </cell>
          <cell r="K3637">
            <v>104223154</v>
          </cell>
        </row>
        <row r="3638">
          <cell r="I3638">
            <v>819001746</v>
          </cell>
          <cell r="J3638" t="str">
            <v>INSTITUCION EDUCATIVA DEPARTAMENTAL RURAL PALERMO</v>
          </cell>
          <cell r="K3638">
            <v>172486315</v>
          </cell>
        </row>
        <row r="3639">
          <cell r="I3639">
            <v>819001878</v>
          </cell>
          <cell r="J3639" t="str">
            <v>Fondo de Servicio Educativo IED Gabriela Mistral</v>
          </cell>
          <cell r="K3639">
            <v>44693399</v>
          </cell>
        </row>
        <row r="3640">
          <cell r="I3640">
            <v>819001887</v>
          </cell>
          <cell r="J3640" t="str">
            <v>Fondo de Servicio  Educativo IED José Laborde Gnecco</v>
          </cell>
          <cell r="K3640">
            <v>101047884</v>
          </cell>
        </row>
        <row r="3641">
          <cell r="I3641">
            <v>819001974</v>
          </cell>
          <cell r="J3641" t="str">
            <v>INSTITUCION EDUCATIVA DEPARTAMENTAL SIMON BOLIVAR</v>
          </cell>
          <cell r="K3641">
            <v>233719416</v>
          </cell>
        </row>
        <row r="3642">
          <cell r="I3642">
            <v>819001979</v>
          </cell>
          <cell r="J3642" t="str">
            <v>Fondo de Servicio Educativo IED Pando</v>
          </cell>
          <cell r="K3642">
            <v>136472154</v>
          </cell>
        </row>
        <row r="3643">
          <cell r="I3643">
            <v>819001989</v>
          </cell>
          <cell r="J3643" t="str">
            <v>Fondo de Servicio Educativo  IED POZOS COLORADOS</v>
          </cell>
          <cell r="K3643">
            <v>80397616</v>
          </cell>
        </row>
        <row r="3644">
          <cell r="I3644">
            <v>819002018</v>
          </cell>
          <cell r="J3644" t="str">
            <v>Fondos de Servicios Docentes IED 20 de Julio</v>
          </cell>
          <cell r="K3644">
            <v>41165299</v>
          </cell>
        </row>
        <row r="3645">
          <cell r="I3645">
            <v>819002019</v>
          </cell>
          <cell r="J3645" t="str">
            <v>INSTITUCION EDUCATIVA DEPARTAMENTAL VICTOR CAMARGO ALVAREZ</v>
          </cell>
          <cell r="K3645">
            <v>76393857</v>
          </cell>
        </row>
        <row r="3646">
          <cell r="I3646">
            <v>819002035</v>
          </cell>
          <cell r="J3646" t="str">
            <v>Fondo de servicio Educativo IED El Parque</v>
          </cell>
          <cell r="K3646">
            <v>135990009</v>
          </cell>
        </row>
        <row r="3647">
          <cell r="I3647">
            <v>819002039</v>
          </cell>
          <cell r="J3647" t="str">
            <v>INSTITUCION EDUCATIVA MARIA ALFARO DE OSPINO</v>
          </cell>
          <cell r="K3647">
            <v>152615645</v>
          </cell>
        </row>
        <row r="3648">
          <cell r="I3648">
            <v>819002043</v>
          </cell>
          <cell r="J3648" t="str">
            <v>Fondo de servicio Educativo IED 20 de Octubre</v>
          </cell>
          <cell r="K3648">
            <v>78375543</v>
          </cell>
        </row>
        <row r="3649">
          <cell r="I3649">
            <v>819002055</v>
          </cell>
          <cell r="J3649" t="str">
            <v>INSTITUCION EDUCATIVA DEPARTAMENTAL AGROPECUARIA OTILIA MENA ALVAREZ</v>
          </cell>
          <cell r="K3649">
            <v>44415600</v>
          </cell>
        </row>
        <row r="3650">
          <cell r="I3650">
            <v>819002071</v>
          </cell>
          <cell r="J3650" t="str">
            <v>INSTITUCION EDUCATIVA EL CARMEN</v>
          </cell>
          <cell r="K3650">
            <v>78321956</v>
          </cell>
        </row>
        <row r="3651">
          <cell r="I3651">
            <v>819002122</v>
          </cell>
          <cell r="J3651" t="str">
            <v>INSTITUTO DE ENSEÑANZA BASICA ELVIA VIZCAINO DE TODARO</v>
          </cell>
          <cell r="K3651">
            <v>164271536</v>
          </cell>
        </row>
        <row r="3652">
          <cell r="I3652">
            <v>819002132</v>
          </cell>
          <cell r="J3652" t="str">
            <v>institucion educativa la maria</v>
          </cell>
          <cell r="K3652">
            <v>55993231</v>
          </cell>
        </row>
        <row r="3653">
          <cell r="I3653">
            <v>819002164</v>
          </cell>
          <cell r="J3653" t="str">
            <v>institucion educativa 12 de octubre</v>
          </cell>
          <cell r="K3653">
            <v>68803800</v>
          </cell>
        </row>
        <row r="3654">
          <cell r="I3654">
            <v>819002188</v>
          </cell>
          <cell r="J3654" t="str">
            <v>INSTITUCION EDUCATIVA JOSE DE LA LUZ MARTINEZ</v>
          </cell>
          <cell r="K3654">
            <v>85506380</v>
          </cell>
        </row>
        <row r="3655">
          <cell r="I3655">
            <v>819002190</v>
          </cell>
          <cell r="J3655" t="str">
            <v>INSTITUCION EDUCATIVA DEPARTAMENTAL JHON F KENEDY</v>
          </cell>
          <cell r="K3655">
            <v>144344979</v>
          </cell>
        </row>
        <row r="3656">
          <cell r="I3656">
            <v>819002221</v>
          </cell>
          <cell r="J3656" t="str">
            <v>INSTITUCION EDUCATIVA DEPARTAMENTAL MARIA AUXILIADORA</v>
          </cell>
          <cell r="K3656">
            <v>71682871</v>
          </cell>
        </row>
        <row r="3657">
          <cell r="I3657">
            <v>819002231</v>
          </cell>
          <cell r="J3657" t="str">
            <v>INSTITUCION EDUCATIVA DEPARTAMENTAL NESTOR ANDRES RANGEL ALFARO</v>
          </cell>
          <cell r="K3657">
            <v>72247394</v>
          </cell>
        </row>
        <row r="3658">
          <cell r="I3658">
            <v>819002239</v>
          </cell>
          <cell r="J3658" t="str">
            <v>INSTITUCION EDUCATIVA DEPARTAMENTAL SAN JUAN  BAUTISTA</v>
          </cell>
          <cell r="K3658">
            <v>183269729</v>
          </cell>
        </row>
        <row r="3659">
          <cell r="I3659">
            <v>819002254</v>
          </cell>
          <cell r="J3659" t="str">
            <v>CENTRO EDUCATIVO JHON</v>
          </cell>
          <cell r="K3659">
            <v>97866494</v>
          </cell>
        </row>
        <row r="3660">
          <cell r="I3660">
            <v>819002255</v>
          </cell>
          <cell r="J3660" t="str">
            <v>CENTRO EDUCATIVO 23 DE FEBRERO</v>
          </cell>
          <cell r="K3660">
            <v>146352270</v>
          </cell>
        </row>
        <row r="3661">
          <cell r="I3661">
            <v>819002256</v>
          </cell>
          <cell r="J3661" t="str">
            <v>INSTITUCION EDUCATIVA DEPARTAMENTAL TERCERA MIXTA</v>
          </cell>
          <cell r="K3661">
            <v>208845411</v>
          </cell>
        </row>
        <row r="3662">
          <cell r="I3662">
            <v>819002274</v>
          </cell>
          <cell r="J3662" t="str">
            <v>INSTITUCION EDUCATIVA DEPARTAMENTAL ALFONSO LOPEZ</v>
          </cell>
          <cell r="K3662">
            <v>105511528</v>
          </cell>
        </row>
        <row r="3663">
          <cell r="I3663">
            <v>819002280</v>
          </cell>
          <cell r="J3663" t="str">
            <v>INSTITUCION EDUCATIVA DEPARTAMENTAL ROBERTO ROBLES DE ALGARROBAL</v>
          </cell>
          <cell r="K3663">
            <v>37181216</v>
          </cell>
        </row>
        <row r="3664">
          <cell r="I3664">
            <v>819002283</v>
          </cell>
          <cell r="J3664" t="str">
            <v>INSTITUCION EDUCATIVA DEPARTAMENTAL RURAL SILVIA COTES DE BISWELL</v>
          </cell>
          <cell r="K3664">
            <v>82788230</v>
          </cell>
        </row>
        <row r="3665">
          <cell r="I3665">
            <v>819002303</v>
          </cell>
          <cell r="J3665" t="str">
            <v>institucion educativa la alianza</v>
          </cell>
          <cell r="K3665">
            <v>54947876</v>
          </cell>
        </row>
        <row r="3666">
          <cell r="I3666">
            <v>819002313</v>
          </cell>
          <cell r="J3666" t="str">
            <v>Fondo de Servicios Docente IED El Carmen</v>
          </cell>
          <cell r="K3666">
            <v>38779211</v>
          </cell>
        </row>
        <row r="3667">
          <cell r="I3667">
            <v>819002324</v>
          </cell>
          <cell r="J3667" t="str">
            <v>Fondo de servicio Educativo IED Ondas del Caribe</v>
          </cell>
          <cell r="K3667">
            <v>104223413</v>
          </cell>
        </row>
        <row r="3668">
          <cell r="I3668">
            <v>819002397</v>
          </cell>
          <cell r="J3668" t="str">
            <v>INSTITUCION EDUCATIVA DEPARTAMENTAL TECNICA AGROPECUARIA BENJAMIN HERRERA</v>
          </cell>
          <cell r="K3668">
            <v>169578640</v>
          </cell>
        </row>
        <row r="3669">
          <cell r="I3669">
            <v>819002409</v>
          </cell>
          <cell r="J3669" t="str">
            <v>Fondo de Servicio Educativo IED Simón Bolívar</v>
          </cell>
          <cell r="K3669">
            <v>78327369</v>
          </cell>
        </row>
        <row r="3670">
          <cell r="I3670">
            <v>819002412</v>
          </cell>
          <cell r="J3670" t="str">
            <v>centro educativo rural carlos garcia mayorga</v>
          </cell>
          <cell r="K3670">
            <v>39843018</v>
          </cell>
        </row>
        <row r="3671">
          <cell r="I3671">
            <v>819002416</v>
          </cell>
          <cell r="J3671" t="str">
            <v>Fondo de Servicio Educativo  IED CAMILO TORRES</v>
          </cell>
          <cell r="K3671">
            <v>116268415</v>
          </cell>
        </row>
        <row r="3672">
          <cell r="I3672">
            <v>819002466</v>
          </cell>
          <cell r="J3672" t="str">
            <v>Fondo de Servicio Educativo IED San Fenando</v>
          </cell>
          <cell r="K3672">
            <v>127319487</v>
          </cell>
        </row>
        <row r="3673">
          <cell r="I3673">
            <v>819002493</v>
          </cell>
          <cell r="J3673" t="str">
            <v>Fondo de Servicio Docente IED Antonio Nariño</v>
          </cell>
          <cell r="K3673">
            <v>18233971</v>
          </cell>
        </row>
        <row r="3674">
          <cell r="I3674">
            <v>819002510</v>
          </cell>
          <cell r="J3674" t="str">
            <v>Fondo de Servicio Educativo  IED Beatriz Gutierrez de Vives</v>
          </cell>
          <cell r="K3674">
            <v>42041445</v>
          </cell>
        </row>
        <row r="3675">
          <cell r="I3675">
            <v>819002594</v>
          </cell>
          <cell r="J3675" t="str">
            <v>INSTITUCION EDUCATIVA DEPARTAMENTAL MARIA INMACULADA DEL MUN PIVIJAY</v>
          </cell>
          <cell r="K3675">
            <v>76330943</v>
          </cell>
        </row>
        <row r="3676">
          <cell r="I3676">
            <v>819002619</v>
          </cell>
          <cell r="J3676" t="str">
            <v>Fondos de Servicios Educativos IED Jhon F. Kennedy</v>
          </cell>
          <cell r="K3676">
            <v>38264350</v>
          </cell>
        </row>
        <row r="3677">
          <cell r="I3677">
            <v>819002687</v>
          </cell>
          <cell r="J3677" t="str">
            <v>INSTITUCION EDUCATIVA DEPARTAMENTAL RAFAEL JIMENEZ ALTAHONA</v>
          </cell>
          <cell r="K3677">
            <v>141345664</v>
          </cell>
        </row>
        <row r="3678">
          <cell r="I3678">
            <v>819002761</v>
          </cell>
          <cell r="J3678" t="str">
            <v>INSTITUCION EDUCATIVA DEPARTAMENTAL FUNDACION</v>
          </cell>
          <cell r="K3678">
            <v>123963715</v>
          </cell>
        </row>
        <row r="3679">
          <cell r="I3679">
            <v>819002876</v>
          </cell>
          <cell r="J3679" t="str">
            <v>COLEGIO DEPARTAMENTAL DE BTO AGROPECUARIO URBANO MOLINA DE CASTRO</v>
          </cell>
          <cell r="K3679">
            <v>241377593</v>
          </cell>
        </row>
        <row r="3680">
          <cell r="I3680">
            <v>819002978</v>
          </cell>
          <cell r="J3680" t="str">
            <v>Fondo de Servicio Educativo IED Julio José Ceballos</v>
          </cell>
          <cell r="K3680">
            <v>70381636</v>
          </cell>
        </row>
        <row r="3681">
          <cell r="I3681">
            <v>819003029</v>
          </cell>
          <cell r="J3681" t="str">
            <v>Fondos de Servicio Educativo IED Agroindustrial de Minca</v>
          </cell>
          <cell r="K3681">
            <v>46027471</v>
          </cell>
        </row>
        <row r="3682">
          <cell r="I3682">
            <v>819003046</v>
          </cell>
          <cell r="J3682" t="str">
            <v>institucion educativa tecnica de comercio virginia gomez</v>
          </cell>
          <cell r="K3682">
            <v>257921988</v>
          </cell>
        </row>
        <row r="3683">
          <cell r="I3683">
            <v>819003058</v>
          </cell>
          <cell r="J3683" t="str">
            <v>INSTITUCION EDUCATIVA DEPARTAMENTAL SABANAS</v>
          </cell>
          <cell r="K3683">
            <v>112518508</v>
          </cell>
        </row>
        <row r="3684">
          <cell r="I3684">
            <v>819003069</v>
          </cell>
          <cell r="J3684" t="str">
            <v>Fondo de Servicio Educativo IED Palominito</v>
          </cell>
          <cell r="K3684">
            <v>40677445</v>
          </cell>
        </row>
        <row r="3685">
          <cell r="I3685">
            <v>819003116</v>
          </cell>
          <cell r="J3685" t="str">
            <v>INSTITUCION EDUCATIVA DEPARTAMENTAL GILBERTO ACUÑA RANGEL</v>
          </cell>
          <cell r="K3685">
            <v>34184100</v>
          </cell>
        </row>
        <row r="3686">
          <cell r="I3686">
            <v>819003117</v>
          </cell>
          <cell r="J3686" t="str">
            <v>Fondo de Servicio Educativo IED LICEO EL SABER</v>
          </cell>
          <cell r="K3686">
            <v>46847197</v>
          </cell>
        </row>
        <row r="3687">
          <cell r="I3687">
            <v>819003176</v>
          </cell>
          <cell r="J3687" t="str">
            <v>Fondo de Servicio Docente IED Nueva Colombia</v>
          </cell>
          <cell r="K3687">
            <v>49932476</v>
          </cell>
        </row>
        <row r="3688">
          <cell r="I3688">
            <v>819003178</v>
          </cell>
          <cell r="J3688" t="str">
            <v>CENTRO EDUCATIVO RURAL DE NIÑAS ISLA DEL ROSARIO</v>
          </cell>
          <cell r="K3688">
            <v>62932149</v>
          </cell>
        </row>
        <row r="3689">
          <cell r="I3689">
            <v>819003219</v>
          </cell>
          <cell r="J3689" t="str">
            <v>MUNICIPIO DE ALGARROBO</v>
          </cell>
          <cell r="K3689">
            <v>253640009</v>
          </cell>
        </row>
        <row r="3690">
          <cell r="I3690">
            <v>819003224</v>
          </cell>
          <cell r="J3690" t="str">
            <v>MUNICIPIO SABANA DE SAN ANGEL</v>
          </cell>
          <cell r="K3690">
            <v>323436106</v>
          </cell>
        </row>
        <row r="3691">
          <cell r="I3691">
            <v>819003225</v>
          </cell>
          <cell r="J3691" t="str">
            <v>MUNICIPIO DE CONCORDIA</v>
          </cell>
          <cell r="K3691">
            <v>193574661</v>
          </cell>
        </row>
        <row r="3692">
          <cell r="I3692">
            <v>819003297</v>
          </cell>
          <cell r="J3692" t="str">
            <v>MUNICIPIO ZONA BANANERA</v>
          </cell>
          <cell r="K3692">
            <v>880210261</v>
          </cell>
        </row>
        <row r="3693">
          <cell r="I3693">
            <v>819003307</v>
          </cell>
          <cell r="J3693" t="str">
            <v>INSTITUCION EDUCATIVA DEPARTAMENTAL AGROPECUARIA SIERRA NEVADA DE SANTA MARTA</v>
          </cell>
          <cell r="K3693">
            <v>86035754</v>
          </cell>
        </row>
        <row r="3694">
          <cell r="I3694">
            <v>819003429</v>
          </cell>
          <cell r="J3694" t="str">
            <v>INSTITUCION EDUCATIVA JUANA ARIAS DE BENAVIDES</v>
          </cell>
          <cell r="K3694">
            <v>311052691</v>
          </cell>
        </row>
        <row r="3695">
          <cell r="I3695">
            <v>819003527</v>
          </cell>
          <cell r="J3695" t="str">
            <v>INSTITUCION EDUCATIVA LICEO ZAPAYAN</v>
          </cell>
          <cell r="K3695">
            <v>95826863</v>
          </cell>
        </row>
        <row r="3696">
          <cell r="I3696">
            <v>819003537</v>
          </cell>
          <cell r="J3696" t="str">
            <v>INSTITUCION EDUCATIVA DEPARTAMENTAL DE BASICA LUZ MARINA CABALLER BELLAVISTA</v>
          </cell>
          <cell r="K3696">
            <v>54786360</v>
          </cell>
        </row>
        <row r="3697">
          <cell r="I3697">
            <v>819003710</v>
          </cell>
          <cell r="J3697" t="str">
            <v>INSTITUCION EDUCATIVA DEPARTAMENTAL LOMA DEL BALSAMO</v>
          </cell>
          <cell r="K3697">
            <v>111754162</v>
          </cell>
        </row>
        <row r="3698">
          <cell r="I3698">
            <v>819003711</v>
          </cell>
          <cell r="J3698" t="str">
            <v>INSTITUCION EDUCATIVA DEPARTAMENTAL ALGARROBO</v>
          </cell>
          <cell r="K3698">
            <v>103759641</v>
          </cell>
        </row>
        <row r="3699">
          <cell r="I3699">
            <v>819003730</v>
          </cell>
          <cell r="J3699" t="str">
            <v>INSTITUCION EDUCATIVA  REAL DEL OVISPO</v>
          </cell>
          <cell r="K3699">
            <v>41120845</v>
          </cell>
        </row>
        <row r="3700">
          <cell r="I3700">
            <v>819003760</v>
          </cell>
          <cell r="J3700" t="str">
            <v>MUNICIPIO DE ZAPAYAN</v>
          </cell>
          <cell r="K3700">
            <v>159562487</v>
          </cell>
        </row>
        <row r="3701">
          <cell r="I3701">
            <v>819003762</v>
          </cell>
          <cell r="J3701" t="str">
            <v>MUNICIPIO DE SANTA BARBARA DE PINTO</v>
          </cell>
          <cell r="K3701">
            <v>251758241</v>
          </cell>
        </row>
        <row r="3702">
          <cell r="I3702">
            <v>819003849</v>
          </cell>
          <cell r="J3702" t="str">
            <v>MUNICIPIO DE NUEVA GRANADA</v>
          </cell>
          <cell r="K3702">
            <v>488534984</v>
          </cell>
        </row>
        <row r="3703">
          <cell r="I3703">
            <v>819003903</v>
          </cell>
          <cell r="J3703" t="str">
            <v>INSTITUCION EDUCATIVA DEPARTAMENTAL CARRETO</v>
          </cell>
          <cell r="K3703">
            <v>65915154</v>
          </cell>
        </row>
        <row r="3704">
          <cell r="I3704">
            <v>819004179</v>
          </cell>
          <cell r="J3704" t="str">
            <v>INSTITUCION EDUCATIVA DEPARTAMENTAL TRONCOSO MAGD.</v>
          </cell>
          <cell r="K3704">
            <v>53763518</v>
          </cell>
        </row>
        <row r="3705">
          <cell r="I3705">
            <v>819004354</v>
          </cell>
          <cell r="J3705" t="str">
            <v>INSTITUCION EDUCATIVA DEPARTAMENTAL JULIAN MEJIA ALVARADO</v>
          </cell>
          <cell r="K3705">
            <v>75219511</v>
          </cell>
        </row>
        <row r="3706">
          <cell r="I3706">
            <v>819004474</v>
          </cell>
          <cell r="J3706" t="str">
            <v>INSTITUCION EDUCATIVA  DEPARTAMENTAL BIENVENIDO RODRIGUEZ</v>
          </cell>
          <cell r="K3706">
            <v>94020017</v>
          </cell>
        </row>
        <row r="3707">
          <cell r="I3707">
            <v>819004844</v>
          </cell>
          <cell r="J3707" t="str">
            <v>Fondo de Servicio Educativo IED Pantano</v>
          </cell>
          <cell r="K3707">
            <v>67896048</v>
          </cell>
        </row>
        <row r="3708">
          <cell r="I3708">
            <v>819004914</v>
          </cell>
          <cell r="J3708" t="str">
            <v>Fondos de Servicios Docentes IED Liceo del Norte</v>
          </cell>
          <cell r="K3708">
            <v>149655208</v>
          </cell>
        </row>
        <row r="3709">
          <cell r="I3709">
            <v>819004937</v>
          </cell>
          <cell r="J3709" t="str">
            <v>Fondos de Servicios Docentes IED Rodrigo de Bastidas</v>
          </cell>
          <cell r="K3709">
            <v>198282506</v>
          </cell>
        </row>
        <row r="3710">
          <cell r="I3710">
            <v>819004973</v>
          </cell>
          <cell r="J3710" t="str">
            <v>INSTITUCION EDUCATIVA DEPARTAMENTAL DE BASICA Y MEDIA SANTA CRUZ</v>
          </cell>
          <cell r="K3710">
            <v>45520501</v>
          </cell>
        </row>
        <row r="3711">
          <cell r="I3711">
            <v>819004988</v>
          </cell>
          <cell r="J3711" t="str">
            <v>Fondo de Servicio Educativo IED Bunkwimake</v>
          </cell>
          <cell r="K3711">
            <v>44012419</v>
          </cell>
        </row>
        <row r="3712">
          <cell r="I3712">
            <v>819005010</v>
          </cell>
          <cell r="J3712" t="str">
            <v>INSTITUCION EDUCATIVA DEPARTAMENTAL ARCESIO CALIZ</v>
          </cell>
          <cell r="K3712">
            <v>127869324</v>
          </cell>
        </row>
        <row r="3713">
          <cell r="I3713">
            <v>819005041</v>
          </cell>
          <cell r="J3713" t="str">
            <v>COLEGIO DEPARTAMENTAL DE BACHILLERATO DE LA PACHA</v>
          </cell>
          <cell r="K3713">
            <v>74854027</v>
          </cell>
        </row>
        <row r="3714">
          <cell r="I3714">
            <v>819005117</v>
          </cell>
          <cell r="J3714" t="str">
            <v>INSTITUCION EDUCATIVA AGROPECUARIA NUESTRA SEÑORA DELAS MERCEDES</v>
          </cell>
          <cell r="K3714">
            <v>173704436</v>
          </cell>
        </row>
        <row r="3715">
          <cell r="I3715">
            <v>819005150</v>
          </cell>
          <cell r="J3715" t="str">
            <v>INSTITUCION EDUCATIVA SAN PABLO DE PEDRAZA</v>
          </cell>
          <cell r="K3715">
            <v>50162156</v>
          </cell>
        </row>
        <row r="3716">
          <cell r="I3716">
            <v>819005191</v>
          </cell>
          <cell r="J3716" t="str">
            <v>institucion educativa tecnica isaac j.pereira</v>
          </cell>
          <cell r="K3716">
            <v>69897829</v>
          </cell>
        </row>
        <row r="3717">
          <cell r="I3717">
            <v>819005214</v>
          </cell>
          <cell r="J3717" t="str">
            <v>Fondo de Servicio Educativo IED Cristo Rey</v>
          </cell>
          <cell r="K3717">
            <v>102269179</v>
          </cell>
        </row>
        <row r="3718">
          <cell r="I3718">
            <v>819005218</v>
          </cell>
          <cell r="J3718" t="str">
            <v>Fondo de Servicio Educativo IED Nicolas Buenventura</v>
          </cell>
          <cell r="K3718">
            <v>118301358</v>
          </cell>
        </row>
        <row r="3719">
          <cell r="I3719">
            <v>819005304</v>
          </cell>
          <cell r="J3719" t="str">
            <v>INSTITUCION EDUCATIVA DEPARTAMENTAL TECNICA GILMA ROYERO SOLANO</v>
          </cell>
          <cell r="K3719">
            <v>145757152</v>
          </cell>
        </row>
        <row r="3720">
          <cell r="I3720">
            <v>819005305</v>
          </cell>
          <cell r="J3720" t="str">
            <v>INSTITUCION EDUCATIVA DEPARTAMENTAL DE RICAURTE - FONDO DE SERVICIOS EDUCATIVOS</v>
          </cell>
          <cell r="K3720">
            <v>41699840</v>
          </cell>
        </row>
        <row r="3721">
          <cell r="I3721">
            <v>819005463</v>
          </cell>
          <cell r="J3721" t="str">
            <v>INSTITUCION EDUCATIVA DEPARTAMENTAL DE GUAIMARO</v>
          </cell>
          <cell r="K3721">
            <v>67098369</v>
          </cell>
        </row>
        <row r="3722">
          <cell r="I3722">
            <v>819005474</v>
          </cell>
          <cell r="J3722" t="str">
            <v>INSTITUCION EDUCATIVA DEPARTAMENTAL CIUDAD PERDIDA</v>
          </cell>
          <cell r="K3722">
            <v>53347045</v>
          </cell>
        </row>
        <row r="3723">
          <cell r="I3723">
            <v>819005605</v>
          </cell>
          <cell r="J3723" t="str">
            <v>INSTITUCION EDUCATIVA GUILLERMO ALVAREZ</v>
          </cell>
          <cell r="K3723">
            <v>38928441</v>
          </cell>
        </row>
        <row r="3724">
          <cell r="I3724">
            <v>819005624</v>
          </cell>
          <cell r="J3724" t="str">
            <v>INSTITUCION EDUCATIVA DEPARTAMENTAL RURAL LAS MERCEDES</v>
          </cell>
          <cell r="K3724">
            <v>64690316</v>
          </cell>
        </row>
        <row r="3725">
          <cell r="I3725">
            <v>819005642</v>
          </cell>
          <cell r="J3725" t="str">
            <v>INSTITUCION EDUCATIVA AGROINDUSTRIAL DEPARTAMENTAL DE TUCURINCA</v>
          </cell>
          <cell r="K3725">
            <v>119205398</v>
          </cell>
        </row>
        <row r="3726">
          <cell r="I3726">
            <v>819005643</v>
          </cell>
          <cell r="J3726" t="str">
            <v>CENTRO DE EDUCACION BASICA ETNO-EDUCATIVO SOPLADOR</v>
          </cell>
          <cell r="K3726">
            <v>40302955</v>
          </cell>
        </row>
        <row r="3727">
          <cell r="I3727">
            <v>819005719</v>
          </cell>
          <cell r="J3727" t="str">
            <v>INSTITUCION EDUCATIVA DEPARTAMENTAL NICOLAS MEJIA MENDEZ</v>
          </cell>
          <cell r="K3727">
            <v>91255885</v>
          </cell>
        </row>
        <row r="3728">
          <cell r="I3728">
            <v>819005750</v>
          </cell>
          <cell r="J3728" t="str">
            <v>Fondo de Servicio Educativo CED Rural La Quinina</v>
          </cell>
          <cell r="K3728">
            <v>27618661</v>
          </cell>
        </row>
        <row r="3729">
          <cell r="I3729">
            <v>819005763</v>
          </cell>
          <cell r="J3729" t="str">
            <v>INSTITUCION EDUCATIVA DEPARTAMENTAL CELINDA MEJIA LOPEZ</v>
          </cell>
          <cell r="K3729">
            <v>54061848</v>
          </cell>
        </row>
        <row r="3730">
          <cell r="I3730">
            <v>819005862</v>
          </cell>
          <cell r="J3730" t="str">
            <v>INSTITUCION EDUCATIVA DEPARTAMENTAL ROQUE DE LOS RIOS VALLE</v>
          </cell>
          <cell r="K3730">
            <v>216660138</v>
          </cell>
        </row>
        <row r="3731">
          <cell r="I3731">
            <v>819005887</v>
          </cell>
          <cell r="J3731" t="str">
            <v>IED LICEO SAMARIO</v>
          </cell>
          <cell r="K3731">
            <v>151830687</v>
          </cell>
        </row>
        <row r="3732">
          <cell r="I3732">
            <v>819005912</v>
          </cell>
          <cell r="J3732" t="str">
            <v>INSTITUCION EDUCATIVA DEPARTAMENTAL ALBERTO CABALLERO</v>
          </cell>
          <cell r="K3732">
            <v>139902781</v>
          </cell>
        </row>
        <row r="3733">
          <cell r="I3733">
            <v>819005913</v>
          </cell>
          <cell r="J3733" t="str">
            <v>INSTITUCION EDUCATIVA DEPARTAMENTAL EUCLIDEZ LIZARAZO</v>
          </cell>
          <cell r="K3733">
            <v>126273895</v>
          </cell>
        </row>
        <row r="3734">
          <cell r="I3734">
            <v>819005940</v>
          </cell>
          <cell r="J3734" t="str">
            <v>INSTITUCION EDUCATIVA TECNICA DEPARTAMENTAL MARIA AUXILIADORA</v>
          </cell>
          <cell r="K3734">
            <v>69747011</v>
          </cell>
        </row>
        <row r="3735">
          <cell r="I3735">
            <v>819005942</v>
          </cell>
          <cell r="J3735" t="str">
            <v>INSTITUCION EDUCATIVA DEPARTAMENTAL RURAL SAN JOSE de prevencion</v>
          </cell>
          <cell r="K3735">
            <v>62463349</v>
          </cell>
        </row>
        <row r="3736">
          <cell r="I3736">
            <v>819005943</v>
          </cell>
          <cell r="J3736" t="str">
            <v>INSTITUCION EDUCATIVA DEPARTAMENTAL RURAL EL BRILLANTE</v>
          </cell>
          <cell r="K3736">
            <v>39878964</v>
          </cell>
        </row>
        <row r="3737">
          <cell r="I3737">
            <v>819006033</v>
          </cell>
          <cell r="J3737" t="str">
            <v>INSTITUCION EDUCATIVA DISTRITAL AGROECOLOGICA SAGRADO CORAZON DE JESUS</v>
          </cell>
          <cell r="K3737">
            <v>17097172</v>
          </cell>
        </row>
        <row r="3738">
          <cell r="I3738">
            <v>819006060</v>
          </cell>
          <cell r="J3738" t="str">
            <v>I.E.D. AGROAMBIENTAL DE LA SIERRA</v>
          </cell>
          <cell r="K3738">
            <v>8109908</v>
          </cell>
        </row>
        <row r="3739">
          <cell r="I3739">
            <v>819006233</v>
          </cell>
          <cell r="J3739" t="str">
            <v>INSTITUCION EDUCATIVA DEPARTAMENTAL RURAL NUESTRA SEOR</v>
          </cell>
          <cell r="K3739">
            <v>24044078</v>
          </cell>
        </row>
        <row r="3740">
          <cell r="I3740">
            <v>819006234</v>
          </cell>
          <cell r="J3740" t="str">
            <v>INSTITUCION EDUCATIVA DEPARTAMENTAL RURAL NUESTRA SEÑORA DEL CARMEN</v>
          </cell>
          <cell r="K3740">
            <v>28764073</v>
          </cell>
        </row>
        <row r="3741">
          <cell r="I3741">
            <v>819006312</v>
          </cell>
          <cell r="J3741" t="str">
            <v>INSEDUDE SEVILLANO</v>
          </cell>
          <cell r="K3741">
            <v>71856251</v>
          </cell>
        </row>
        <row r="3742">
          <cell r="I3742">
            <v>819006337</v>
          </cell>
          <cell r="J3742" t="str">
            <v>INSTITUCION EDUCATIVA TECNICA DEPARTAMENTAL SANTA MARIA</v>
          </cell>
          <cell r="K3742">
            <v>54852280</v>
          </cell>
        </row>
        <row r="3743">
          <cell r="I3743">
            <v>819006351</v>
          </cell>
          <cell r="J3743" t="str">
            <v>INSTITUCION EDUCATIVA DEPARTAMENTAL RURAL LA RINCONADA</v>
          </cell>
          <cell r="K3743">
            <v>45240081</v>
          </cell>
        </row>
        <row r="3744">
          <cell r="I3744">
            <v>819006370</v>
          </cell>
          <cell r="J3744" t="str">
            <v>INSTITUCION EDUCATIVA DEPARTAMENTAL ROSA CORTINA HERNANDEZ</v>
          </cell>
          <cell r="K3744">
            <v>149560197</v>
          </cell>
        </row>
        <row r="3745">
          <cell r="I3745">
            <v>819006385</v>
          </cell>
          <cell r="J3745" t="str">
            <v>IED PEDAGOGICO DEL CARIBE (ANTIGUA NARAKAJMANTA)</v>
          </cell>
          <cell r="K3745">
            <v>133477303</v>
          </cell>
        </row>
        <row r="3746">
          <cell r="I3746">
            <v>819006495</v>
          </cell>
          <cell r="J3746" t="str">
            <v>CENTRO DE EDUCACION BASICA DEPARTAMENTAL RURAL ENRIQUE QUINTERO JAIMES</v>
          </cell>
          <cell r="K3746">
            <v>36872790</v>
          </cell>
        </row>
        <row r="3747">
          <cell r="I3747">
            <v>819006517</v>
          </cell>
          <cell r="J3747" t="str">
            <v>Fondo de Servicio Educativo IED Técnica La Revuelta</v>
          </cell>
          <cell r="K3747">
            <v>100021036</v>
          </cell>
        </row>
        <row r="3748">
          <cell r="I3748">
            <v>819006565</v>
          </cell>
          <cell r="J3748" t="str">
            <v>Fondo de Servicio Educativo IED Nuevo Amanecer Con Dios</v>
          </cell>
          <cell r="K3748">
            <v>69999059</v>
          </cell>
        </row>
        <row r="3749">
          <cell r="I3749">
            <v>819006567</v>
          </cell>
          <cell r="J3749" t="str">
            <v>INSTITUCION EDUCATIVA DEPARTAMENTAL PABLO NIEBLES</v>
          </cell>
          <cell r="K3749">
            <v>23955247</v>
          </cell>
        </row>
        <row r="3750">
          <cell r="I3750">
            <v>819006568</v>
          </cell>
          <cell r="J3750" t="str">
            <v>CENTRO DE EDUCACION BASICA DEPARTAMENTAL RURAL RITA CUELLO VANEGAS</v>
          </cell>
          <cell r="K3750">
            <v>32722206</v>
          </cell>
        </row>
        <row r="3751">
          <cell r="I3751">
            <v>819006571</v>
          </cell>
          <cell r="J3751" t="str">
            <v>INSTITUCION EDUCATIVA DEPARTAMENTAL ANTONIO BRUJES CARMONA - FONDOS DE SERVICIOS EDUCATIVOS</v>
          </cell>
          <cell r="K3751">
            <v>96326683</v>
          </cell>
        </row>
        <row r="3752">
          <cell r="I3752">
            <v>819006572</v>
          </cell>
          <cell r="J3752" t="str">
            <v>CENTRO EDUCATIVO RURAL MIXTO DEPARTAMENTAL JOSE DE LA PAZ VANEGAS</v>
          </cell>
          <cell r="K3752">
            <v>43339080</v>
          </cell>
        </row>
        <row r="3753">
          <cell r="I3753">
            <v>819006574</v>
          </cell>
          <cell r="J3753" t="str">
            <v>INSTITUCION EDUCATIVA DEPARTAMENTAL MITSILOU CAMPBELL</v>
          </cell>
          <cell r="K3753">
            <v>135620093</v>
          </cell>
        </row>
        <row r="3754">
          <cell r="I3754">
            <v>819006660</v>
          </cell>
          <cell r="J3754" t="str">
            <v>INSTITUCION EDUCATIVA DEPARTAMENTAL RURAL LUIS MILLAN VARGAS</v>
          </cell>
          <cell r="K3754">
            <v>61064370</v>
          </cell>
        </row>
        <row r="3755">
          <cell r="I3755">
            <v>819006665</v>
          </cell>
          <cell r="J3755" t="str">
            <v>INSTITUCION EDUCATIVA DEPARTAMENTAL RURAL SAN PEDRO APOSTOL LAS FLORES - FONDO DE SERVICIOS EDUCATIVOS</v>
          </cell>
          <cell r="K3755">
            <v>54512551</v>
          </cell>
        </row>
        <row r="3756">
          <cell r="I3756">
            <v>819006666</v>
          </cell>
          <cell r="J3756" t="str">
            <v>INSTITUCION EDUCATIVA DEPARTAMENTAL RURAL MARIA AUXILIA</v>
          </cell>
          <cell r="K3756">
            <v>74551396</v>
          </cell>
        </row>
        <row r="3757">
          <cell r="I3757">
            <v>819006680</v>
          </cell>
          <cell r="J3757" t="str">
            <v>CENTRO EDUCATIVO DEPARTAMENTAL ELECTO CALIZ MARTINEZ</v>
          </cell>
          <cell r="K3757">
            <v>32309454</v>
          </cell>
        </row>
        <row r="3758">
          <cell r="I3758">
            <v>819006760</v>
          </cell>
          <cell r="J3758" t="str">
            <v>INSTITUCION EDUCATIVA DEPARTAMENTAL JOSEFA MARIA ROMERO DE LA CRUZ</v>
          </cell>
          <cell r="K3758">
            <v>49083073</v>
          </cell>
        </row>
        <row r="3759">
          <cell r="I3759">
            <v>819006789</v>
          </cell>
          <cell r="J3759" t="str">
            <v>INSTITUCION EDUCATIVA DEPARTAMENTAL RURAL SAN VALENTIN</v>
          </cell>
          <cell r="K3759">
            <v>59176186</v>
          </cell>
        </row>
        <row r="3760">
          <cell r="I3760">
            <v>819006902</v>
          </cell>
          <cell r="J3760" t="str">
            <v>INSTITUCION EDUCATIVA DEPARTAMENTAL FOSY MARCOS MARIA</v>
          </cell>
          <cell r="K3760">
            <v>100947449</v>
          </cell>
        </row>
        <row r="3761">
          <cell r="I3761">
            <v>819006992</v>
          </cell>
          <cell r="J3761" t="str">
            <v>Fondos de Servicios Docentes IED Alfonso Lopez</v>
          </cell>
          <cell r="K3761">
            <v>49580110</v>
          </cell>
        </row>
        <row r="3762">
          <cell r="I3762">
            <v>819007071</v>
          </cell>
          <cell r="J3762" t="str">
            <v>CENTRO EDUCATIVO SANTA ROSALIA</v>
          </cell>
          <cell r="K3762">
            <v>54292880</v>
          </cell>
        </row>
        <row r="3763">
          <cell r="I3763">
            <v>819007099</v>
          </cell>
          <cell r="J3763" t="str">
            <v>institucion educativa dario torregroza perez</v>
          </cell>
          <cell r="K3763">
            <v>131903122</v>
          </cell>
        </row>
        <row r="3764">
          <cell r="I3764">
            <v>819007207</v>
          </cell>
          <cell r="J3764" t="str">
            <v>INSTITUCION EDUCATIVA DEPARTAMENTAL RURAL DE GERMANIA</v>
          </cell>
          <cell r="K3764">
            <v>58710130</v>
          </cell>
        </row>
        <row r="3765">
          <cell r="I3765">
            <v>820000104</v>
          </cell>
          <cell r="J3765" t="str">
            <v>INSTITUCION EDUCATIVS NICOLAS CUERVO Y ROJAS</v>
          </cell>
          <cell r="K3765">
            <v>31126673</v>
          </cell>
        </row>
        <row r="3766">
          <cell r="I3766">
            <v>820000274</v>
          </cell>
          <cell r="J3766" t="str">
            <v>COLEGIO ROJAS PINILLA</v>
          </cell>
          <cell r="K3766">
            <v>89571807</v>
          </cell>
        </row>
        <row r="3767">
          <cell r="I3767">
            <v>820000416</v>
          </cell>
          <cell r="J3767" t="str">
            <v>INSTITUCION EDUCATIVA  EL CRUCE</v>
          </cell>
          <cell r="K3767">
            <v>29195084</v>
          </cell>
        </row>
        <row r="3768">
          <cell r="I3768">
            <v>820000765</v>
          </cell>
          <cell r="J3768" t="str">
            <v>INSTITUCION EDUCATIVA ECOLOGICO SAN FRANCISCO</v>
          </cell>
          <cell r="K3768">
            <v>24246278</v>
          </cell>
        </row>
        <row r="3769">
          <cell r="I3769">
            <v>820000791</v>
          </cell>
          <cell r="J3769" t="str">
            <v>FONDO DE SERVICIOS EDUCATIVOS INSTITUCION EDUCATIVA AGROPECUARIA  SANTA BARBARA</v>
          </cell>
          <cell r="K3769">
            <v>21284209</v>
          </cell>
        </row>
        <row r="3770">
          <cell r="I3770">
            <v>820000934</v>
          </cell>
          <cell r="J3770" t="str">
            <v>INSTITUCION EDUCATIVA SAN MARCOS FONDO DE SERVICIOS EDUCATIVOS</v>
          </cell>
          <cell r="K3770">
            <v>15948551</v>
          </cell>
        </row>
        <row r="3771">
          <cell r="I3771">
            <v>820001086</v>
          </cell>
          <cell r="J3771" t="str">
            <v>FONDO DE SERVICIOS EDUCATIVOS</v>
          </cell>
          <cell r="K3771">
            <v>28914809</v>
          </cell>
        </row>
        <row r="3772">
          <cell r="I3772">
            <v>820001154</v>
          </cell>
          <cell r="J3772" t="str">
            <v>EDUCATIVA JOSÉ ANTONIO GALÁN</v>
          </cell>
          <cell r="K3772">
            <v>68454066</v>
          </cell>
        </row>
        <row r="3773">
          <cell r="I3773">
            <v>820001156</v>
          </cell>
          <cell r="J3773" t="str">
            <v>INSTITUCION EDUCATIVA JOSE ANTONIO GALAN-PUERTO BOYACA</v>
          </cell>
          <cell r="K3773">
            <v>131031206</v>
          </cell>
        </row>
        <row r="3774">
          <cell r="I3774">
            <v>820001168</v>
          </cell>
          <cell r="J3774" t="str">
            <v>INSTITUCION EDUCATIVA NUESTRA SEÑORA DE LA PAZ</v>
          </cell>
          <cell r="K3774">
            <v>45941454</v>
          </cell>
        </row>
        <row r="3775">
          <cell r="I3775">
            <v>820001177</v>
          </cell>
          <cell r="J3775" t="str">
            <v>INSTITUCION EDUCATIVA ANTONIA SANTOS</v>
          </cell>
          <cell r="K3775">
            <v>118932009</v>
          </cell>
        </row>
        <row r="3776">
          <cell r="I3776">
            <v>820001274</v>
          </cell>
          <cell r="J3776" t="str">
            <v>INSTITUCION EDUCATIVA TECNICA AGROPECUARIA ALFONSO VANEGAS SIERRA</v>
          </cell>
          <cell r="K3776">
            <v>26159703</v>
          </cell>
        </row>
        <row r="3777">
          <cell r="I3777">
            <v>820001312</v>
          </cell>
          <cell r="J3777" t="str">
            <v>INSTITUCIÓN EDUCATIVA TÉCNICA AGROPECUARIA</v>
          </cell>
          <cell r="K3777">
            <v>27085608</v>
          </cell>
        </row>
        <row r="3778">
          <cell r="I3778">
            <v>820001344</v>
          </cell>
          <cell r="J3778" t="str">
            <v>FONDO DE SERVICIOS EDUCATIVOS INSTITUCIÓN EDUCATIVA TÉCNICA AGROPECUARIA “SOTE PANELAS”</v>
          </cell>
          <cell r="K3778">
            <v>37876841</v>
          </cell>
        </row>
        <row r="3779">
          <cell r="I3779">
            <v>820001451</v>
          </cell>
          <cell r="J3779" t="str">
            <v>COLEGIO SAN ANTONIO DE RAQUIRA</v>
          </cell>
          <cell r="K3779">
            <v>56917485</v>
          </cell>
        </row>
        <row r="3780">
          <cell r="I3780">
            <v>820001460</v>
          </cell>
          <cell r="J3780" t="str">
            <v>INSTITUTO TECNICO GONZALO SUAREZ RENDON</v>
          </cell>
          <cell r="K3780">
            <v>120614626</v>
          </cell>
        </row>
        <row r="3781">
          <cell r="I3781">
            <v>820001509</v>
          </cell>
          <cell r="J3781" t="str">
            <v>INSTITUCION EDUCATIVA SAN ANTONIO DE PADUA</v>
          </cell>
          <cell r="K3781">
            <v>35797841</v>
          </cell>
        </row>
        <row r="3782">
          <cell r="I3782">
            <v>820001556</v>
          </cell>
          <cell r="J3782" t="str">
            <v>FSE INSTITUCION EDUCATIVA TECNICA JOSE JOAQUIN ORTIZ</v>
          </cell>
          <cell r="K3782">
            <v>66117129</v>
          </cell>
        </row>
        <row r="3783">
          <cell r="I3783">
            <v>820001558</v>
          </cell>
          <cell r="J3783" t="str">
            <v>INSTITUCION EDUCATIVA COLEGIO DE LLANO GRANDE</v>
          </cell>
          <cell r="K3783">
            <v>23173500</v>
          </cell>
        </row>
        <row r="3784">
          <cell r="I3784">
            <v>820001657</v>
          </cell>
          <cell r="J3784" t="str">
            <v>FONDO DE SERVICIOS EDUCATIVOS INSTITUCION EDUCATIVA PUERTO PINZON</v>
          </cell>
          <cell r="K3784">
            <v>30774212</v>
          </cell>
        </row>
        <row r="3785">
          <cell r="I3785">
            <v>820001663</v>
          </cell>
          <cell r="J3785" t="str">
            <v>COLEGIO DE EDUCACION BASICA Y MEDIA ACADEMICA SANTA BARBARA</v>
          </cell>
          <cell r="K3785">
            <v>61103372</v>
          </cell>
        </row>
        <row r="3786">
          <cell r="I3786">
            <v>820001699</v>
          </cell>
          <cell r="J3786" t="str">
            <v>FONDO DE SERVICIOS EDUCATIVOS COLEGIO MANUEL BRICEÑO</v>
          </cell>
          <cell r="K3786">
            <v>33111065</v>
          </cell>
        </row>
        <row r="3787">
          <cell r="I3787">
            <v>820001724</v>
          </cell>
          <cell r="J3787" t="str">
            <v>FONDO DE SERVICIOS EDUCATIVOS INSTITUCION EDUCATIVA TECNICA PUERTO SERVIEZ</v>
          </cell>
          <cell r="K3787">
            <v>66140202</v>
          </cell>
        </row>
        <row r="3788">
          <cell r="I3788">
            <v>820001751</v>
          </cell>
          <cell r="J3788" t="str">
            <v>INSTITUCION EDUCATIVA TECNICA EL CERRO</v>
          </cell>
          <cell r="K3788">
            <v>32772633</v>
          </cell>
        </row>
        <row r="3789">
          <cell r="I3789">
            <v>820001834</v>
          </cell>
          <cell r="J3789" t="str">
            <v>FONDO DE SERVICIOS EDUCATIVOS COLEGIO MARCO FIDEL SUAREZ</v>
          </cell>
          <cell r="K3789">
            <v>26072407</v>
          </cell>
        </row>
        <row r="3790">
          <cell r="I3790">
            <v>820001917</v>
          </cell>
          <cell r="J3790" t="str">
            <v>LA INSTITUCION EDUCATIVA LA FLORESTA (FONDOS DE SERVICIOS DOCENTES)</v>
          </cell>
          <cell r="K3790">
            <v>22125820</v>
          </cell>
        </row>
        <row r="3791">
          <cell r="I3791">
            <v>820001943</v>
          </cell>
          <cell r="J3791" t="str">
            <v>fondo de servicios docentes colegio mariano ospina perez tinjaca</v>
          </cell>
          <cell r="K3791">
            <v>39691467</v>
          </cell>
        </row>
        <row r="3792">
          <cell r="I3792">
            <v>820001964</v>
          </cell>
          <cell r="J3792" t="str">
            <v>Fondo de servicios educativos colegio Juan Pablo II saboya</v>
          </cell>
          <cell r="K3792">
            <v>16715170</v>
          </cell>
        </row>
        <row r="3793">
          <cell r="I3793">
            <v>820001967</v>
          </cell>
          <cell r="J3793" t="str">
            <v>INSTITUCION EDUCTIVA JOS MARIA CORDOBA</v>
          </cell>
          <cell r="K3793">
            <v>51750026</v>
          </cell>
        </row>
        <row r="3794">
          <cell r="I3794">
            <v>820001976</v>
          </cell>
          <cell r="J3794" t="str">
            <v>INSTITUCION EDUCATIVA TECNICA LA LAJA</v>
          </cell>
          <cell r="K3794">
            <v>12447815</v>
          </cell>
        </row>
        <row r="3795">
          <cell r="I3795">
            <v>820001994</v>
          </cell>
          <cell r="J3795" t="str">
            <v>INSTITUCION EDUCATIVA JULIUS SIEBER</v>
          </cell>
          <cell r="K3795">
            <v>48622357</v>
          </cell>
        </row>
        <row r="3796">
          <cell r="I3796">
            <v>820002027</v>
          </cell>
          <cell r="J3796" t="str">
            <v>INSTITUCIÓN EDUCATIVA SAN ISIDRO F.S.E</v>
          </cell>
          <cell r="K3796">
            <v>21280511</v>
          </cell>
        </row>
        <row r="3797">
          <cell r="I3797">
            <v>820002061</v>
          </cell>
          <cell r="J3797" t="str">
            <v>FONDO DE SERVICIOS EDUCATIVOS COLEGIO DIVINO NIÑO QUIPAMA</v>
          </cell>
          <cell r="K3797">
            <v>14851770</v>
          </cell>
        </row>
        <row r="3798">
          <cell r="I3798">
            <v>820002179</v>
          </cell>
          <cell r="J3798" t="str">
            <v>FONDO DE SERVICIOS EDUCATIVOS</v>
          </cell>
          <cell r="K3798">
            <v>73163937</v>
          </cell>
        </row>
        <row r="3799">
          <cell r="I3799">
            <v>820002203</v>
          </cell>
          <cell r="J3799" t="str">
            <v>INSTITUCION EDUCATIVA TECNICA SALAMANCA</v>
          </cell>
          <cell r="K3799">
            <v>76134355</v>
          </cell>
        </row>
        <row r="3800">
          <cell r="I3800">
            <v>820002210</v>
          </cell>
          <cell r="J3800" t="str">
            <v>FONDO DE SERVICIOS EDUCATIVOS INSTITUCION EDUCATIVA TECNICA PABLO VALETTE</v>
          </cell>
          <cell r="K3800">
            <v>54557225</v>
          </cell>
        </row>
        <row r="3801">
          <cell r="I3801">
            <v>820002314</v>
          </cell>
          <cell r="J3801" t="str">
            <v>TECNICA JORDAN</v>
          </cell>
          <cell r="K3801">
            <v>19351359</v>
          </cell>
        </row>
        <row r="3802">
          <cell r="I3802">
            <v>820002344</v>
          </cell>
          <cell r="J3802" t="str">
            <v>IE TECNICA AGRICOLA ANTONIO NARIÑO</v>
          </cell>
          <cell r="K3802">
            <v>24718604</v>
          </cell>
        </row>
        <row r="3803">
          <cell r="I3803">
            <v>820002364</v>
          </cell>
          <cell r="J3803" t="str">
            <v>F.S.E. I.E. HERNANDO GELVEZ SUAREZ</v>
          </cell>
          <cell r="K3803">
            <v>33185092</v>
          </cell>
        </row>
        <row r="3804">
          <cell r="I3804">
            <v>820002464</v>
          </cell>
          <cell r="J3804" t="str">
            <v>FONDO DE SERVICIOS EDUCATIVOS I.R. SAN ISIDRO</v>
          </cell>
          <cell r="K3804">
            <v>21186164</v>
          </cell>
        </row>
        <row r="3805">
          <cell r="I3805">
            <v>820002465</v>
          </cell>
          <cell r="J3805" t="str">
            <v>INSTITUCION EDUCATIVA DIVINO NIÑO</v>
          </cell>
          <cell r="K3805">
            <v>22150035</v>
          </cell>
        </row>
        <row r="3806">
          <cell r="I3806">
            <v>820002493</v>
          </cell>
          <cell r="J3806" t="str">
            <v>INSTITUCIÓN EDUCATIVA TÉCNICA LA LIBERTAD</v>
          </cell>
          <cell r="K3806">
            <v>82657284</v>
          </cell>
        </row>
        <row r="3807">
          <cell r="I3807">
            <v>820002503</v>
          </cell>
          <cell r="J3807" t="str">
            <v>INSTITUCION EDUCATIVA ADOLFO MARIA JIMENEZ</v>
          </cell>
          <cell r="K3807">
            <v>43448792</v>
          </cell>
        </row>
        <row r="3808">
          <cell r="I3808">
            <v>820002686</v>
          </cell>
          <cell r="J3808" t="str">
            <v>INSTITUCION EDUCATIVA NUEVA ESPERANZA</v>
          </cell>
          <cell r="K3808">
            <v>12203817</v>
          </cell>
        </row>
        <row r="3809">
          <cell r="I3809">
            <v>820003314</v>
          </cell>
          <cell r="J3809" t="str">
            <v>COLEGIO DE EDUCACION TECNICO COMERCIAL  SAGRADO CORAZON DE JESUS</v>
          </cell>
          <cell r="K3809">
            <v>151595208</v>
          </cell>
        </row>
        <row r="3810">
          <cell r="I3810">
            <v>820003332</v>
          </cell>
          <cell r="J3810" t="str">
            <v>INSTITUCION EDUCATIVA GUANEGRO</v>
          </cell>
          <cell r="K3810">
            <v>15503444</v>
          </cell>
        </row>
        <row r="3811">
          <cell r="I3811">
            <v>820004321</v>
          </cell>
          <cell r="J3811" t="str">
            <v>COLEGIO NUESTRA SEÑORA DE LA CANDELARIA</v>
          </cell>
          <cell r="K3811">
            <v>39034205</v>
          </cell>
        </row>
        <row r="3812">
          <cell r="I3812">
            <v>820004402</v>
          </cell>
          <cell r="J3812" t="str">
            <v>INSTITUCION EDUCATIVA LIBERTADOR SIMON BOLIVAR SERVICIOS EDUCATIVOS</v>
          </cell>
          <cell r="K3812">
            <v>102854286</v>
          </cell>
        </row>
        <row r="3813">
          <cell r="I3813">
            <v>820004403</v>
          </cell>
          <cell r="J3813" t="str">
            <v>INSTITUCION EDUCATIVA RURAL DEL SUR</v>
          </cell>
          <cell r="K3813">
            <v>84098939</v>
          </cell>
        </row>
        <row r="3814">
          <cell r="I3814">
            <v>820004438</v>
          </cell>
          <cell r="J3814" t="str">
            <v>INSTITUCION EDUCATIVA EL CHARCO</v>
          </cell>
          <cell r="K3814">
            <v>20320207</v>
          </cell>
        </row>
        <row r="3815">
          <cell r="I3815">
            <v>820004770</v>
          </cell>
          <cell r="J3815" t="str">
            <v>Institución Educativa San Alberto Magno</v>
          </cell>
          <cell r="K3815">
            <v>12901744</v>
          </cell>
        </row>
        <row r="3816">
          <cell r="I3816">
            <v>820004854</v>
          </cell>
          <cell r="J3816" t="str">
            <v>FONDO DE SERVICIOS EDUCATIVOS DE LA INSTITUCION EDUCATIVA TECNICA MIRAFLORES</v>
          </cell>
          <cell r="K3816">
            <v>31989382</v>
          </cell>
        </row>
        <row r="3817">
          <cell r="I3817">
            <v>821000007</v>
          </cell>
          <cell r="J3817" t="str">
            <v>INSTITUCION EDUCATIVA JOVITA SANTACOLOMA</v>
          </cell>
          <cell r="K3817">
            <v>51793656</v>
          </cell>
        </row>
        <row r="3818">
          <cell r="I3818">
            <v>821000033</v>
          </cell>
          <cell r="J3818" t="str">
            <v>INSTITUCION EDUCATIVA LUIS GABRIEL UMAÑA</v>
          </cell>
          <cell r="K3818">
            <v>44390628</v>
          </cell>
        </row>
        <row r="3819">
          <cell r="I3819">
            <v>821000110</v>
          </cell>
          <cell r="J3819" t="str">
            <v>INSTITUCION  EDUCATIVA  TECNICA OCCIDENTE</v>
          </cell>
          <cell r="K3819">
            <v>218967984</v>
          </cell>
        </row>
        <row r="3820">
          <cell r="I3820">
            <v>821000123</v>
          </cell>
          <cell r="J3820" t="str">
            <v>INSTITUCION EDUCATIVA SAN JUAN DE BARRAGAN</v>
          </cell>
          <cell r="K3820">
            <v>34198597</v>
          </cell>
        </row>
        <row r="3821">
          <cell r="I3821">
            <v>821000279</v>
          </cell>
          <cell r="J3821" t="str">
            <v>INSTITUCION EDUCATIVA SAN JOSE FONDO DE SERVICIOS</v>
          </cell>
          <cell r="K3821">
            <v>104020744</v>
          </cell>
        </row>
        <row r="3822">
          <cell r="I3822">
            <v>821000303</v>
          </cell>
          <cell r="J3822" t="str">
            <v>COLEGIO SAN JOSE</v>
          </cell>
          <cell r="K3822">
            <v>104682905</v>
          </cell>
        </row>
        <row r="3823">
          <cell r="I3823">
            <v>821000317</v>
          </cell>
          <cell r="J3823" t="str">
            <v>FONDO DE SERVICIOS EDUCATIVOS IE SAGRADO CORAZON DE JESUS</v>
          </cell>
          <cell r="K3823">
            <v>39168782</v>
          </cell>
        </row>
        <row r="3824">
          <cell r="I3824">
            <v>821000335</v>
          </cell>
          <cell r="J3824" t="str">
            <v>INSTITUCION EDUCATIVA CRISTOBAL COLON</v>
          </cell>
          <cell r="K3824">
            <v>34411352</v>
          </cell>
        </row>
        <row r="3825">
          <cell r="I3825">
            <v>821000346</v>
          </cell>
          <cell r="J3825" t="str">
            <v>IE DIEGO RENGIFO SALAZAR</v>
          </cell>
          <cell r="K3825">
            <v>106202334</v>
          </cell>
        </row>
        <row r="3826">
          <cell r="I3826">
            <v>821000786</v>
          </cell>
          <cell r="J3826" t="str">
            <v>INSTITUCION EDUCATIVA CORAZON DEL VALLE</v>
          </cell>
          <cell r="K3826">
            <v>172345768</v>
          </cell>
        </row>
        <row r="3827">
          <cell r="I3827">
            <v>821000816</v>
          </cell>
          <cell r="J3827" t="str">
            <v>INSTITUCION EDUCATIVA  MARIA ANTONIA RUIZ</v>
          </cell>
          <cell r="K3827">
            <v>158535690</v>
          </cell>
        </row>
        <row r="3828">
          <cell r="I3828">
            <v>821000964</v>
          </cell>
          <cell r="J3828" t="str">
            <v>CARLOS HOLGUIN SARDI</v>
          </cell>
          <cell r="K3828">
            <v>33505406</v>
          </cell>
        </row>
        <row r="3829">
          <cell r="I3829">
            <v>821000993</v>
          </cell>
          <cell r="J3829" t="str">
            <v>INSTITUCION EDUCATIVA SANTA TERESITA</v>
          </cell>
          <cell r="K3829">
            <v>42925777</v>
          </cell>
        </row>
        <row r="3830">
          <cell r="I3830">
            <v>821001168</v>
          </cell>
          <cell r="J3830" t="str">
            <v>INSTITUCION EDUCATIVA SAGRADO CORAZON DE JESUS</v>
          </cell>
          <cell r="K3830">
            <v>43524941</v>
          </cell>
        </row>
        <row r="3831">
          <cell r="I3831">
            <v>821001172</v>
          </cell>
          <cell r="J3831" t="str">
            <v>INSTITUCION EDUCATIVA LA CONSOLITA</v>
          </cell>
          <cell r="K3831">
            <v>20749482</v>
          </cell>
        </row>
        <row r="3832">
          <cell r="I3832">
            <v>821001199</v>
          </cell>
          <cell r="J3832" t="str">
            <v>CENTRO DOCENTE NO. 22</v>
          </cell>
          <cell r="K3832">
            <v>12860220</v>
          </cell>
        </row>
        <row r="3833">
          <cell r="I3833">
            <v>821001201</v>
          </cell>
          <cell r="J3833" t="str">
            <v>INSTITUCION EDUCATIVA ANTONIA SANTOS</v>
          </cell>
          <cell r="K3833">
            <v>10696568</v>
          </cell>
        </row>
        <row r="3834">
          <cell r="I3834">
            <v>821001476</v>
          </cell>
          <cell r="J3834" t="str">
            <v>CENTRO DOCENTE MARIANO GONZALO</v>
          </cell>
          <cell r="K3834">
            <v>31097576</v>
          </cell>
        </row>
        <row r="3835">
          <cell r="I3835">
            <v>821001501</v>
          </cell>
          <cell r="J3835" t="str">
            <v>IE DOCE DE OCTUBRE</v>
          </cell>
          <cell r="K3835">
            <v>11418288</v>
          </cell>
        </row>
        <row r="3836">
          <cell r="I3836">
            <v>821001505</v>
          </cell>
          <cell r="J3836" t="str">
            <v>INSTITUCION EDUCATIVA JORGE ELIECER GAITAN</v>
          </cell>
          <cell r="K3836">
            <v>12639340</v>
          </cell>
        </row>
        <row r="3837">
          <cell r="I3837">
            <v>821001550</v>
          </cell>
          <cell r="J3837" t="str">
            <v>INSTITUCION EDUCATIVA SANTA BARBARA</v>
          </cell>
          <cell r="K3837">
            <v>22517356</v>
          </cell>
        </row>
        <row r="3838">
          <cell r="I3838">
            <v>821001561</v>
          </cell>
          <cell r="J3838" t="str">
            <v>INSTITUCION EDUCATIVA MARIA AUXILIADORA</v>
          </cell>
          <cell r="K3838">
            <v>11707630</v>
          </cell>
        </row>
        <row r="3839">
          <cell r="I3839">
            <v>821001615</v>
          </cell>
          <cell r="J3839" t="str">
            <v>INSTITUTO EDUCATIVO CAMILO TORRES</v>
          </cell>
          <cell r="K3839">
            <v>23498742</v>
          </cell>
        </row>
        <row r="3840">
          <cell r="I3840">
            <v>821001692</v>
          </cell>
          <cell r="J3840" t="str">
            <v>INSTITUCION EDUCATIVA BENJAMIN HERRERA</v>
          </cell>
          <cell r="K3840">
            <v>22578735</v>
          </cell>
        </row>
        <row r="3841">
          <cell r="I3841">
            <v>821001877</v>
          </cell>
          <cell r="J3841" t="str">
            <v>INSTITUCION EDUCATIVA ACERG ASOCIACION DE CENTROS EDUCATIVOS DEL CAÑON DEL RIO GARRAPATAS</v>
          </cell>
          <cell r="K3841">
            <v>33966738</v>
          </cell>
        </row>
        <row r="3842">
          <cell r="I3842">
            <v>821001963</v>
          </cell>
          <cell r="J3842" t="str">
            <v>INSTITUCION EDUCATIVA JORGE ISAACS</v>
          </cell>
          <cell r="K3842">
            <v>22107739</v>
          </cell>
        </row>
        <row r="3843">
          <cell r="I3843">
            <v>821002380</v>
          </cell>
          <cell r="J3843" t="str">
            <v>CENTRO DOCENTE MIGUEL ANTONIO CARO</v>
          </cell>
          <cell r="K3843">
            <v>68574202</v>
          </cell>
        </row>
        <row r="3844">
          <cell r="I3844">
            <v>821002675</v>
          </cell>
          <cell r="J3844" t="str">
            <v>IE LA INMACULADA</v>
          </cell>
          <cell r="K3844">
            <v>53438706</v>
          </cell>
        </row>
        <row r="3845">
          <cell r="I3845">
            <v>821002772</v>
          </cell>
          <cell r="J3845" t="str">
            <v>INSTITUCION EDUCATIVA POLICARPA SALAVARRIETA</v>
          </cell>
          <cell r="K3845">
            <v>10331323</v>
          </cell>
        </row>
        <row r="3846">
          <cell r="I3846">
            <v>821002935</v>
          </cell>
          <cell r="J3846" t="str">
            <v>INSTITUCION EDUCATIVA  HERNANDO LLORENTE ARROYO</v>
          </cell>
          <cell r="K3846">
            <v>48907112</v>
          </cell>
        </row>
        <row r="3847">
          <cell r="I3847">
            <v>821002938</v>
          </cell>
          <cell r="J3847" t="str">
            <v>INSTITUCION EDUCATIVA ALFREDO GARRIDO TOVAR</v>
          </cell>
          <cell r="K3847">
            <v>41678857</v>
          </cell>
        </row>
        <row r="3848">
          <cell r="I3848">
            <v>821002946</v>
          </cell>
          <cell r="J3848" t="str">
            <v>INSTITUCION EDUCATIVA NEMESIO RODRIGUEZ ESCOBAR</v>
          </cell>
          <cell r="K3848">
            <v>43876724</v>
          </cell>
        </row>
        <row r="3849">
          <cell r="I3849">
            <v>821003059</v>
          </cell>
          <cell r="J3849" t="str">
            <v>INSTITUCION EDUCATIVA MARIA INMACULADA</v>
          </cell>
          <cell r="K3849">
            <v>27878940</v>
          </cell>
        </row>
        <row r="3850">
          <cell r="I3850">
            <v>821003112</v>
          </cell>
          <cell r="J3850" t="str">
            <v>INSTITUCION EDUCATIVA LA TULIA</v>
          </cell>
          <cell r="K3850">
            <v>44226639</v>
          </cell>
        </row>
        <row r="3851">
          <cell r="I3851">
            <v>821003181</v>
          </cell>
          <cell r="J3851" t="str">
            <v>INSTITUCION EDUCATIVA MANUEL MARIA MALLARINO</v>
          </cell>
          <cell r="K3851">
            <v>55784008</v>
          </cell>
        </row>
        <row r="3852">
          <cell r="I3852">
            <v>821003190</v>
          </cell>
          <cell r="J3852" t="str">
            <v>INSTITUCION EDUCATIVA LA GRACIELA</v>
          </cell>
          <cell r="K3852">
            <v>200326833</v>
          </cell>
        </row>
        <row r="3853">
          <cell r="I3853">
            <v>821003191</v>
          </cell>
          <cell r="J3853" t="str">
            <v>INSTITUCION EDUCATIVA SANTA ROSALIA DE PALERMO</v>
          </cell>
          <cell r="K3853">
            <v>54577772</v>
          </cell>
        </row>
        <row r="3854">
          <cell r="I3854">
            <v>821003219</v>
          </cell>
          <cell r="J3854" t="str">
            <v>INSTITUCION EDUCATIVA SANTA TERESITA</v>
          </cell>
          <cell r="K3854">
            <v>31904326</v>
          </cell>
        </row>
        <row r="3855">
          <cell r="I3855">
            <v>821003220</v>
          </cell>
          <cell r="J3855" t="str">
            <v>INSTITUCION EDUCATIVA PRIMAVERA</v>
          </cell>
          <cell r="K3855">
            <v>32289873</v>
          </cell>
        </row>
        <row r="3856">
          <cell r="I3856">
            <v>821003268</v>
          </cell>
          <cell r="J3856" t="str">
            <v>INSTITUCION EDUCATIVA AGUACLARA</v>
          </cell>
          <cell r="K3856">
            <v>171470707</v>
          </cell>
        </row>
        <row r="3857">
          <cell r="I3857">
            <v>821003274</v>
          </cell>
          <cell r="J3857" t="str">
            <v>FONDO DE SERVICIOS EDUCATIVOS INTITUCION EDUCATIVA ARTURO GOMEZ JARAMILLO</v>
          </cell>
          <cell r="K3857">
            <v>82769534</v>
          </cell>
        </row>
        <row r="3858">
          <cell r="I3858">
            <v>821003287</v>
          </cell>
          <cell r="J3858" t="str">
            <v>INSTITUCION EDUCATIVA EL AGUILA</v>
          </cell>
          <cell r="K3858">
            <v>47402056</v>
          </cell>
        </row>
        <row r="3859">
          <cell r="I3859">
            <v>821003289</v>
          </cell>
          <cell r="J3859" t="str">
            <v>INSTITUCION EDUCATIVA  RODRIGO LLOREDA CAICEDO</v>
          </cell>
          <cell r="K3859">
            <v>11174671</v>
          </cell>
        </row>
        <row r="3860">
          <cell r="I3860">
            <v>821003302</v>
          </cell>
          <cell r="J3860" t="str">
            <v>INSTITUCION EDUCATIVA NUESTRA SEÑORA DE LA PAZ</v>
          </cell>
          <cell r="K3860">
            <v>13449975</v>
          </cell>
        </row>
        <row r="3861">
          <cell r="I3861">
            <v>821003308</v>
          </cell>
          <cell r="J3861" t="str">
            <v>FONDOS DE SERVICIOS EDUCATIVOS INSTITUCION EDUCATIVA NARANJAL</v>
          </cell>
          <cell r="K3861">
            <v>41135958</v>
          </cell>
        </row>
        <row r="3862">
          <cell r="I3862">
            <v>821003315</v>
          </cell>
          <cell r="J3862" t="str">
            <v>INSTITUCION EDUCATIVA SANTA INES</v>
          </cell>
          <cell r="K3862">
            <v>19487687</v>
          </cell>
        </row>
        <row r="3863">
          <cell r="I3863">
            <v>821003342</v>
          </cell>
          <cell r="J3863" t="str">
            <v>INSTITUCION EDUCATIVA CELIAN</v>
          </cell>
          <cell r="K3863">
            <v>63143183</v>
          </cell>
        </row>
        <row r="3864">
          <cell r="I3864">
            <v>821003354</v>
          </cell>
          <cell r="J3864" t="str">
            <v>INSTITUCION EDUCATIVA HERACLIO URIBE URIBE</v>
          </cell>
          <cell r="K3864">
            <v>47482991</v>
          </cell>
        </row>
        <row r="3865">
          <cell r="I3865">
            <v>821003374</v>
          </cell>
          <cell r="J3865" t="str">
            <v>I.E MAGADALENA ORTEGA</v>
          </cell>
          <cell r="K3865">
            <v>106588400</v>
          </cell>
        </row>
        <row r="3866">
          <cell r="I3866">
            <v>821003387</v>
          </cell>
          <cell r="J3866" t="str">
            <v>INSTITUCION EDUCATIVA ALTO DEL ROCIO</v>
          </cell>
          <cell r="K3866">
            <v>17610617</v>
          </cell>
        </row>
        <row r="3867">
          <cell r="I3867">
            <v>821003464</v>
          </cell>
          <cell r="J3867" t="str">
            <v>INSTITUCION EDUCATIVA SAN ISIDRO FONDOS DE SERVICIOS</v>
          </cell>
          <cell r="K3867">
            <v>20372952</v>
          </cell>
        </row>
        <row r="3868">
          <cell r="I3868">
            <v>821003576</v>
          </cell>
          <cell r="J3868" t="str">
            <v>INSTITUCION EDUCATIVA SGA FONDOS DE SERVICIOS</v>
          </cell>
          <cell r="K3868">
            <v>39572219</v>
          </cell>
        </row>
        <row r="3869">
          <cell r="I3869">
            <v>822000028</v>
          </cell>
          <cell r="J3869" t="str">
            <v>COLEGIO ANTHONY A PHIPPS</v>
          </cell>
          <cell r="K3869">
            <v>78753633</v>
          </cell>
        </row>
        <row r="3870">
          <cell r="I3870">
            <v>822000223</v>
          </cell>
          <cell r="J3870" t="str">
            <v>INSTITUCION EDUCATIVA COLEGIO DEPARTAMENTAL LUIS CARLOS GALAN SARMIENTO</v>
          </cell>
          <cell r="K3870">
            <v>153497849</v>
          </cell>
        </row>
        <row r="3871">
          <cell r="I3871">
            <v>822000249</v>
          </cell>
          <cell r="J3871" t="str">
            <v>Institucion Educativa San Isidro de Veracruz</v>
          </cell>
          <cell r="K3871">
            <v>57971285</v>
          </cell>
        </row>
        <row r="3872">
          <cell r="I3872">
            <v>822000390</v>
          </cell>
          <cell r="J3872" t="str">
            <v>UNIDAD EDUCATIVA PIO XII</v>
          </cell>
          <cell r="K3872">
            <v>41510796</v>
          </cell>
        </row>
        <row r="3873">
          <cell r="I3873">
            <v>822000470</v>
          </cell>
          <cell r="J3873" t="str">
            <v>INSTITUCION EDUCATIVA ANTONIO NARIÑO SERVICIO DOCENTE</v>
          </cell>
          <cell r="K3873">
            <v>76947878</v>
          </cell>
        </row>
        <row r="3874">
          <cell r="I3874">
            <v>822000488</v>
          </cell>
          <cell r="J3874" t="str">
            <v>INSTITUCION EDUCATIVA COLEGIO GUATIQUIA</v>
          </cell>
          <cell r="K3874">
            <v>88603541</v>
          </cell>
        </row>
        <row r="3875">
          <cell r="I3875">
            <v>822000520</v>
          </cell>
          <cell r="J3875" t="str">
            <v>INSTITUCION EDUCATIVA GERMAN ARCINIEGAS</v>
          </cell>
          <cell r="K3875">
            <v>90687270</v>
          </cell>
        </row>
        <row r="3876">
          <cell r="I3876">
            <v>822000543</v>
          </cell>
          <cell r="J3876" t="str">
            <v>INSTITUCION EDUCATIVA GENERAL CARLOS ALBAN - FOSES</v>
          </cell>
          <cell r="K3876">
            <v>94963645</v>
          </cell>
        </row>
        <row r="3877">
          <cell r="I3877">
            <v>822000630</v>
          </cell>
          <cell r="J3877" t="str">
            <v>Institucion Educativa Valentin Garcia</v>
          </cell>
          <cell r="K3877">
            <v>85042424</v>
          </cell>
        </row>
        <row r="3878">
          <cell r="I3878">
            <v>822000939</v>
          </cell>
          <cell r="J3878" t="str">
            <v>COLEGIO ABRAHAM LINCOLN</v>
          </cell>
          <cell r="K3878">
            <v>72516034</v>
          </cell>
        </row>
        <row r="3879">
          <cell r="I3879">
            <v>822000988</v>
          </cell>
          <cell r="J3879" t="str">
            <v>Institucion Educativa Maria Montessori</v>
          </cell>
          <cell r="K3879">
            <v>71650547</v>
          </cell>
        </row>
        <row r="3880">
          <cell r="I3880">
            <v>822001021</v>
          </cell>
          <cell r="J3880" t="str">
            <v>INSTITUCION EDUCATIVA COLEGIO FRANCISCO ARANGO</v>
          </cell>
          <cell r="K3880">
            <v>67430283</v>
          </cell>
        </row>
        <row r="3881">
          <cell r="I3881">
            <v>822001023</v>
          </cell>
          <cell r="J3881" t="str">
            <v>Institucion Educativa San Isidro de Chichimene</v>
          </cell>
          <cell r="K3881">
            <v>70076047</v>
          </cell>
        </row>
        <row r="3882">
          <cell r="I3882">
            <v>822001068</v>
          </cell>
          <cell r="J3882" t="str">
            <v>UNIDAD EDUCATIVA PLAYA RICA</v>
          </cell>
          <cell r="K3882">
            <v>60668199</v>
          </cell>
        </row>
        <row r="3883">
          <cell r="I3883">
            <v>822001082</v>
          </cell>
          <cell r="J3883" t="str">
            <v>INSTITUCION EDUCATIVA COLEGIO BUENOS AIRES</v>
          </cell>
          <cell r="K3883">
            <v>48378425</v>
          </cell>
        </row>
        <row r="3884">
          <cell r="I3884">
            <v>822001160</v>
          </cell>
          <cell r="J3884" t="str">
            <v>NTRA. SRA DE FATIMA</v>
          </cell>
          <cell r="K3884">
            <v>87422365</v>
          </cell>
        </row>
        <row r="3885">
          <cell r="I3885">
            <v>822001179</v>
          </cell>
          <cell r="J3885" t="str">
            <v>INSTITUCION EDUCATIVA SANTA INES - FONDO DE SERVICIOS EDUCATIVOS</v>
          </cell>
          <cell r="K3885">
            <v>28211350</v>
          </cell>
        </row>
        <row r="3886">
          <cell r="I3886">
            <v>822001262</v>
          </cell>
          <cell r="J3886" t="str">
            <v>Institucion Educativa Gabriela Mistral</v>
          </cell>
          <cell r="K3886">
            <v>63530195</v>
          </cell>
        </row>
        <row r="3887">
          <cell r="I3887">
            <v>822001282</v>
          </cell>
          <cell r="J3887" t="str">
            <v>Institucion Educativa Brisas de Irique</v>
          </cell>
          <cell r="K3887">
            <v>112438238</v>
          </cell>
        </row>
        <row r="3888">
          <cell r="I3888">
            <v>822001289</v>
          </cell>
          <cell r="J3888" t="str">
            <v>Institucion Educativa Manacal</v>
          </cell>
          <cell r="K3888">
            <v>39806356</v>
          </cell>
        </row>
        <row r="3889">
          <cell r="I3889">
            <v>822001307</v>
          </cell>
          <cell r="J3889" t="str">
            <v>Institucion Educativa Juan Humberto Baquero Soler</v>
          </cell>
          <cell r="K3889">
            <v>61767536</v>
          </cell>
        </row>
        <row r="3890">
          <cell r="I3890">
            <v>822001509</v>
          </cell>
          <cell r="J3890" t="str">
            <v>INSTITUCION EDUCATIVA COLEGIO VEINTE DE JULIO</v>
          </cell>
          <cell r="K3890">
            <v>169462008</v>
          </cell>
        </row>
        <row r="3891">
          <cell r="I3891">
            <v>822001517</v>
          </cell>
          <cell r="J3891" t="str">
            <v>COLEGIO LUIS F GOMEZ NIÑO</v>
          </cell>
          <cell r="K3891">
            <v>30267219</v>
          </cell>
        </row>
        <row r="3892">
          <cell r="I3892">
            <v>822001523</v>
          </cell>
          <cell r="J3892" t="str">
            <v>Escuela Normal Superior de Acacias</v>
          </cell>
          <cell r="K3892">
            <v>106912030</v>
          </cell>
        </row>
        <row r="3893">
          <cell r="I3893">
            <v>822001536</v>
          </cell>
          <cell r="J3893" t="str">
            <v>INSTITUCION EDUCATIVA COLEGIO MIGUEL ANGEL MARTIN</v>
          </cell>
          <cell r="K3893">
            <v>59239242</v>
          </cell>
        </row>
        <row r="3894">
          <cell r="I3894">
            <v>822001567</v>
          </cell>
          <cell r="J3894" t="str">
            <v>Institucion Educativa San Antonio del Ariari</v>
          </cell>
          <cell r="K3894">
            <v>93558639</v>
          </cell>
        </row>
        <row r="3895">
          <cell r="I3895">
            <v>822001695</v>
          </cell>
          <cell r="J3895" t="str">
            <v>Institucion Educativa Rafael Uribe Uribe</v>
          </cell>
          <cell r="K3895">
            <v>92781922</v>
          </cell>
        </row>
        <row r="3896">
          <cell r="I3896">
            <v>822001702</v>
          </cell>
          <cell r="J3896" t="str">
            <v>INSTITUCION EDUCATIVA JORGE ELIECER GAITAN</v>
          </cell>
          <cell r="K3896">
            <v>306519684</v>
          </cell>
        </row>
        <row r="3897">
          <cell r="I3897">
            <v>822001796</v>
          </cell>
          <cell r="J3897" t="str">
            <v>INSTITUCION EDUCATIVA LAS PLAMAS</v>
          </cell>
          <cell r="K3897">
            <v>149842077</v>
          </cell>
        </row>
        <row r="3898">
          <cell r="I3898">
            <v>822001923</v>
          </cell>
          <cell r="J3898" t="str">
            <v>INST. EDUCATIVA UNIDAD EDUCATIVA ARNULFO BRICEÑO</v>
          </cell>
          <cell r="K3898">
            <v>128737551</v>
          </cell>
        </row>
        <row r="3899">
          <cell r="I3899">
            <v>822001951</v>
          </cell>
          <cell r="J3899" t="str">
            <v>UNIDAD EDUCATIVA SEIS DE ABRIL</v>
          </cell>
          <cell r="K3899">
            <v>48664727</v>
          </cell>
        </row>
        <row r="3900">
          <cell r="I3900">
            <v>822001977</v>
          </cell>
          <cell r="J3900" t="str">
            <v>Institucion Educativa General Santander</v>
          </cell>
          <cell r="K3900">
            <v>139029898</v>
          </cell>
        </row>
        <row r="3901">
          <cell r="I3901">
            <v>822002008</v>
          </cell>
          <cell r="J3901" t="str">
            <v>COL DEPARTAMENTAL CATUMARE</v>
          </cell>
          <cell r="K3901">
            <v>233104649</v>
          </cell>
        </row>
        <row r="3902">
          <cell r="I3902">
            <v>822002014</v>
          </cell>
          <cell r="J3902" t="str">
            <v>INSTITUCION EDUCATIVA CENTAUROS VILLAVICENCIO</v>
          </cell>
          <cell r="K3902">
            <v>75054018</v>
          </cell>
        </row>
        <row r="3903">
          <cell r="I3903">
            <v>822002049</v>
          </cell>
          <cell r="J3903" t="str">
            <v>Institucion Educativa Escuela Internado Charco Trece</v>
          </cell>
          <cell r="K3903">
            <v>23912603</v>
          </cell>
        </row>
        <row r="3904">
          <cell r="I3904">
            <v>822002056</v>
          </cell>
          <cell r="J3904" t="str">
            <v>Institucion Educativa Agropecuaria Hector Jaramillo Duque</v>
          </cell>
          <cell r="K3904">
            <v>27202277</v>
          </cell>
        </row>
        <row r="3905">
          <cell r="I3905">
            <v>822002084</v>
          </cell>
          <cell r="J3905" t="str">
            <v>Institucion Educativa Puente Amarillo Francisco Torres Leon</v>
          </cell>
          <cell r="K3905">
            <v>94514451</v>
          </cell>
        </row>
        <row r="3906">
          <cell r="I3906">
            <v>822002197</v>
          </cell>
          <cell r="J3906" t="str">
            <v>INSTITUCION EDUCATIVA LATORRE GOMEZ</v>
          </cell>
          <cell r="K3906">
            <v>66019657</v>
          </cell>
        </row>
        <row r="3907">
          <cell r="I3907">
            <v>822002203</v>
          </cell>
          <cell r="J3907" t="str">
            <v>Institucion Educativa Pedro Nel Jimenez Obando</v>
          </cell>
          <cell r="K3907">
            <v>41675794</v>
          </cell>
        </row>
        <row r="3908">
          <cell r="I3908">
            <v>822002218</v>
          </cell>
          <cell r="J3908" t="str">
            <v>Escuela Brisas del Guayuriba</v>
          </cell>
          <cell r="K3908">
            <v>16503891</v>
          </cell>
        </row>
        <row r="3909">
          <cell r="I3909">
            <v>822002324</v>
          </cell>
          <cell r="J3909" t="str">
            <v>Institucion Educativa Puerto Guadalupe</v>
          </cell>
          <cell r="K3909">
            <v>28882467</v>
          </cell>
        </row>
        <row r="3910">
          <cell r="I3910">
            <v>822002445</v>
          </cell>
          <cell r="J3910" t="str">
            <v>Institucion Educativa Francisco Walter</v>
          </cell>
          <cell r="K3910">
            <v>133112363</v>
          </cell>
        </row>
        <row r="3911">
          <cell r="I3911">
            <v>822002467</v>
          </cell>
          <cell r="J3911" t="str">
            <v>INSTITUCION EDUCATIVA COLEGIO JHON F. KENNEDY</v>
          </cell>
          <cell r="K3911">
            <v>91943118</v>
          </cell>
        </row>
        <row r="3912">
          <cell r="I3912">
            <v>822002511</v>
          </cell>
          <cell r="J3912" t="str">
            <v>Institucion Educativa Gabriela Mistral</v>
          </cell>
          <cell r="K3912">
            <v>63756230</v>
          </cell>
        </row>
        <row r="3913">
          <cell r="I3913">
            <v>822002545</v>
          </cell>
          <cell r="J3913" t="str">
            <v>Institucion Educativa Rafael Uribe Uribe</v>
          </cell>
          <cell r="K3913">
            <v>58493713</v>
          </cell>
        </row>
        <row r="3914">
          <cell r="I3914">
            <v>822002600</v>
          </cell>
          <cell r="J3914" t="str">
            <v>INSTITUCION EDUCATIVA ISAAC TACHA NIÑO</v>
          </cell>
          <cell r="K3914">
            <v>74126948</v>
          </cell>
        </row>
        <row r="3915">
          <cell r="I3915">
            <v>822002613</v>
          </cell>
          <cell r="J3915" t="str">
            <v>Institucion Educativa Santa Teresita</v>
          </cell>
          <cell r="K3915">
            <v>48205393</v>
          </cell>
        </row>
        <row r="3916">
          <cell r="I3916">
            <v>822002998</v>
          </cell>
          <cell r="J3916" t="str">
            <v>INSTITUTO AGRICOLA CARLOS MAURO HOYOS</v>
          </cell>
          <cell r="K3916">
            <v>71345313</v>
          </cell>
        </row>
        <row r="3917">
          <cell r="I3917">
            <v>822003285</v>
          </cell>
          <cell r="J3917" t="str">
            <v>Institucion Antonio Nariño</v>
          </cell>
          <cell r="K3917">
            <v>45255644</v>
          </cell>
        </row>
        <row r="3918">
          <cell r="I3918">
            <v>822003451</v>
          </cell>
          <cell r="J3918" t="str">
            <v>Colegio Nacional Integrado de Bachillerato</v>
          </cell>
          <cell r="K3918">
            <v>173469316</v>
          </cell>
        </row>
        <row r="3919">
          <cell r="I3919">
            <v>822003479</v>
          </cell>
          <cell r="J3919" t="str">
            <v>Unidad Educativa el Progreso</v>
          </cell>
          <cell r="K3919">
            <v>56323216</v>
          </cell>
        </row>
        <row r="3920">
          <cell r="I3920">
            <v>822003892</v>
          </cell>
          <cell r="J3920" t="str">
            <v>UNIDAD EDUCATIVA FELICIDAD BARRIOS HERNANDEZ</v>
          </cell>
          <cell r="K3920">
            <v>25687883</v>
          </cell>
        </row>
        <row r="3921">
          <cell r="I3921">
            <v>822004265</v>
          </cell>
          <cell r="J3921" t="str">
            <v>Institucion Educativa Departamental Ovidio Decroly</v>
          </cell>
          <cell r="K3921">
            <v>90078116</v>
          </cell>
        </row>
        <row r="3922">
          <cell r="I3922">
            <v>822004270</v>
          </cell>
          <cell r="J3922" t="str">
            <v>Institucion Educativa Santa Teresa de Pachaquiaro</v>
          </cell>
          <cell r="K3922">
            <v>60448451</v>
          </cell>
        </row>
        <row r="3923">
          <cell r="I3923">
            <v>822004327</v>
          </cell>
          <cell r="J3923" t="str">
            <v>Institucion Educativa Puerto Iris</v>
          </cell>
          <cell r="K3923">
            <v>30510038</v>
          </cell>
        </row>
        <row r="3924">
          <cell r="I3924">
            <v>822004409</v>
          </cell>
          <cell r="J3924" t="str">
            <v>INST. EDUCATIVA RURAL VANGUARDIA FONDOS SER. EDUCA</v>
          </cell>
          <cell r="K3924">
            <v>79543370</v>
          </cell>
        </row>
        <row r="3925">
          <cell r="I3925">
            <v>822004688</v>
          </cell>
          <cell r="J3925" t="str">
            <v>Institucion Educativa Jose Antonio Galan</v>
          </cell>
          <cell r="K3925">
            <v>52217983</v>
          </cell>
        </row>
        <row r="3926">
          <cell r="I3926">
            <v>822005143</v>
          </cell>
          <cell r="J3926" t="str">
            <v>Institucion Educativa de Costa Rica</v>
          </cell>
          <cell r="K3926">
            <v>56936022</v>
          </cell>
        </row>
        <row r="3927">
          <cell r="I3927">
            <v>822005460</v>
          </cell>
          <cell r="J3927" t="str">
            <v>COLEGIO DEPARTAMENTAL MANUELA BELTRAN</v>
          </cell>
          <cell r="K3927">
            <v>104260273</v>
          </cell>
        </row>
        <row r="3928">
          <cell r="I3928">
            <v>822005489</v>
          </cell>
          <cell r="J3928" t="str">
            <v>INSTITUCION EDUCATIVA MESA DE LOS REYES</v>
          </cell>
          <cell r="K3928">
            <v>3159554</v>
          </cell>
        </row>
        <row r="3929">
          <cell r="I3929">
            <v>822005512</v>
          </cell>
          <cell r="J3929" t="str">
            <v>Centro Educativo Horizontes</v>
          </cell>
          <cell r="K3929">
            <v>137205623</v>
          </cell>
        </row>
        <row r="3930">
          <cell r="I3930">
            <v>822005524</v>
          </cell>
          <cell r="J3930" t="str">
            <v>Institucion Educativa General Santander</v>
          </cell>
          <cell r="K3930">
            <v>19912892</v>
          </cell>
        </row>
        <row r="3931">
          <cell r="I3931">
            <v>822005538</v>
          </cell>
          <cell r="J3931" t="str">
            <v>Institucion Educativa Las Damas</v>
          </cell>
          <cell r="K3931">
            <v>26112496</v>
          </cell>
        </row>
        <row r="3932">
          <cell r="I3932">
            <v>822005813</v>
          </cell>
          <cell r="J3932" t="str">
            <v>Institucion Educativa Jose Celestino Mutis</v>
          </cell>
          <cell r="K3932">
            <v>102756071</v>
          </cell>
        </row>
        <row r="3933">
          <cell r="I3933">
            <v>822006058</v>
          </cell>
          <cell r="J3933" t="str">
            <v>Institucion Educativa Nueva Esperanza</v>
          </cell>
          <cell r="K3933">
            <v>109288657</v>
          </cell>
        </row>
        <row r="3934">
          <cell r="I3934">
            <v>822006086</v>
          </cell>
          <cell r="J3934" t="str">
            <v>INSTITUCION EDUCATIVA APIAY</v>
          </cell>
          <cell r="K3934">
            <v>69537647</v>
          </cell>
        </row>
        <row r="3935">
          <cell r="I3935">
            <v>822006127</v>
          </cell>
          <cell r="J3935" t="str">
            <v>Institucion Educativa Alfonso Lopez Pumarejo</v>
          </cell>
          <cell r="K3935">
            <v>102307227</v>
          </cell>
        </row>
        <row r="3936">
          <cell r="I3936">
            <v>822006293</v>
          </cell>
          <cell r="J3936" t="str">
            <v>Fondo de Servicios Educativos Colegio Departamental</v>
          </cell>
          <cell r="K3936">
            <v>126968487</v>
          </cell>
        </row>
        <row r="3937">
          <cell r="I3937">
            <v>822006307</v>
          </cell>
          <cell r="J3937" t="str">
            <v>Institucion Educativa Maria Auxiliadora</v>
          </cell>
          <cell r="K3937">
            <v>34845987</v>
          </cell>
        </row>
        <row r="3938">
          <cell r="I3938">
            <v>822006373</v>
          </cell>
          <cell r="J3938" t="str">
            <v>Institucion Educativa Nuestra Señora de la Macarena</v>
          </cell>
          <cell r="K3938">
            <v>104494184</v>
          </cell>
        </row>
        <row r="3939">
          <cell r="I3939">
            <v>822006388</v>
          </cell>
          <cell r="J3939" t="str">
            <v>Institucion Educativa Primavera</v>
          </cell>
          <cell r="K3939">
            <v>31492338</v>
          </cell>
        </row>
        <row r="3940">
          <cell r="I3940">
            <v>822006396</v>
          </cell>
          <cell r="J3940" t="str">
            <v>Centro Educativo la Sabana</v>
          </cell>
          <cell r="K3940">
            <v>19823036</v>
          </cell>
        </row>
        <row r="3941">
          <cell r="I3941">
            <v>822006425</v>
          </cell>
          <cell r="J3941" t="str">
            <v>Centro Educativo Malavar</v>
          </cell>
          <cell r="K3941">
            <v>17123655</v>
          </cell>
        </row>
        <row r="3942">
          <cell r="I3942">
            <v>822006427</v>
          </cell>
          <cell r="J3942" t="str">
            <v>Institucion Educativa Rural de Cubarral</v>
          </cell>
          <cell r="K3942">
            <v>19794168</v>
          </cell>
        </row>
        <row r="3943">
          <cell r="I3943">
            <v>822006432</v>
          </cell>
          <cell r="J3943" t="str">
            <v>Centro Educativo las Palmas</v>
          </cell>
          <cell r="K3943">
            <v>28042070</v>
          </cell>
        </row>
        <row r="3944">
          <cell r="I3944">
            <v>822006499</v>
          </cell>
          <cell r="J3944" t="str">
            <v>Institucion Isabel la Catolica</v>
          </cell>
          <cell r="K3944">
            <v>31546406</v>
          </cell>
        </row>
        <row r="3945">
          <cell r="I3945">
            <v>822006530</v>
          </cell>
          <cell r="J3945" t="str">
            <v>Institucion Educativa Simon Bolivar</v>
          </cell>
          <cell r="K3945">
            <v>74156214</v>
          </cell>
        </row>
        <row r="3946">
          <cell r="I3946">
            <v>822006533</v>
          </cell>
          <cell r="J3946" t="str">
            <v>Centro Educativo Camoita</v>
          </cell>
          <cell r="K3946">
            <v>33609949</v>
          </cell>
        </row>
        <row r="3947">
          <cell r="I3947">
            <v>822006596</v>
          </cell>
          <cell r="J3947" t="str">
            <v>Centro Educativo Rural de Restrepo</v>
          </cell>
          <cell r="K3947">
            <v>38442598</v>
          </cell>
        </row>
        <row r="3948">
          <cell r="I3948">
            <v>822006602</v>
          </cell>
          <cell r="J3948" t="str">
            <v>Centro Educativo El Convenio</v>
          </cell>
          <cell r="K3948">
            <v>14023462</v>
          </cell>
        </row>
        <row r="3949">
          <cell r="I3949">
            <v>822006648</v>
          </cell>
          <cell r="J3949" t="str">
            <v>Centro Educativo Barcelona</v>
          </cell>
          <cell r="K3949">
            <v>13153178</v>
          </cell>
        </row>
        <row r="3950">
          <cell r="I3950">
            <v>822006721</v>
          </cell>
          <cell r="J3950" t="str">
            <v>Institucion Educativa Nuevo Horizonte</v>
          </cell>
          <cell r="K3950">
            <v>46209090</v>
          </cell>
        </row>
        <row r="3951">
          <cell r="I3951">
            <v>822006769</v>
          </cell>
          <cell r="J3951" t="str">
            <v>Institucion Educativa Gabriela Mistral</v>
          </cell>
          <cell r="K3951">
            <v>49925801</v>
          </cell>
        </row>
        <row r="3952">
          <cell r="I3952">
            <v>822006816</v>
          </cell>
          <cell r="J3952" t="str">
            <v>COLEGIO BASICO RURAL SANTA CECILIA</v>
          </cell>
          <cell r="K3952">
            <v>28895680</v>
          </cell>
        </row>
        <row r="3953">
          <cell r="I3953">
            <v>822007266</v>
          </cell>
          <cell r="J3953" t="str">
            <v>Institucion Educativa Yaaliakeisy</v>
          </cell>
          <cell r="K3953">
            <v>62214187</v>
          </cell>
        </row>
        <row r="3954">
          <cell r="I3954">
            <v>822007275</v>
          </cell>
          <cell r="J3954" t="str">
            <v>INSTITUCION EDUCATIVA GAZATAVENA</v>
          </cell>
          <cell r="K3954">
            <v>21562221</v>
          </cell>
        </row>
        <row r="3955">
          <cell r="I3955">
            <v>822007312</v>
          </cell>
          <cell r="J3955" t="str">
            <v>CENTRO EDUCATIVO SERRANIA DEL MELUA</v>
          </cell>
          <cell r="K3955">
            <v>14129838</v>
          </cell>
        </row>
        <row r="3956">
          <cell r="I3956">
            <v>822007576</v>
          </cell>
          <cell r="J3956" t="str">
            <v>Institucion Educativa La Libertad</v>
          </cell>
          <cell r="K3956">
            <v>40855464</v>
          </cell>
        </row>
        <row r="3957">
          <cell r="I3957">
            <v>822007579</v>
          </cell>
          <cell r="J3957" t="str">
            <v>Instituciòn Educativa Cerritos</v>
          </cell>
          <cell r="K3957">
            <v>15488261</v>
          </cell>
        </row>
        <row r="3958">
          <cell r="I3958">
            <v>822007580</v>
          </cell>
          <cell r="J3958" t="str">
            <v>Institucion Educativa La Paz</v>
          </cell>
          <cell r="K3958">
            <v>16438580</v>
          </cell>
        </row>
        <row r="3959">
          <cell r="I3959">
            <v>823000386</v>
          </cell>
          <cell r="J3959" t="str">
            <v>INSTITUCION EDUCATIVA SAN ISIDRO DE CHOCHO</v>
          </cell>
          <cell r="K3959">
            <v>123424400</v>
          </cell>
        </row>
        <row r="3960">
          <cell r="I3960">
            <v>823000388</v>
          </cell>
          <cell r="J3960" t="str">
            <v>institucion educativa de guaranda</v>
          </cell>
          <cell r="K3960">
            <v>106120714</v>
          </cell>
        </row>
        <row r="3961">
          <cell r="I3961">
            <v>823000392</v>
          </cell>
          <cell r="J3961" t="str">
            <v>INSTITUCION EDUCATIVA SAN VICENTE DE PAUL</v>
          </cell>
          <cell r="K3961">
            <v>152406694</v>
          </cell>
        </row>
        <row r="3962">
          <cell r="I3962">
            <v>823000395</v>
          </cell>
          <cell r="J3962" t="str">
            <v>INSTITUCION EDUCATIVA EL MAMON</v>
          </cell>
          <cell r="K3962">
            <v>61644764</v>
          </cell>
        </row>
        <row r="3963">
          <cell r="I3963">
            <v>823000407</v>
          </cell>
          <cell r="J3963" t="str">
            <v>I. E. INDIGENA TECNICO AGROPECUARIO DE ESCOBAR ARRIBA</v>
          </cell>
          <cell r="K3963">
            <v>83946977</v>
          </cell>
        </row>
        <row r="3964">
          <cell r="I3964">
            <v>823000452</v>
          </cell>
          <cell r="J3964" t="str">
            <v>Fdo. Ed. Doc. C.E. Las Flores</v>
          </cell>
          <cell r="K3964">
            <v>11245192</v>
          </cell>
        </row>
        <row r="3965">
          <cell r="I3965">
            <v>823000483</v>
          </cell>
          <cell r="J3965" t="str">
            <v>INSTITUCION EDUCATIVA MADRE AMALIA</v>
          </cell>
          <cell r="K3965">
            <v>120601745</v>
          </cell>
        </row>
        <row r="3966">
          <cell r="I3966">
            <v>823000487</v>
          </cell>
          <cell r="J3966" t="str">
            <v>INSTITUCION EDUCATIVA RAFAEL NUÑEZ</v>
          </cell>
          <cell r="K3966">
            <v>96896317</v>
          </cell>
        </row>
        <row r="3967">
          <cell r="I3967">
            <v>823000494</v>
          </cell>
          <cell r="J3967" t="str">
            <v>INSTITUCION EDUCATIVA GAVALDÁ</v>
          </cell>
          <cell r="K3967">
            <v>38016757</v>
          </cell>
        </row>
        <row r="3968">
          <cell r="I3968">
            <v>823000509</v>
          </cell>
          <cell r="J3968" t="str">
            <v>Centro Educativo los Camajones</v>
          </cell>
          <cell r="K3968">
            <v>13697272</v>
          </cell>
        </row>
        <row r="3969">
          <cell r="I3969">
            <v>823000527</v>
          </cell>
          <cell r="J3969" t="str">
            <v>Centro Educativo Las Pavas</v>
          </cell>
          <cell r="K3969">
            <v>11923435</v>
          </cell>
        </row>
        <row r="3970">
          <cell r="I3970">
            <v>823000543</v>
          </cell>
          <cell r="J3970" t="str">
            <v>INSTITUCION EDUCATIVA TECNICO AGROPECUARIO SAN ONOFRE DE TOROBE</v>
          </cell>
          <cell r="K3970">
            <v>126907548</v>
          </cell>
        </row>
        <row r="3971">
          <cell r="I3971">
            <v>823000548</v>
          </cell>
          <cell r="J3971" t="str">
            <v>INSTITUCION EDUCATIVA CALLEJON</v>
          </cell>
          <cell r="K3971">
            <v>27921565</v>
          </cell>
        </row>
        <row r="3972">
          <cell r="I3972">
            <v>823000553</v>
          </cell>
          <cell r="J3972" t="str">
            <v>CENTRO EDUCATIVO SAN JOSÉ DE PALMARITICO</v>
          </cell>
          <cell r="K3972">
            <v>21442740</v>
          </cell>
        </row>
        <row r="3973">
          <cell r="I3973">
            <v>823000574</v>
          </cell>
          <cell r="J3973" t="str">
            <v>INSTITUCION EDUCATIVA TECNICO AGROPECUARIO CARLOS ARTURO VERBEL VERGARA</v>
          </cell>
          <cell r="K3973">
            <v>29947011</v>
          </cell>
        </row>
        <row r="3974">
          <cell r="I3974">
            <v>823000601</v>
          </cell>
          <cell r="J3974" t="str">
            <v>IETA LAS PIEDRAS</v>
          </cell>
          <cell r="K3974">
            <v>25841677</v>
          </cell>
        </row>
        <row r="3975">
          <cell r="I3975">
            <v>823000637</v>
          </cell>
          <cell r="J3975" t="str">
            <v>Institucion educativa santa rosa de lima</v>
          </cell>
          <cell r="K3975">
            <v>66856606</v>
          </cell>
        </row>
        <row r="3976">
          <cell r="I3976">
            <v>823000664</v>
          </cell>
          <cell r="J3976" t="str">
            <v>institucion educativa tecnico agropecuario hato nuevo</v>
          </cell>
          <cell r="K3976">
            <v>32514197</v>
          </cell>
        </row>
        <row r="3977">
          <cell r="I3977">
            <v>823000707</v>
          </cell>
          <cell r="J3977" t="str">
            <v>INSTITUCION EDUCATIVA TECNICO AGROPECUARIO DE LA GALLERA</v>
          </cell>
          <cell r="K3977">
            <v>70552019</v>
          </cell>
        </row>
        <row r="3978">
          <cell r="I3978">
            <v>823000722</v>
          </cell>
          <cell r="J3978" t="str">
            <v>I.E SAN JUAN BOSCO</v>
          </cell>
          <cell r="K3978">
            <v>58898404</v>
          </cell>
        </row>
        <row r="3979">
          <cell r="I3979">
            <v>823000747</v>
          </cell>
          <cell r="J3979" t="str">
            <v>INSTITUCION EDUCATIVA ROGELIO RODRIGUEZ SEVERICHE</v>
          </cell>
          <cell r="K3979">
            <v>37014800</v>
          </cell>
        </row>
        <row r="3980">
          <cell r="I3980">
            <v>823000768</v>
          </cell>
          <cell r="J3980" t="str">
            <v>INSTITUCION EDUCATIVA LA UNION</v>
          </cell>
          <cell r="K3980">
            <v>112756354</v>
          </cell>
        </row>
        <row r="3981">
          <cell r="I3981">
            <v>823000805</v>
          </cell>
          <cell r="J3981" t="str">
            <v>INSTITUCION EDUCATIVA NUESTRA SEÑORA DEL CARMEN</v>
          </cell>
          <cell r="K3981">
            <v>68654473</v>
          </cell>
        </row>
        <row r="3982">
          <cell r="I3982">
            <v>823000937</v>
          </cell>
          <cell r="J3982" t="str">
            <v>CENTRO EDUCATIVO LAS PALMITAS</v>
          </cell>
          <cell r="K3982">
            <v>22830810</v>
          </cell>
        </row>
        <row r="3983">
          <cell r="I3983">
            <v>823000976</v>
          </cell>
          <cell r="J3983" t="str">
            <v>INSTITUCION EDUCATIVA SANTA ROSA DE LIMA</v>
          </cell>
          <cell r="K3983">
            <v>57713611</v>
          </cell>
        </row>
        <row r="3984">
          <cell r="I3984">
            <v>823000982</v>
          </cell>
          <cell r="J3984" t="str">
            <v>Inst.Educativa PIO XII</v>
          </cell>
          <cell r="K3984">
            <v>83900904</v>
          </cell>
        </row>
        <row r="3985">
          <cell r="I3985">
            <v>823001016</v>
          </cell>
          <cell r="J3985" t="str">
            <v>INSTITUCION EDUCATIVA 20 DE ENERO</v>
          </cell>
          <cell r="K3985">
            <v>121816789</v>
          </cell>
        </row>
        <row r="3986">
          <cell r="I3986">
            <v>823001022</v>
          </cell>
          <cell r="J3986" t="str">
            <v>INST EDUC SAN ROQUE</v>
          </cell>
          <cell r="K3986">
            <v>50868671</v>
          </cell>
        </row>
        <row r="3987">
          <cell r="I3987">
            <v>823001023</v>
          </cell>
          <cell r="J3987" t="str">
            <v>Fondo de Servicios Educativos</v>
          </cell>
          <cell r="K3987">
            <v>22874604</v>
          </cell>
        </row>
        <row r="3988">
          <cell r="I3988">
            <v>823001044</v>
          </cell>
          <cell r="J3988" t="str">
            <v>Institucion Educativa José Yemail Tous</v>
          </cell>
          <cell r="K3988">
            <v>118647603</v>
          </cell>
        </row>
        <row r="3989">
          <cell r="I3989">
            <v>823001048</v>
          </cell>
          <cell r="J3989" t="str">
            <v>FONDOS DE SERVICIOS EDUCATIVOS SAN JOSE CIP</v>
          </cell>
          <cell r="K3989">
            <v>92647180</v>
          </cell>
        </row>
        <row r="3990">
          <cell r="I3990">
            <v>823001049</v>
          </cell>
          <cell r="J3990" t="str">
            <v>I.E. SAN JOSE</v>
          </cell>
          <cell r="K3990">
            <v>93553920</v>
          </cell>
        </row>
        <row r="3991">
          <cell r="I3991">
            <v>823001061</v>
          </cell>
          <cell r="J3991" t="str">
            <v>INSTITUCION EDUCATIVA SAN ANTONIO</v>
          </cell>
          <cell r="K3991">
            <v>31861003</v>
          </cell>
        </row>
        <row r="3992">
          <cell r="I3992">
            <v>823001068</v>
          </cell>
          <cell r="J3992" t="str">
            <v>INSTITUCION EDUCATIVA CONCENTRACION SIMON ARAUJO</v>
          </cell>
          <cell r="K3992">
            <v>64431514</v>
          </cell>
        </row>
        <row r="3993">
          <cell r="I3993">
            <v>823001072</v>
          </cell>
          <cell r="J3993" t="str">
            <v>FONDOS DE SERVICIOS EDUCATIVOS INSTITUCION EDUCATIVA MARIA INMACULADA</v>
          </cell>
          <cell r="K3993">
            <v>126444055</v>
          </cell>
        </row>
        <row r="3994">
          <cell r="I3994">
            <v>823001079</v>
          </cell>
          <cell r="J3994" t="str">
            <v>I. E. SAN JOSE</v>
          </cell>
          <cell r="K3994">
            <v>68002706</v>
          </cell>
        </row>
        <row r="3995">
          <cell r="I3995">
            <v>823001103</v>
          </cell>
          <cell r="J3995" t="str">
            <v>I. E. JHON F KENNEDY</v>
          </cell>
          <cell r="K3995">
            <v>118347549</v>
          </cell>
        </row>
        <row r="3996">
          <cell r="I3996">
            <v>823001117</v>
          </cell>
          <cell r="J3996" t="str">
            <v>I. E. MILLAN VARGAS</v>
          </cell>
          <cell r="K3996">
            <v>177669121</v>
          </cell>
        </row>
        <row r="3997">
          <cell r="I3997">
            <v>823001136</v>
          </cell>
          <cell r="J3997" t="str">
            <v>I. E. TECNICO DIVERSIFICADO BUENAVISTA</v>
          </cell>
          <cell r="K3997">
            <v>56121701</v>
          </cell>
        </row>
        <row r="3998">
          <cell r="I3998">
            <v>823001142</v>
          </cell>
          <cell r="J3998" t="str">
            <v>INSTITUCION EDUCATIVA TECNICO AGROPECUARIO LA ARENA</v>
          </cell>
          <cell r="K3998">
            <v>69043723</v>
          </cell>
        </row>
        <row r="3999">
          <cell r="I3999">
            <v>823001227</v>
          </cell>
          <cell r="J3999" t="str">
            <v>fondo de servicios educativos santa rosa de lima</v>
          </cell>
          <cell r="K3999">
            <v>58252939</v>
          </cell>
        </row>
        <row r="4000">
          <cell r="I4000">
            <v>823001398</v>
          </cell>
          <cell r="J4000" t="str">
            <v>institucion educativa jose maria cordoba</v>
          </cell>
          <cell r="K4000">
            <v>43079037</v>
          </cell>
        </row>
        <row r="4001">
          <cell r="I4001">
            <v>823001413</v>
          </cell>
          <cell r="J4001" t="str">
            <v>CENTRO EDUCATIVO CORNETA</v>
          </cell>
          <cell r="K4001">
            <v>13841046</v>
          </cell>
        </row>
        <row r="4002">
          <cell r="I4002">
            <v>823001481</v>
          </cell>
          <cell r="J4002" t="str">
            <v>ESCUELA NORMAL SUPERIOR DE LA MOJANA</v>
          </cell>
          <cell r="K4002">
            <v>84403128</v>
          </cell>
        </row>
        <row r="4003">
          <cell r="I4003">
            <v>823001494</v>
          </cell>
          <cell r="J4003" t="str">
            <v>FSE INST EDUC TECN. AGROPECUARIO FLOR DEL MONTE</v>
          </cell>
          <cell r="K4003">
            <v>27794362</v>
          </cell>
        </row>
        <row r="4004">
          <cell r="I4004">
            <v>823001497</v>
          </cell>
          <cell r="J4004" t="str">
            <v>INSTITUCION EDUCATIVA LOS PALMITOS</v>
          </cell>
          <cell r="K4004">
            <v>102596868</v>
          </cell>
        </row>
        <row r="4005">
          <cell r="I4005">
            <v>823001507</v>
          </cell>
          <cell r="J4005" t="str">
            <v>INSTITUCION EDUCATIVA ANIBAL OJEDA</v>
          </cell>
          <cell r="K4005">
            <v>24310206</v>
          </cell>
        </row>
        <row r="4006">
          <cell r="I4006">
            <v>823001509</v>
          </cell>
          <cell r="J4006" t="str">
            <v>CENTRO EDUCATIVO RURAL LA PEÑATA</v>
          </cell>
          <cell r="K4006">
            <v>63166738</v>
          </cell>
        </row>
        <row r="4007">
          <cell r="I4007">
            <v>823001519</v>
          </cell>
          <cell r="J4007" t="str">
            <v>FONDO DE SERVICIOS EDUCATIVOS CENTRO EDUCATIVO INDIGENA SILOE</v>
          </cell>
          <cell r="K4007">
            <v>8972173</v>
          </cell>
        </row>
        <row r="4008">
          <cell r="I4008">
            <v>823001523</v>
          </cell>
          <cell r="J4008" t="str">
            <v>I. E. INDIGENA BOSSA NAVARRO</v>
          </cell>
          <cell r="K4008">
            <v>54211729</v>
          </cell>
        </row>
        <row r="4009">
          <cell r="I4009">
            <v>823001527</v>
          </cell>
          <cell r="J4009" t="str">
            <v>centro eduativo segovia fondo de servicios educativos</v>
          </cell>
          <cell r="K4009">
            <v>35061975</v>
          </cell>
        </row>
        <row r="4010">
          <cell r="I4010">
            <v>823001532</v>
          </cell>
          <cell r="J4010" t="str">
            <v>C. E. INDIGENA MEJOR ESQUINA</v>
          </cell>
          <cell r="K4010">
            <v>8717313</v>
          </cell>
        </row>
        <row r="4011">
          <cell r="I4011">
            <v>823001539</v>
          </cell>
          <cell r="J4011" t="str">
            <v>ESC RURAL BREMEN MORROA</v>
          </cell>
          <cell r="K4011">
            <v>13462324</v>
          </cell>
        </row>
        <row r="4012">
          <cell r="I4012">
            <v>823001541</v>
          </cell>
          <cell r="J4012" t="str">
            <v>centro educativo la pichi</v>
          </cell>
          <cell r="K4012">
            <v>12089722</v>
          </cell>
        </row>
        <row r="4013">
          <cell r="I4013">
            <v>823001555</v>
          </cell>
          <cell r="J4013" t="str">
            <v>INSTITUCION EDUCATIVA SAN FRANCISCO</v>
          </cell>
          <cell r="K4013">
            <v>23484349</v>
          </cell>
        </row>
        <row r="4014">
          <cell r="I4014">
            <v>823001561</v>
          </cell>
          <cell r="J4014" t="str">
            <v>Fondos de servicios educativo IE Mateo Pérez</v>
          </cell>
          <cell r="K4014">
            <v>26621267</v>
          </cell>
        </row>
        <row r="4015">
          <cell r="I4015">
            <v>823001568</v>
          </cell>
          <cell r="J4015" t="str">
            <v>C.E. EL YESO</v>
          </cell>
          <cell r="K4015">
            <v>14026456</v>
          </cell>
        </row>
        <row r="4016">
          <cell r="I4016">
            <v>823001571</v>
          </cell>
          <cell r="J4016" t="str">
            <v>fondos de servicios educativos centro educativo sabanas de la negra</v>
          </cell>
          <cell r="K4016">
            <v>26542422</v>
          </cell>
        </row>
        <row r="4017">
          <cell r="I4017">
            <v>823001575</v>
          </cell>
          <cell r="J4017" t="str">
            <v>C.E. BRISAS DEL MAR</v>
          </cell>
          <cell r="K4017">
            <v>20474139</v>
          </cell>
        </row>
        <row r="4018">
          <cell r="I4018">
            <v>823001593</v>
          </cell>
          <cell r="J4018" t="str">
            <v>CENTRO EDUCATIVO SOLERA ARRIBA</v>
          </cell>
          <cell r="K4018">
            <v>14605616</v>
          </cell>
        </row>
        <row r="4019">
          <cell r="I4019">
            <v>823001617</v>
          </cell>
          <cell r="J4019" t="str">
            <v>INS. EDU. ZAPATA</v>
          </cell>
          <cell r="K4019">
            <v>32393579</v>
          </cell>
        </row>
        <row r="4020">
          <cell r="I4020">
            <v>823001631</v>
          </cell>
          <cell r="J4020" t="str">
            <v>FONDOS DE SERVICIOS EDUCATIVOS</v>
          </cell>
          <cell r="K4020">
            <v>37868850</v>
          </cell>
        </row>
        <row r="4021">
          <cell r="I4021">
            <v>823001632</v>
          </cell>
          <cell r="J4021" t="str">
            <v>C. E. SABANA LARGA</v>
          </cell>
          <cell r="K4021">
            <v>13528280</v>
          </cell>
        </row>
        <row r="4022">
          <cell r="I4022">
            <v>823001645</v>
          </cell>
          <cell r="J4022" t="str">
            <v>INSTITUCION EDUCATIVA NUEVA ESTRELLA</v>
          </cell>
          <cell r="K4022">
            <v>26083046</v>
          </cell>
        </row>
        <row r="4023">
          <cell r="I4023">
            <v>823001659</v>
          </cell>
          <cell r="J4023" t="str">
            <v>institucion educativa rincon del mar</v>
          </cell>
          <cell r="K4023">
            <v>55940410</v>
          </cell>
        </row>
        <row r="4024">
          <cell r="I4024">
            <v>823001661</v>
          </cell>
          <cell r="J4024" t="str">
            <v>CENTRO EDUCATIVO BAJO DON JUAN</v>
          </cell>
          <cell r="K4024">
            <v>15366836</v>
          </cell>
        </row>
        <row r="4025">
          <cell r="I4025">
            <v>823001662</v>
          </cell>
          <cell r="J4025" t="str">
            <v>C. E. INDIGENA SAN JOSE DE HUERTAS CHICAS</v>
          </cell>
          <cell r="K4025">
            <v>25426765</v>
          </cell>
        </row>
        <row r="4026">
          <cell r="I4026">
            <v>823001665</v>
          </cell>
          <cell r="J4026" t="str">
            <v>institucion educativa santa teresita</v>
          </cell>
          <cell r="K4026">
            <v>100459083</v>
          </cell>
        </row>
        <row r="4027">
          <cell r="I4027">
            <v>823001684</v>
          </cell>
          <cell r="J4027" t="str">
            <v>INST EDUC SAN JUAN BAUTISTA DE PIZA</v>
          </cell>
          <cell r="K4027">
            <v>29501691</v>
          </cell>
        </row>
        <row r="4028">
          <cell r="I4028">
            <v>823001699</v>
          </cell>
          <cell r="J4028" t="str">
            <v>Centro Educativo La Esmeralda</v>
          </cell>
          <cell r="K4028">
            <v>15469776</v>
          </cell>
        </row>
        <row r="4029">
          <cell r="I4029">
            <v>823001708</v>
          </cell>
          <cell r="J4029" t="str">
            <v>C. E. INDIGENA CALLE LARGA</v>
          </cell>
          <cell r="K4029">
            <v>14184501</v>
          </cell>
        </row>
        <row r="4030">
          <cell r="I4030">
            <v>823001715</v>
          </cell>
          <cell r="J4030" t="str">
            <v>INST EDUC RAFAEL NUEZ</v>
          </cell>
          <cell r="K4030">
            <v>26267383</v>
          </cell>
        </row>
        <row r="4031">
          <cell r="I4031">
            <v>823001720</v>
          </cell>
          <cell r="J4031" t="str">
            <v>Centro educativo boca de diaz</v>
          </cell>
          <cell r="K4031">
            <v>10146925</v>
          </cell>
        </row>
        <row r="4032">
          <cell r="I4032">
            <v>823001728</v>
          </cell>
          <cell r="J4032" t="str">
            <v>INSTITUCION EDUCATIVA PALMARITO</v>
          </cell>
          <cell r="K4032">
            <v>24067002</v>
          </cell>
        </row>
        <row r="4033">
          <cell r="I4033">
            <v>823001738</v>
          </cell>
          <cell r="J4033" t="str">
            <v>CENTRO EDUCATIVO HIGUERON</v>
          </cell>
          <cell r="K4033">
            <v>14436081</v>
          </cell>
        </row>
        <row r="4034">
          <cell r="I4034">
            <v>823001740</v>
          </cell>
          <cell r="J4034" t="str">
            <v>I. E. INDIGENA SAN FRANCISCO EL PAKY</v>
          </cell>
          <cell r="K4034">
            <v>64064270</v>
          </cell>
        </row>
        <row r="4035">
          <cell r="I4035">
            <v>823001789</v>
          </cell>
          <cell r="J4035" t="str">
            <v>fondo de servicios educativos c i la lucha</v>
          </cell>
          <cell r="K4035">
            <v>26384528</v>
          </cell>
        </row>
        <row r="4036">
          <cell r="I4036">
            <v>823001820</v>
          </cell>
          <cell r="J4036" t="str">
            <v>I. E. TECNICO AGROPECUARIA LAS FLORES</v>
          </cell>
          <cell r="K4036">
            <v>57593585</v>
          </cell>
        </row>
        <row r="4037">
          <cell r="I4037">
            <v>823001822</v>
          </cell>
          <cell r="J4037" t="str">
            <v>I. E. CUENCA</v>
          </cell>
          <cell r="K4037">
            <v>40768274</v>
          </cell>
        </row>
        <row r="4038">
          <cell r="I4038">
            <v>823001825</v>
          </cell>
          <cell r="J4038" t="str">
            <v>Fondo de Servicios Educativos Institución Educativa Caño Prieto</v>
          </cell>
          <cell r="K4038">
            <v>23588362</v>
          </cell>
        </row>
        <row r="4039">
          <cell r="I4039">
            <v>823001843</v>
          </cell>
          <cell r="J4039" t="str">
            <v>INSTITUCION EDUCATIVA SAN IGNACIO</v>
          </cell>
          <cell r="K4039">
            <v>31201637</v>
          </cell>
        </row>
        <row r="4040">
          <cell r="I4040">
            <v>823001921</v>
          </cell>
          <cell r="J4040" t="str">
            <v>INSTITUCION EDUCATIVA DULCE NOMBRE DE JESUS</v>
          </cell>
          <cell r="K4040">
            <v>219936562</v>
          </cell>
        </row>
        <row r="4041">
          <cell r="I4041">
            <v>823002154</v>
          </cell>
          <cell r="J4041" t="str">
            <v>Centro educativo Palmira</v>
          </cell>
          <cell r="K4041">
            <v>11022357</v>
          </cell>
        </row>
        <row r="4042">
          <cell r="I4042">
            <v>823002162</v>
          </cell>
          <cell r="J4042" t="str">
            <v>fondos de servicios educativos Manuela Beltran</v>
          </cell>
          <cell r="K4042">
            <v>53071210</v>
          </cell>
        </row>
        <row r="4043">
          <cell r="I4043">
            <v>823002185</v>
          </cell>
          <cell r="J4043" t="str">
            <v>FOSE. IE TECNICO AGROP. ANIBAL GANDARA CAMPO</v>
          </cell>
          <cell r="K4043">
            <v>37382790</v>
          </cell>
        </row>
        <row r="4044">
          <cell r="I4044">
            <v>823002218</v>
          </cell>
          <cell r="J4044" t="str">
            <v>institucion educativa tecnico agropecuario artesanal los callitos</v>
          </cell>
          <cell r="K4044">
            <v>40236136</v>
          </cell>
        </row>
        <row r="4045">
          <cell r="I4045">
            <v>823002344</v>
          </cell>
          <cell r="J4045" t="str">
            <v>COLEGIO DPTAL DE BACHILLERATO LA PALMIRA</v>
          </cell>
          <cell r="K4045">
            <v>38197806</v>
          </cell>
        </row>
        <row r="4046">
          <cell r="I4046">
            <v>823002354</v>
          </cell>
          <cell r="J4046" t="str">
            <v>INSTITUCION EDUCATIVA OFICIAL CERRITO DE LA PALMA</v>
          </cell>
          <cell r="K4046">
            <v>38542366</v>
          </cell>
        </row>
        <row r="4047">
          <cell r="I4047">
            <v>823002355</v>
          </cell>
          <cell r="J4047" t="str">
            <v>Centro Docente Rural Rancho Largo</v>
          </cell>
          <cell r="K4047">
            <v>14922495</v>
          </cell>
        </row>
        <row r="4048">
          <cell r="I4048">
            <v>823002357</v>
          </cell>
          <cell r="J4048" t="str">
            <v>INSTITUCION EDUCATIVA RURAL SAN ANTONIO</v>
          </cell>
          <cell r="K4048">
            <v>51187799</v>
          </cell>
        </row>
        <row r="4049">
          <cell r="I4049">
            <v>823002385</v>
          </cell>
          <cell r="J4049" t="str">
            <v>LA CONCENTRACION TECNICA MANUEL ALVAREZ SAMPAYO</v>
          </cell>
          <cell r="K4049">
            <v>36178417</v>
          </cell>
        </row>
        <row r="4050">
          <cell r="I4050">
            <v>823002500</v>
          </cell>
          <cell r="J4050" t="str">
            <v>INSTITUCION EDUCATIVA SAN JUAN BAUTISTA DE LA SALLE</v>
          </cell>
          <cell r="K4050">
            <v>135720837</v>
          </cell>
        </row>
        <row r="4051">
          <cell r="I4051">
            <v>823002595</v>
          </cell>
          <cell r="J4051" t="str">
            <v>MUNICIPIO DE EL ROBLE</v>
          </cell>
          <cell r="K4051">
            <v>180499872</v>
          </cell>
        </row>
        <row r="4052">
          <cell r="I4052">
            <v>823002605</v>
          </cell>
          <cell r="J4052" t="str">
            <v>COLEGIO SAN JOSE DE SINCELEJO</v>
          </cell>
          <cell r="K4052">
            <v>157440671</v>
          </cell>
        </row>
        <row r="4053">
          <cell r="I4053">
            <v>823002645</v>
          </cell>
          <cell r="J4053" t="str">
            <v>fondos educativos ie pajonal</v>
          </cell>
          <cell r="K4053">
            <v>50482741</v>
          </cell>
        </row>
        <row r="4054">
          <cell r="I4054">
            <v>823002689</v>
          </cell>
          <cell r="J4054" t="str">
            <v>INSTITUCION EDUCATIVA JORGE MENDOZA LLAMAS</v>
          </cell>
          <cell r="K4054">
            <v>25049793</v>
          </cell>
        </row>
        <row r="4055">
          <cell r="I4055">
            <v>823002785</v>
          </cell>
          <cell r="J4055" t="str">
            <v>I.E. TA. EL PIÑAL</v>
          </cell>
          <cell r="K4055">
            <v>53349646</v>
          </cell>
        </row>
        <row r="4056">
          <cell r="I4056">
            <v>823002928</v>
          </cell>
          <cell r="J4056" t="str">
            <v>INSTITUCION EDUCATIVA PARA POBLACIONES ESPECIALES</v>
          </cell>
          <cell r="K4056">
            <v>113617500</v>
          </cell>
        </row>
        <row r="4057">
          <cell r="I4057">
            <v>823003064</v>
          </cell>
          <cell r="J4057" t="str">
            <v>INST EDUC SAN MATEO</v>
          </cell>
          <cell r="K4057">
            <v>77988106</v>
          </cell>
        </row>
        <row r="4058">
          <cell r="I4058">
            <v>823003071</v>
          </cell>
          <cell r="J4058" t="str">
            <v>INSTITUCION EDUCATIVA PALMAS DE VINO</v>
          </cell>
          <cell r="K4058">
            <v>23835072</v>
          </cell>
        </row>
        <row r="4059">
          <cell r="I4059">
            <v>823003108</v>
          </cell>
          <cell r="J4059" t="str">
            <v>Colegio Técnico Diversificado de El Limón</v>
          </cell>
          <cell r="K4059">
            <v>41974500</v>
          </cell>
        </row>
        <row r="4060">
          <cell r="I4060">
            <v>823003229</v>
          </cell>
          <cell r="J4060" t="str">
            <v>CENTRO EDUCATIVO EL CAÑITO</v>
          </cell>
          <cell r="K4060">
            <v>18647177</v>
          </cell>
        </row>
        <row r="4061">
          <cell r="I4061">
            <v>823003282</v>
          </cell>
          <cell r="J4061" t="str">
            <v>INST EDUC MIRAFLORES</v>
          </cell>
          <cell r="K4061">
            <v>23929962</v>
          </cell>
        </row>
        <row r="4062">
          <cell r="I4062">
            <v>823003322</v>
          </cell>
          <cell r="J4062" t="str">
            <v>C.E. SABANAS DE CALI</v>
          </cell>
          <cell r="K4062">
            <v>12545731</v>
          </cell>
        </row>
        <row r="4063">
          <cell r="I4063">
            <v>823003329</v>
          </cell>
          <cell r="J4063" t="str">
            <v>INST EDUC SAN JUAN BAUTISTA DE PUEBLO NUEVO</v>
          </cell>
          <cell r="K4063">
            <v>23792815</v>
          </cell>
        </row>
        <row r="4064">
          <cell r="I4064">
            <v>823003333</v>
          </cell>
          <cell r="J4064" t="str">
            <v>C.E. EL FLORAL</v>
          </cell>
          <cell r="K4064">
            <v>12590259</v>
          </cell>
        </row>
        <row r="4065">
          <cell r="I4065">
            <v>823003344</v>
          </cell>
          <cell r="J4065" t="str">
            <v>C.E. MANICA</v>
          </cell>
          <cell r="K4065">
            <v>10590514</v>
          </cell>
        </row>
        <row r="4066">
          <cell r="I4066">
            <v>823003457</v>
          </cell>
          <cell r="J4066" t="str">
            <v>INSTITUCION EDUCATIVA RURAL BUENAVISTA</v>
          </cell>
          <cell r="K4066">
            <v>48593899</v>
          </cell>
        </row>
        <row r="4067">
          <cell r="I4067">
            <v>823003464</v>
          </cell>
          <cell r="J4067" t="str">
            <v>INSTITUCION EDUCATIVA RURAL SAN RAFAEL</v>
          </cell>
          <cell r="K4067">
            <v>15519774</v>
          </cell>
        </row>
        <row r="4068">
          <cell r="I4068">
            <v>823003479</v>
          </cell>
          <cell r="J4068" t="str">
            <v>CENTRO EDUCATIVO RURAL SAN JACINTO</v>
          </cell>
          <cell r="K4068">
            <v>11462000</v>
          </cell>
        </row>
        <row r="4069">
          <cell r="I4069">
            <v>823003543</v>
          </cell>
          <cell r="J4069" t="str">
            <v>MUNICIPIO DE COVEÑAS</v>
          </cell>
          <cell r="K4069">
            <v>201387298</v>
          </cell>
        </row>
        <row r="4070">
          <cell r="I4070">
            <v>823003631</v>
          </cell>
          <cell r="J4070" t="str">
            <v>INSTITUCION EDUCATIVA ALTOS DEL ROSARIO</v>
          </cell>
          <cell r="K4070">
            <v>111578799</v>
          </cell>
        </row>
        <row r="4071">
          <cell r="I4071">
            <v>823003740</v>
          </cell>
          <cell r="J4071" t="str">
            <v>C. E. INDIGENA ACHIOTE</v>
          </cell>
          <cell r="K4071">
            <v>8922497</v>
          </cell>
        </row>
        <row r="4072">
          <cell r="I4072">
            <v>823003761</v>
          </cell>
          <cell r="J4072" t="str">
            <v>C. E. INDIGENA MATA DE CAÑA</v>
          </cell>
          <cell r="K4072">
            <v>11969572</v>
          </cell>
        </row>
        <row r="4073">
          <cell r="I4073">
            <v>823003776</v>
          </cell>
          <cell r="J4073" t="str">
            <v>INSTIRUCION EDUCATIVA SANTANDER</v>
          </cell>
          <cell r="K4073">
            <v>24163693</v>
          </cell>
        </row>
        <row r="4074">
          <cell r="I4074">
            <v>823003829</v>
          </cell>
          <cell r="J4074" t="str">
            <v>C. E. INDIGENA DE ESCOBAR ARRIBA</v>
          </cell>
          <cell r="K4074">
            <v>7422431</v>
          </cell>
        </row>
        <row r="4075">
          <cell r="I4075">
            <v>823003938</v>
          </cell>
          <cell r="J4075" t="str">
            <v>INSTITUCION EDUCATIVA NUEVA ESPERANZA</v>
          </cell>
          <cell r="K4075">
            <v>133167057</v>
          </cell>
        </row>
        <row r="4076">
          <cell r="I4076">
            <v>823003969</v>
          </cell>
          <cell r="J4076" t="str">
            <v>INSTITUCION EDUCATIVA JUANITA GARCIA MANJARREZ</v>
          </cell>
          <cell r="K4076">
            <v>102967490</v>
          </cell>
        </row>
        <row r="4077">
          <cell r="I4077">
            <v>823004025</v>
          </cell>
          <cell r="J4077" t="str">
            <v>Institución Educativa San Mateo</v>
          </cell>
          <cell r="K4077">
            <v>40744814</v>
          </cell>
        </row>
        <row r="4078">
          <cell r="I4078">
            <v>823004062</v>
          </cell>
          <cell r="J4078" t="str">
            <v>Institución Educativa de Macajan</v>
          </cell>
          <cell r="K4078">
            <v>74175877</v>
          </cell>
        </row>
        <row r="4079">
          <cell r="I4079">
            <v>823004128</v>
          </cell>
          <cell r="J4079" t="str">
            <v>Institución Educativa Las Palmas</v>
          </cell>
          <cell r="K4079">
            <v>44054574</v>
          </cell>
        </row>
        <row r="4080">
          <cell r="I4080">
            <v>823004139</v>
          </cell>
          <cell r="J4080" t="str">
            <v>INSTITUCION EDUCATIVA SAN MARTIN</v>
          </cell>
          <cell r="K4080">
            <v>44169659</v>
          </cell>
        </row>
        <row r="4081">
          <cell r="I4081">
            <v>823004200</v>
          </cell>
          <cell r="J4081" t="str">
            <v>Centro Educativo Pita en Medio</v>
          </cell>
          <cell r="K4081">
            <v>13954740</v>
          </cell>
        </row>
        <row r="4082">
          <cell r="I4082">
            <v>823004350</v>
          </cell>
          <cell r="J4082" t="str">
            <v>I.E. SABANAS DE PEDRO</v>
          </cell>
          <cell r="K4082">
            <v>23045451</v>
          </cell>
        </row>
        <row r="4083">
          <cell r="I4083">
            <v>823004420</v>
          </cell>
          <cell r="J4083" t="str">
            <v>Centro Educativo Hatilllo</v>
          </cell>
          <cell r="K4083">
            <v>11656260</v>
          </cell>
        </row>
        <row r="4084">
          <cell r="I4084">
            <v>823004625</v>
          </cell>
          <cell r="J4084" t="str">
            <v>Institucion educativa el cauchal</v>
          </cell>
          <cell r="K4084">
            <v>66422653</v>
          </cell>
        </row>
        <row r="4085">
          <cell r="I4085">
            <v>823004626</v>
          </cell>
          <cell r="J4085" t="str">
            <v>Centro Educativo las Chispas</v>
          </cell>
          <cell r="K4085">
            <v>17923654</v>
          </cell>
        </row>
        <row r="4086">
          <cell r="I4086">
            <v>823004627</v>
          </cell>
          <cell r="J4086" t="str">
            <v>CENTRO EDUCATIVO LAS DELICIAS ABAJO</v>
          </cell>
          <cell r="K4086">
            <v>14013750</v>
          </cell>
        </row>
        <row r="4087">
          <cell r="I4087">
            <v>823004629</v>
          </cell>
          <cell r="J4087" t="str">
            <v>CENTRO EDUCATIVO LABARCE</v>
          </cell>
          <cell r="K4087">
            <v>27788740</v>
          </cell>
        </row>
        <row r="4088">
          <cell r="I4088">
            <v>823004630</v>
          </cell>
          <cell r="J4088" t="str">
            <v>centro educativo bocacerrada</v>
          </cell>
          <cell r="K4088">
            <v>7667695</v>
          </cell>
        </row>
        <row r="4089">
          <cell r="I4089">
            <v>823004631</v>
          </cell>
          <cell r="J4089" t="str">
            <v>C.E. JEGUA</v>
          </cell>
          <cell r="K4089">
            <v>21143704</v>
          </cell>
        </row>
        <row r="4090">
          <cell r="I4090">
            <v>823004634</v>
          </cell>
          <cell r="J4090" t="str">
            <v>Centro Educativo San José</v>
          </cell>
          <cell r="K4090">
            <v>7960305</v>
          </cell>
        </row>
        <row r="4091">
          <cell r="I4091">
            <v>823004635</v>
          </cell>
          <cell r="J4091" t="str">
            <v>institucion educativa la peña</v>
          </cell>
          <cell r="K4091">
            <v>20729497</v>
          </cell>
        </row>
        <row r="4092">
          <cell r="I4092">
            <v>823004644</v>
          </cell>
          <cell r="J4092" t="str">
            <v>INST EDUC LIBERTAD</v>
          </cell>
          <cell r="K4092">
            <v>96071640</v>
          </cell>
        </row>
        <row r="4093">
          <cell r="I4093">
            <v>823004646</v>
          </cell>
          <cell r="J4093" t="str">
            <v>institucion educativa la ventura</v>
          </cell>
          <cell r="K4093">
            <v>31272294</v>
          </cell>
        </row>
        <row r="4094">
          <cell r="I4094">
            <v>823004651</v>
          </cell>
          <cell r="J4094" t="str">
            <v>C.E. DE PALMITO</v>
          </cell>
          <cell r="K4094">
            <v>14991569</v>
          </cell>
        </row>
        <row r="4095">
          <cell r="I4095">
            <v>823004653</v>
          </cell>
          <cell r="J4095" t="str">
            <v>InstituciónEducativaSabanetaMunicipio deSan Juan deBetulia</v>
          </cell>
          <cell r="K4095">
            <v>32046127</v>
          </cell>
        </row>
        <row r="4096">
          <cell r="I4096">
            <v>823004657</v>
          </cell>
          <cell r="J4096" t="str">
            <v>CENTRO EDUCATIVO GUAYABAL</v>
          </cell>
          <cell r="K4096">
            <v>17620746</v>
          </cell>
        </row>
        <row r="4097">
          <cell r="I4097">
            <v>823004673</v>
          </cell>
          <cell r="J4097" t="str">
            <v>institucion educativa san antonio</v>
          </cell>
          <cell r="K4097">
            <v>45846099</v>
          </cell>
        </row>
        <row r="4098">
          <cell r="I4098">
            <v>823004682</v>
          </cell>
          <cell r="J4098" t="str">
            <v>Centro Educativo Aguas Negras</v>
          </cell>
          <cell r="K4098">
            <v>22924839</v>
          </cell>
        </row>
        <row r="4099">
          <cell r="I4099">
            <v>823004692</v>
          </cell>
          <cell r="J4099" t="str">
            <v>institucion educativa palo alto</v>
          </cell>
          <cell r="K4099">
            <v>103748650</v>
          </cell>
        </row>
        <row r="4100">
          <cell r="I4100">
            <v>823004693</v>
          </cell>
          <cell r="J4100" t="str">
            <v>INSTITUCION EDUCATIVA CANUTAL</v>
          </cell>
          <cell r="K4100">
            <v>29191908</v>
          </cell>
        </row>
        <row r="4101">
          <cell r="I4101">
            <v>823004696</v>
          </cell>
          <cell r="J4101" t="str">
            <v>I. E. SABAS EDMUNDO BALSEIRO BLANCO</v>
          </cell>
          <cell r="K4101">
            <v>89825496</v>
          </cell>
        </row>
        <row r="4102">
          <cell r="I4102">
            <v>823004700</v>
          </cell>
          <cell r="J4102" t="str">
            <v>C.E. Palacio</v>
          </cell>
          <cell r="K4102">
            <v>7822394</v>
          </cell>
        </row>
        <row r="4103">
          <cell r="I4103">
            <v>823004754</v>
          </cell>
          <cell r="J4103" t="str">
            <v>INST EDUC PUERTO FRANCO</v>
          </cell>
          <cell r="K4103">
            <v>35649482</v>
          </cell>
        </row>
        <row r="4104">
          <cell r="I4104">
            <v>823004863</v>
          </cell>
          <cell r="J4104" t="str">
            <v>INSTITUCIÓN EDUCATIVA SAN JOSÉ DE RIVERA</v>
          </cell>
          <cell r="K4104">
            <v>38893863</v>
          </cell>
        </row>
        <row r="4105">
          <cell r="I4105">
            <v>823004897</v>
          </cell>
          <cell r="J4105" t="str">
            <v>CENTRO EDUCATIVO SAN MIGUEL</v>
          </cell>
          <cell r="K4105">
            <v>14115823</v>
          </cell>
        </row>
        <row r="4106">
          <cell r="I4106">
            <v>823004911</v>
          </cell>
          <cell r="J4106" t="str">
            <v>INSTITUCION EDUCATIVO TECNICA AGROPECUARIA DETOMALA</v>
          </cell>
          <cell r="K4106">
            <v>27239024</v>
          </cell>
        </row>
        <row r="4107">
          <cell r="I4107">
            <v>823004914</v>
          </cell>
          <cell r="J4107" t="str">
            <v>I.E. INST PEDAGÓGICO DE VALENCIA</v>
          </cell>
          <cell r="K4107">
            <v>27399592</v>
          </cell>
        </row>
        <row r="4108">
          <cell r="I4108">
            <v>823004926</v>
          </cell>
          <cell r="J4108" t="str">
            <v>I.E. CANUTALITO</v>
          </cell>
          <cell r="K4108">
            <v>18314946</v>
          </cell>
        </row>
        <row r="4109">
          <cell r="I4109">
            <v>823005002</v>
          </cell>
          <cell r="J4109" t="str">
            <v>Cen Educ Baraya</v>
          </cell>
          <cell r="K4109">
            <v>25852206</v>
          </cell>
        </row>
        <row r="4110">
          <cell r="I4110">
            <v>823005021</v>
          </cell>
          <cell r="J4110" t="str">
            <v>centro educativo el palmar</v>
          </cell>
          <cell r="K4110">
            <v>16622245</v>
          </cell>
        </row>
        <row r="4111">
          <cell r="I4111">
            <v>823005062</v>
          </cell>
          <cell r="J4111" t="str">
            <v>INSTITUCION EDUCATIVA SAN ANDRES</v>
          </cell>
          <cell r="K4111">
            <v>30298497</v>
          </cell>
        </row>
        <row r="4112">
          <cell r="I4112">
            <v>823005076</v>
          </cell>
          <cell r="J4112" t="str">
            <v>CENTRO EDUCATIVO COCOROTE</v>
          </cell>
          <cell r="K4112">
            <v>23107631</v>
          </cell>
        </row>
        <row r="4113">
          <cell r="I4113">
            <v>823005079</v>
          </cell>
          <cell r="J4113" t="str">
            <v>I.E. SAN RAFAEL</v>
          </cell>
          <cell r="K4113">
            <v>30259404</v>
          </cell>
        </row>
        <row r="4114">
          <cell r="I4114">
            <v>823005080</v>
          </cell>
          <cell r="J4114" t="str">
            <v>Centro Educativo Bazán</v>
          </cell>
          <cell r="K4114">
            <v>11255864</v>
          </cell>
        </row>
        <row r="4115">
          <cell r="I4115">
            <v>823005088</v>
          </cell>
          <cell r="J4115" t="str">
            <v>INSTITUCION EDUCATIVA LAS PEÑAS</v>
          </cell>
          <cell r="K4115">
            <v>29421268</v>
          </cell>
        </row>
        <row r="4116">
          <cell r="I4116">
            <v>823005110</v>
          </cell>
          <cell r="J4116" t="str">
            <v>Institución Educativa Indigena Guaimi</v>
          </cell>
          <cell r="K4116">
            <v>30662756</v>
          </cell>
        </row>
        <row r="4117">
          <cell r="I4117">
            <v>823005114</v>
          </cell>
          <cell r="J4117" t="str">
            <v>C.E. SAN FRANCISCO</v>
          </cell>
          <cell r="K4117">
            <v>16764856</v>
          </cell>
        </row>
        <row r="4118">
          <cell r="I4118">
            <v>823005131</v>
          </cell>
          <cell r="J4118" t="str">
            <v>CENTRO EDUCATIVO EL MINUTO DE DIOS</v>
          </cell>
          <cell r="K4118">
            <v>17280075</v>
          </cell>
        </row>
        <row r="4119">
          <cell r="I4119">
            <v>823005155</v>
          </cell>
          <cell r="J4119" t="str">
            <v>CENTRO EDUCATIVO COCOROTE</v>
          </cell>
          <cell r="K4119">
            <v>27351452</v>
          </cell>
        </row>
        <row r="4120">
          <cell r="I4120">
            <v>823005179</v>
          </cell>
          <cell r="J4120" t="str">
            <v>INST EDUC EL NARANJO</v>
          </cell>
          <cell r="K4120">
            <v>43036052</v>
          </cell>
        </row>
        <row r="4121">
          <cell r="I4121">
            <v>823005193</v>
          </cell>
          <cell r="J4121" t="str">
            <v>Centro Educativo Algodoncillo</v>
          </cell>
          <cell r="K4121">
            <v>10455605</v>
          </cell>
        </row>
        <row r="4122">
          <cell r="I4122">
            <v>823005267</v>
          </cell>
          <cell r="J4122" t="str">
            <v>CENTRO EDUCATIVO CHAPINERO</v>
          </cell>
          <cell r="K4122">
            <v>9792638</v>
          </cell>
        </row>
        <row r="4123">
          <cell r="I4123">
            <v>823005324</v>
          </cell>
          <cell r="J4123" t="str">
            <v>CENTRO EDUCATIVO BERLIN</v>
          </cell>
          <cell r="K4123">
            <v>14054638</v>
          </cell>
        </row>
        <row r="4124">
          <cell r="I4124">
            <v>823005350</v>
          </cell>
          <cell r="J4124" t="str">
            <v>Centro Educativo Las Huertas</v>
          </cell>
          <cell r="K4124">
            <v>8061400</v>
          </cell>
        </row>
        <row r="4125">
          <cell r="I4125">
            <v>824000137</v>
          </cell>
          <cell r="J4125" t="str">
            <v>I.E. Luis Rodriguez Valera</v>
          </cell>
          <cell r="K4125">
            <v>146177570</v>
          </cell>
        </row>
        <row r="4126">
          <cell r="I4126">
            <v>824000411</v>
          </cell>
          <cell r="J4126" t="str">
            <v>Fose I.E. Francisco Molina Sanchez</v>
          </cell>
          <cell r="K4126">
            <v>113672172</v>
          </cell>
        </row>
        <row r="4127">
          <cell r="I4127">
            <v>824000431</v>
          </cell>
          <cell r="J4127" t="str">
            <v>INSTITUCION EDUCATIVA JOSE GUILLERMO CASTRO CASTRO</v>
          </cell>
          <cell r="K4127">
            <v>279864807</v>
          </cell>
        </row>
        <row r="4128">
          <cell r="I4128">
            <v>824000437</v>
          </cell>
          <cell r="J4128" t="str">
            <v>INSTITUCION EDUCATIVA RAFAEL SALAZAR</v>
          </cell>
          <cell r="K4128">
            <v>72650472</v>
          </cell>
        </row>
        <row r="4129">
          <cell r="I4129">
            <v>824000475</v>
          </cell>
          <cell r="J4129" t="str">
            <v>FONDO DE SERVICIOS EDUCATIVOS</v>
          </cell>
          <cell r="K4129">
            <v>54985607</v>
          </cell>
        </row>
        <row r="4130">
          <cell r="I4130">
            <v>824000502</v>
          </cell>
          <cell r="J4130" t="str">
            <v>INST EDUCATIVA ALVARO ARAUJO NOGUERA</v>
          </cell>
          <cell r="K4130">
            <v>173193010</v>
          </cell>
        </row>
        <row r="4131">
          <cell r="I4131">
            <v>824000517</v>
          </cell>
          <cell r="J4131" t="str">
            <v>INSTITUCION   EDUCATIVA  CAMILO   NAMEN   FRAYJA</v>
          </cell>
          <cell r="K4131">
            <v>81855916</v>
          </cell>
        </row>
        <row r="4132">
          <cell r="I4132">
            <v>824000557</v>
          </cell>
          <cell r="J4132" t="str">
            <v>INSTITUCION EDUCATIVA LUIS FELIPE CENTENO</v>
          </cell>
          <cell r="K4132">
            <v>32749874</v>
          </cell>
        </row>
        <row r="4133">
          <cell r="I4133">
            <v>824000655</v>
          </cell>
          <cell r="J4133" t="str">
            <v>I.E. Villa Corelca</v>
          </cell>
          <cell r="K4133">
            <v>117426488</v>
          </cell>
        </row>
        <row r="4134">
          <cell r="I4134">
            <v>824000707</v>
          </cell>
          <cell r="J4134" t="str">
            <v>Fondo de Servicios Educativos Institucion Luis Ovidio</v>
          </cell>
          <cell r="K4134">
            <v>86115074</v>
          </cell>
        </row>
        <row r="4135">
          <cell r="I4135">
            <v>824000809</v>
          </cell>
          <cell r="J4135" t="str">
            <v>Instituto Agricola la Mina</v>
          </cell>
          <cell r="K4135">
            <v>98626538</v>
          </cell>
        </row>
        <row r="4136">
          <cell r="I4136">
            <v>824000865</v>
          </cell>
          <cell r="J4136" t="str">
            <v>I.E. Antonio Enrique Diaz Martinez</v>
          </cell>
          <cell r="K4136">
            <v>46439712</v>
          </cell>
        </row>
        <row r="4137">
          <cell r="I4137">
            <v>824000873</v>
          </cell>
          <cell r="J4137" t="str">
            <v>INSTITUCION EDUCATIVA LUIS CARLOS GALAN SARMIENTO</v>
          </cell>
          <cell r="K4137">
            <v>87106308</v>
          </cell>
        </row>
        <row r="4138">
          <cell r="I4138">
            <v>824000934</v>
          </cell>
          <cell r="J4138" t="str">
            <v>El Fondo de Servicios Educativos I.E. Eduardo Suarez Orcasita</v>
          </cell>
          <cell r="K4138">
            <v>136599227</v>
          </cell>
        </row>
        <row r="4139">
          <cell r="I4139">
            <v>824000948</v>
          </cell>
          <cell r="J4139" t="str">
            <v>INSTITUCION EDUCATIVA NACIONALIZADA INTEGRADA</v>
          </cell>
          <cell r="K4139">
            <v>147380148</v>
          </cell>
        </row>
        <row r="4140">
          <cell r="I4140">
            <v>824001063</v>
          </cell>
          <cell r="J4140" t="str">
            <v>FONDOS DE SERVICIOS EDUCATIVOS INSTITUCION EDUCATIVA FRANCISCO DE PAULA SANTANDER</v>
          </cell>
          <cell r="K4140">
            <v>181981175</v>
          </cell>
        </row>
        <row r="4141">
          <cell r="I4141">
            <v>824001111</v>
          </cell>
          <cell r="J4141" t="str">
            <v>FONDO SERVICIOS EDUCATIVOS IE PROM SOC GUATAPURI</v>
          </cell>
          <cell r="K4141">
            <v>34474990</v>
          </cell>
        </row>
        <row r="4142">
          <cell r="I4142">
            <v>824001374</v>
          </cell>
          <cell r="J4142" t="str">
            <v>INSTITUCION EDUCATIVA RAFAEL URIBE URIBE</v>
          </cell>
          <cell r="K4142">
            <v>127190294</v>
          </cell>
        </row>
        <row r="4143">
          <cell r="I4143">
            <v>824001410</v>
          </cell>
          <cell r="J4143" t="str">
            <v>LA INSTITUCION EDUCATIVA MAGOLA HERNANDEZ PARDO</v>
          </cell>
          <cell r="K4143">
            <v>104141509</v>
          </cell>
        </row>
        <row r="4144">
          <cell r="I4144">
            <v>824001438</v>
          </cell>
          <cell r="J4144" t="str">
            <v>I.E. Milciades Cantillo Costa</v>
          </cell>
          <cell r="K4144">
            <v>222095763</v>
          </cell>
        </row>
        <row r="4145">
          <cell r="I4145">
            <v>824001444</v>
          </cell>
          <cell r="J4145" t="str">
            <v>INSTITUTO EDUCATIVO RAFAEL SOTO FUENTES</v>
          </cell>
          <cell r="K4145">
            <v>48117730</v>
          </cell>
        </row>
        <row r="4146">
          <cell r="I4146">
            <v>824001469</v>
          </cell>
          <cell r="J4146" t="str">
            <v>INSTITUCION EDUCATIVA LAS FLORES</v>
          </cell>
          <cell r="K4146">
            <v>143966350</v>
          </cell>
        </row>
        <row r="4147">
          <cell r="I4147">
            <v>824001487</v>
          </cell>
          <cell r="J4147" t="str">
            <v>Fondos de Servicios educativos Institucion Tecnica la Esperanza</v>
          </cell>
          <cell r="K4147">
            <v>267069619</v>
          </cell>
        </row>
        <row r="4148">
          <cell r="I4148">
            <v>824001509</v>
          </cell>
          <cell r="J4148" t="str">
            <v>INSTITUCION EDUCATIVA AYACUCHO</v>
          </cell>
          <cell r="K4148">
            <v>54437264</v>
          </cell>
        </row>
        <row r="4149">
          <cell r="I4149">
            <v>824001510</v>
          </cell>
          <cell r="J4149" t="str">
            <v>INSTITUCION EDUCATIVA CARLOS RESTREPO ARAUJO</v>
          </cell>
          <cell r="K4149">
            <v>183617321</v>
          </cell>
        </row>
        <row r="4150">
          <cell r="I4150">
            <v>824001517</v>
          </cell>
          <cell r="J4150" t="str">
            <v>El Fondo de Servicios Educativos I.E. Leonidas Acuña.</v>
          </cell>
          <cell r="K4150">
            <v>288848541</v>
          </cell>
        </row>
        <row r="4151">
          <cell r="I4151">
            <v>824001542</v>
          </cell>
          <cell r="J4151" t="str">
            <v>LA INSTITUCION EDUCATIVA SAN JOSE</v>
          </cell>
          <cell r="K4151">
            <v>165908934</v>
          </cell>
        </row>
        <row r="4152">
          <cell r="I4152">
            <v>824001553</v>
          </cell>
          <cell r="J4152" t="str">
            <v>I.E. San Joaquin</v>
          </cell>
          <cell r="K4152">
            <v>85740493</v>
          </cell>
        </row>
        <row r="4153">
          <cell r="I4153">
            <v>824001563</v>
          </cell>
          <cell r="J4153" t="str">
            <v>I.E. Alfonso Araujo Cotes</v>
          </cell>
          <cell r="K4153">
            <v>146391215</v>
          </cell>
        </row>
        <row r="4154">
          <cell r="I4154">
            <v>824001582</v>
          </cell>
          <cell r="J4154" t="str">
            <v>INSTITUCION EDUCATIVA SOR MATILDE SASTOQUE</v>
          </cell>
          <cell r="K4154">
            <v>107190932</v>
          </cell>
        </row>
        <row r="4155">
          <cell r="I4155">
            <v>824001592</v>
          </cell>
          <cell r="J4155" t="str">
            <v>COLEGIO INTEGRADO MONTELIBANO DE EL COPEY</v>
          </cell>
          <cell r="K4155">
            <v>105692271</v>
          </cell>
        </row>
        <row r="4156">
          <cell r="I4156">
            <v>824001594</v>
          </cell>
          <cell r="J4156" t="str">
            <v>INSTITUCION EDUCATIVA RAFAEL ARGOTE VEGA</v>
          </cell>
          <cell r="K4156">
            <v>126600864</v>
          </cell>
        </row>
        <row r="4157">
          <cell r="I4157">
            <v>824001602</v>
          </cell>
          <cell r="J4157" t="str">
            <v>I.E. Consuelo Araujo Noguera - Fondo de Servicios Educativos</v>
          </cell>
          <cell r="K4157">
            <v>153906037</v>
          </cell>
        </row>
        <row r="4158">
          <cell r="I4158">
            <v>824001611</v>
          </cell>
          <cell r="J4158" t="str">
            <v>FONDO DE SERVICIOS EDUCATIVOS PUERTO BOCA</v>
          </cell>
          <cell r="K4158">
            <v>33843056</v>
          </cell>
        </row>
        <row r="4159">
          <cell r="I4159">
            <v>824001624</v>
          </cell>
          <cell r="J4159" t="str">
            <v>MUNICIPIO DE PUEBLO BELLO</v>
          </cell>
          <cell r="K4159">
            <v>523578097</v>
          </cell>
        </row>
        <row r="4160">
          <cell r="I4160">
            <v>824001632</v>
          </cell>
          <cell r="J4160" t="str">
            <v>EL FONDO DE SERVICIOS EDUCATIVOS INSTITUCION EDUCATIVA LUIS CARLOS GALAN SARMIENTO</v>
          </cell>
          <cell r="K4160">
            <v>214994729</v>
          </cell>
        </row>
        <row r="4161">
          <cell r="I4161">
            <v>824001698</v>
          </cell>
          <cell r="J4161" t="str">
            <v>INSTITUTO EDUCATIVO LA UNION FONDO DE SERVICIOS EDUCATIVOS</v>
          </cell>
          <cell r="K4161">
            <v>85058182</v>
          </cell>
        </row>
        <row r="4162">
          <cell r="I4162">
            <v>824001705</v>
          </cell>
          <cell r="J4162" t="str">
            <v>I.E. Joaquin Ochoa Maestre</v>
          </cell>
          <cell r="K4162">
            <v>142469683</v>
          </cell>
        </row>
        <row r="4163">
          <cell r="I4163">
            <v>824001718</v>
          </cell>
          <cell r="J4163" t="str">
            <v>FONDOS DE SERVICIOS DOCENTES INSTITUTO SAGRADO CORAZON DE JESUS</v>
          </cell>
          <cell r="K4163">
            <v>87801845</v>
          </cell>
        </row>
        <row r="4164">
          <cell r="I4164">
            <v>824001720</v>
          </cell>
          <cell r="J4164" t="str">
            <v>FONDO DE SERVICIOS EDUCATIVOS</v>
          </cell>
          <cell r="K4164">
            <v>83309906</v>
          </cell>
        </row>
        <row r="4165">
          <cell r="I4165">
            <v>824001726</v>
          </cell>
          <cell r="J4165" t="str">
            <v>INS. PREE. Y BASICA SAN MIGUEL</v>
          </cell>
          <cell r="K4165">
            <v>158382810</v>
          </cell>
        </row>
        <row r="4166">
          <cell r="I4166">
            <v>824001728</v>
          </cell>
          <cell r="J4166" t="str">
            <v>FONDO DE SERVICIOS EDUCATIVOS INSTITUCION SAN JOSE</v>
          </cell>
          <cell r="K4166">
            <v>173428532</v>
          </cell>
        </row>
        <row r="4167">
          <cell r="I4167">
            <v>824001771</v>
          </cell>
          <cell r="J4167" t="str">
            <v>FONDO DE SERVICIOS EDUCATIVOS</v>
          </cell>
          <cell r="K4167">
            <v>126175554</v>
          </cell>
        </row>
        <row r="4168">
          <cell r="I4168">
            <v>824001794</v>
          </cell>
          <cell r="J4168" t="str">
            <v>Instituto Tecnico Enrique Pupo Martinez</v>
          </cell>
          <cell r="K4168">
            <v>166210397</v>
          </cell>
        </row>
        <row r="4169">
          <cell r="I4169">
            <v>824001799</v>
          </cell>
          <cell r="J4169" t="str">
            <v>FONDO DE SERVICIOS EDUCATIVOS</v>
          </cell>
          <cell r="K4169">
            <v>38398257</v>
          </cell>
        </row>
        <row r="4170">
          <cell r="I4170">
            <v>824001868</v>
          </cell>
          <cell r="J4170" t="str">
            <v>UNIDAD EDUCATIVA SAN JUAN BAUTISTA</v>
          </cell>
          <cell r="K4170">
            <v>50051552</v>
          </cell>
        </row>
        <row r="4171">
          <cell r="I4171">
            <v>824001878</v>
          </cell>
          <cell r="J4171" t="str">
            <v>FONDOS DE SERVICIOS EDUCATIVOS DE LA INSTITUCION EDUCATIVA LA CURVA</v>
          </cell>
          <cell r="K4171">
            <v>80254603</v>
          </cell>
        </row>
        <row r="4172">
          <cell r="I4172">
            <v>824001925</v>
          </cell>
          <cell r="J4172" t="str">
            <v>INSTITUTO TECNICO CRISTIAN MORENO PALLARES</v>
          </cell>
          <cell r="K4172">
            <v>41539438</v>
          </cell>
        </row>
        <row r="4173">
          <cell r="I4173">
            <v>824001986</v>
          </cell>
          <cell r="J4173" t="str">
            <v>FONDOS DE SERVICIOS DOCENTES - COLEGIO ANDRES BELLO</v>
          </cell>
          <cell r="K4173">
            <v>140105034</v>
          </cell>
        </row>
        <row r="4174">
          <cell r="I4174">
            <v>824001999</v>
          </cell>
          <cell r="J4174" t="str">
            <v>CENTRO INDIGENA DE EDUCACION DIVERSIFICADA</v>
          </cell>
          <cell r="K4174">
            <v>43849548</v>
          </cell>
        </row>
        <row r="4175">
          <cell r="I4175">
            <v>824002095</v>
          </cell>
          <cell r="J4175" t="str">
            <v>FSE CENTRO EDUCATIVO AGROPECUARIO GUM ARUWAM</v>
          </cell>
          <cell r="K4175">
            <v>52528704</v>
          </cell>
        </row>
        <row r="4176">
          <cell r="I4176">
            <v>824002170</v>
          </cell>
          <cell r="J4176" t="str">
            <v>FONDO DE SERVICIOS EDUCATIVOS DE LA INSTITUCION EDUCATIVA NUESTRA SEÑORA DEL CARMEN</v>
          </cell>
          <cell r="K4176">
            <v>140107213</v>
          </cell>
        </row>
        <row r="4177">
          <cell r="I4177">
            <v>824002257</v>
          </cell>
          <cell r="J4177" t="str">
            <v>ISTITUCION EDUCATIVA CASIMIRO RAUL MAESTRE</v>
          </cell>
          <cell r="K4177">
            <v>145125444</v>
          </cell>
        </row>
        <row r="4178">
          <cell r="I4178">
            <v>824002267</v>
          </cell>
          <cell r="J4178" t="str">
            <v>COLEGIO MIXTO MPAL BACHILLOR</v>
          </cell>
          <cell r="K4178">
            <v>64300681</v>
          </cell>
        </row>
        <row r="4179">
          <cell r="I4179">
            <v>824002288</v>
          </cell>
          <cell r="J4179" t="str">
            <v>COLEGIO BACHILLERATO INSTITUCION EDUCATIVA SANTA RITA</v>
          </cell>
          <cell r="K4179">
            <v>39238936</v>
          </cell>
        </row>
        <row r="4180">
          <cell r="I4180">
            <v>824002309</v>
          </cell>
          <cell r="J4180" t="str">
            <v>INSTITUCION EDUCATIVA OCTAVIO MENDOZA DURAN</v>
          </cell>
          <cell r="K4180">
            <v>92483055</v>
          </cell>
        </row>
        <row r="4181">
          <cell r="I4181">
            <v>824002328</v>
          </cell>
          <cell r="J4181" t="str">
            <v>COLEGIO EDUCACION MEDIA EL PASO</v>
          </cell>
          <cell r="K4181">
            <v>122040352</v>
          </cell>
        </row>
        <row r="4182">
          <cell r="I4182">
            <v>824002337</v>
          </cell>
          <cell r="J4182" t="str">
            <v>FONDO DE SERVICIOS EDUCATIVOS INSTITUCION EDUCATIVA TECNICO LA PALMITA</v>
          </cell>
          <cell r="K4182">
            <v>66768715</v>
          </cell>
        </row>
        <row r="4183">
          <cell r="I4183">
            <v>824002606</v>
          </cell>
          <cell r="J4183" t="str">
            <v>Fondos de Servicios educativos Institucion Educativa</v>
          </cell>
          <cell r="K4183">
            <v>204726079</v>
          </cell>
        </row>
        <row r="4184">
          <cell r="I4184">
            <v>824002694</v>
          </cell>
          <cell r="J4184" t="str">
            <v>FONDO DE SERVICIOS EDUCATIVOS</v>
          </cell>
          <cell r="K4184">
            <v>61115354</v>
          </cell>
        </row>
        <row r="4185">
          <cell r="I4185">
            <v>824002790</v>
          </cell>
          <cell r="J4185" t="str">
            <v>FONDOS DE SERV EDUCAT DELIC</v>
          </cell>
          <cell r="K4185">
            <v>68682828</v>
          </cell>
        </row>
        <row r="4186">
          <cell r="I4186">
            <v>824002978</v>
          </cell>
          <cell r="J4186" t="str">
            <v>INSTITUCION EDUCATIVA MANUEL GERMAN CUELLO RINCONHONDO</v>
          </cell>
          <cell r="K4186">
            <v>106582951</v>
          </cell>
        </row>
        <row r="4187">
          <cell r="I4187">
            <v>824003171</v>
          </cell>
          <cell r="J4187" t="str">
            <v>INSTITUCION EDUCATIVA BENITO RAMOS TRESPALACIO</v>
          </cell>
          <cell r="K4187">
            <v>335022837</v>
          </cell>
        </row>
        <row r="4188">
          <cell r="I4188">
            <v>824003222</v>
          </cell>
          <cell r="J4188" t="str">
            <v>FONDO DE SERVICIOS EDUCATIVOS DEL CENTRO EDUCATIVO</v>
          </cell>
          <cell r="K4188">
            <v>32429579</v>
          </cell>
        </row>
        <row r="4189">
          <cell r="I4189">
            <v>824003227</v>
          </cell>
          <cell r="J4189" t="str">
            <v>INSTITUCION EDUCATIVA NUESTRA SEÑORA DEL CARMEN</v>
          </cell>
          <cell r="K4189">
            <v>53417906</v>
          </cell>
        </row>
        <row r="4190">
          <cell r="I4190">
            <v>824003247</v>
          </cell>
          <cell r="J4190" t="str">
            <v>INSTITUCION EDUCATIVA ARSENIO GUTIERREZ BARBOSA</v>
          </cell>
          <cell r="K4190">
            <v>40144991</v>
          </cell>
        </row>
        <row r="4191">
          <cell r="I4191">
            <v>824003806</v>
          </cell>
          <cell r="J4191" t="str">
            <v>INSTITUCION EDUCATIVA VILLA DE SAN ANDRES</v>
          </cell>
          <cell r="K4191">
            <v>48748236</v>
          </cell>
        </row>
        <row r="4192">
          <cell r="I4192">
            <v>824003827</v>
          </cell>
          <cell r="J4192" t="str">
            <v>INSTITUCION EDUCATIVA JOSE AGUSTIN MACKENCIE</v>
          </cell>
          <cell r="K4192">
            <v>81817809</v>
          </cell>
        </row>
        <row r="4193">
          <cell r="I4193">
            <v>824004022</v>
          </cell>
          <cell r="J4193" t="str">
            <v>INSTITUCION EDUCATIVA COLEGIO SAN SEBASTIAN</v>
          </cell>
          <cell r="K4193">
            <v>25311216</v>
          </cell>
        </row>
        <row r="4194">
          <cell r="I4194">
            <v>824004255</v>
          </cell>
          <cell r="J4194" t="str">
            <v>INSTITUCION TECNICA EDUCATIVA NUESTRA SEÑORA DEL CARMEN</v>
          </cell>
          <cell r="K4194">
            <v>248019467</v>
          </cell>
        </row>
        <row r="4195">
          <cell r="I4195">
            <v>824005186</v>
          </cell>
          <cell r="J4195" t="str">
            <v>Fondos de Servicios Educactivos Bello Horizonte.</v>
          </cell>
          <cell r="K4195">
            <v>241847705</v>
          </cell>
        </row>
        <row r="4196">
          <cell r="I4196">
            <v>824005913</v>
          </cell>
          <cell r="J4196" t="str">
            <v>FONDO DE SERVICIOS EDUCATIVO CENTRO EDUCATIVO MONTECITOS</v>
          </cell>
          <cell r="K4196">
            <v>19661171</v>
          </cell>
        </row>
        <row r="4197">
          <cell r="I4197">
            <v>824005914</v>
          </cell>
          <cell r="J4197" t="str">
            <v>FONDO DE SERVICIOS EDUCATIVOS CENTRO EDUCATIVO EL SALOBRE</v>
          </cell>
          <cell r="K4197">
            <v>17814184</v>
          </cell>
        </row>
        <row r="4198">
          <cell r="I4198">
            <v>824005915</v>
          </cell>
          <cell r="J4198" t="str">
            <v>FONDO DE SERVICIOS EDUCATIVOS CENTRO EDUCATIVO EL CAMPAMENTO</v>
          </cell>
          <cell r="K4198">
            <v>30073816</v>
          </cell>
        </row>
        <row r="4199">
          <cell r="I4199">
            <v>824005916</v>
          </cell>
          <cell r="J4199" t="str">
            <v>FONDO DE SERVICIOS EDUCATIVOS INSTITUCION EDUCATIVA AGROPECUARIO LOS ANGELES</v>
          </cell>
          <cell r="K4199">
            <v>46988026</v>
          </cell>
        </row>
        <row r="4200">
          <cell r="I4200">
            <v>824006031</v>
          </cell>
          <cell r="J4200" t="str">
            <v>COLEGIO NTRA SRA DEL CARMEN DEL CGTO LOMA COLORADA</v>
          </cell>
          <cell r="K4200">
            <v>40791038</v>
          </cell>
        </row>
        <row r="4201">
          <cell r="I4201">
            <v>824006035</v>
          </cell>
          <cell r="J4201" t="str">
            <v>INSTITUCION EDUCATIVA TRUJILLO</v>
          </cell>
          <cell r="K4201">
            <v>113444914</v>
          </cell>
        </row>
        <row r="4202">
          <cell r="I4202">
            <v>824006055</v>
          </cell>
          <cell r="J4202" t="str">
            <v>INSTITUTO TECNICO INTEGRADO DEL MPIO DE LA GLORIA</v>
          </cell>
          <cell r="K4202">
            <v>47800020</v>
          </cell>
        </row>
        <row r="4203">
          <cell r="I4203">
            <v>824006056</v>
          </cell>
          <cell r="J4203" t="str">
            <v>CENTRO EDUCATIVO LUIS ALBERTO BADILLO</v>
          </cell>
          <cell r="K4203">
            <v>21711836</v>
          </cell>
        </row>
        <row r="4204">
          <cell r="I4204">
            <v>824006062</v>
          </cell>
          <cell r="J4204" t="str">
            <v>CENTRO EDUCATIVO NOREAN</v>
          </cell>
          <cell r="K4204">
            <v>24604608</v>
          </cell>
        </row>
        <row r="4205">
          <cell r="I4205">
            <v>824006070</v>
          </cell>
          <cell r="J4205" t="str">
            <v>FONDO DE SERVICIOS ESPECIALES EDUCATIVOS</v>
          </cell>
          <cell r="K4205">
            <v>47617184</v>
          </cell>
        </row>
        <row r="4206">
          <cell r="I4206">
            <v>824006075</v>
          </cell>
          <cell r="J4206" t="str">
            <v>FONDOS EDUCATIVOS DEL CENTRO EDUCATIVO GUILLERMO LEON VALENCIA</v>
          </cell>
          <cell r="K4206">
            <v>54373380</v>
          </cell>
        </row>
        <row r="4207">
          <cell r="I4207">
            <v>824006115</v>
          </cell>
          <cell r="J4207" t="str">
            <v>FONDOS DE SERVICIOS EDUCATIVOS CENTRO EDUCATIVO SAN RAMON</v>
          </cell>
          <cell r="K4207">
            <v>50317862</v>
          </cell>
        </row>
        <row r="4208">
          <cell r="I4208">
            <v>824006124</v>
          </cell>
          <cell r="J4208" t="str">
            <v>FONDO DE SERVICIOS EDUCATIVOS</v>
          </cell>
          <cell r="K4208">
            <v>19645222</v>
          </cell>
        </row>
        <row r="4209">
          <cell r="I4209">
            <v>824006128</v>
          </cell>
          <cell r="J4209" t="str">
            <v>CENTRO EDUCATIVO SAN JOSE DE SOLEDAD</v>
          </cell>
          <cell r="K4209">
            <v>32528808</v>
          </cell>
        </row>
        <row r="4210">
          <cell r="I4210">
            <v>824006129</v>
          </cell>
          <cell r="J4210" t="str">
            <v>FONDO DE SERVICIOS EDUCATIVOS</v>
          </cell>
          <cell r="K4210">
            <v>22579492</v>
          </cell>
        </row>
        <row r="4211">
          <cell r="I4211">
            <v>824006131</v>
          </cell>
          <cell r="J4211" t="str">
            <v>CENTRO EDUCATIVO SIMON BOLIVAR DE LLERASCA</v>
          </cell>
          <cell r="K4211">
            <v>47036353</v>
          </cell>
        </row>
        <row r="4212">
          <cell r="I4212">
            <v>824006153</v>
          </cell>
          <cell r="J4212" t="str">
            <v>COLEGIO UNIDAD EDUCATIVA FRANCISCO RINALDY MORATO</v>
          </cell>
          <cell r="K4212">
            <v>49056856</v>
          </cell>
        </row>
        <row r="4213">
          <cell r="I4213">
            <v>824006212</v>
          </cell>
          <cell r="J4213" t="str">
            <v>CENTRO EDUCATIVO PALMAR CANO HONDO MPIO CHIMICHAGU</v>
          </cell>
          <cell r="K4213">
            <v>51086913</v>
          </cell>
        </row>
        <row r="4214">
          <cell r="I4214">
            <v>824006338</v>
          </cell>
          <cell r="J4214" t="str">
            <v>CENTRO EDUCATIVO BET EL EN EL MUNICIPIO DE CHIMICH</v>
          </cell>
          <cell r="K4214">
            <v>27973471</v>
          </cell>
        </row>
        <row r="4215">
          <cell r="I4215">
            <v>824006655</v>
          </cell>
          <cell r="J4215" t="str">
            <v>CENTRO EDUCATIVO LA CANDELARIA</v>
          </cell>
          <cell r="K4215">
            <v>25976931</v>
          </cell>
        </row>
        <row r="4216">
          <cell r="I4216">
            <v>824006657</v>
          </cell>
          <cell r="J4216" t="str">
            <v>CENTRO EDUCATIVO NUESTRA SEÑORA DEL CARMEN</v>
          </cell>
          <cell r="K4216">
            <v>21742354</v>
          </cell>
        </row>
        <row r="4217">
          <cell r="I4217">
            <v>824006658</v>
          </cell>
          <cell r="J4217" t="str">
            <v>CENTRO EDUCATIVO CAYETANO MORA</v>
          </cell>
          <cell r="K4217">
            <v>24778218</v>
          </cell>
        </row>
        <row r="4218">
          <cell r="I4218">
            <v>824006662</v>
          </cell>
          <cell r="J4218" t="str">
            <v>CENTRO EDUCATIVO LA MATA</v>
          </cell>
          <cell r="K4218">
            <v>28696899</v>
          </cell>
        </row>
        <row r="4219">
          <cell r="I4219">
            <v>824006669</v>
          </cell>
          <cell r="J4219" t="str">
            <v>INSTITUCION EDUCATIVA NUEVAS FLORES</v>
          </cell>
          <cell r="K4219">
            <v>58275497</v>
          </cell>
        </row>
        <row r="4220">
          <cell r="I4220">
            <v>824006727</v>
          </cell>
          <cell r="J4220" t="str">
            <v>CENTRO EDUCATIVO EL CARMEN MCPIO EL PASO</v>
          </cell>
          <cell r="K4220">
            <v>26769652</v>
          </cell>
        </row>
        <row r="4221">
          <cell r="I4221">
            <v>824006733</v>
          </cell>
          <cell r="J4221" t="str">
            <v>CENTRO EDUCATIVO EZEQUIEL MONTERO</v>
          </cell>
          <cell r="K4221">
            <v>26750898</v>
          </cell>
        </row>
        <row r="4222">
          <cell r="I4222">
            <v>824006771</v>
          </cell>
          <cell r="J4222" t="str">
            <v>CENTRO EDUCATIVO LA AURORA</v>
          </cell>
          <cell r="K4222">
            <v>40535947</v>
          </cell>
        </row>
        <row r="4223">
          <cell r="I4223">
            <v>824006772</v>
          </cell>
          <cell r="J4223" t="str">
            <v>CENTRO EDUCATIVO PUEBLO NUEVO</v>
          </cell>
          <cell r="K4223">
            <v>31695234</v>
          </cell>
        </row>
        <row r="4224">
          <cell r="I4224">
            <v>824006773</v>
          </cell>
          <cell r="J4224" t="str">
            <v>CENTRO EDUCATIVO PASACORRIENDO</v>
          </cell>
          <cell r="K4224">
            <v>46383789</v>
          </cell>
        </row>
        <row r="4225">
          <cell r="I4225">
            <v>824006775</v>
          </cell>
          <cell r="J4225" t="str">
            <v>FONDO DE SERVICIOS EDUCATIVOS LAS VEGAS</v>
          </cell>
          <cell r="K4225">
            <v>34618575</v>
          </cell>
        </row>
        <row r="4226">
          <cell r="I4226">
            <v>825000026</v>
          </cell>
          <cell r="J4226" t="str">
            <v>INSTITUCIÓN EDUCATIVA URBANA MIXTA NO.1</v>
          </cell>
          <cell r="K4226">
            <v>92234520</v>
          </cell>
        </row>
        <row r="4227">
          <cell r="I4227">
            <v>825000052</v>
          </cell>
          <cell r="J4227" t="str">
            <v>LA INSTITUCION EDUCATIVA LIGIO REGINALDO FISCHIONI</v>
          </cell>
          <cell r="K4227">
            <v>196725437</v>
          </cell>
        </row>
        <row r="4228">
          <cell r="I4228">
            <v>825000134</v>
          </cell>
          <cell r="J4228" t="str">
            <v>MUNICIPIO DE DIBULLA</v>
          </cell>
          <cell r="K4228">
            <v>533742741</v>
          </cell>
        </row>
        <row r="4229">
          <cell r="I4229">
            <v>825000242</v>
          </cell>
          <cell r="J4229" t="str">
            <v>INSTITUCION EDUCATIVA JOSE ANTONIO GALAN</v>
          </cell>
          <cell r="K4229">
            <v>79399266</v>
          </cell>
        </row>
        <row r="4230">
          <cell r="I4230">
            <v>825000386</v>
          </cell>
          <cell r="J4230" t="str">
            <v>INSTITUCION EDUCATIVA ECOLOGICA EL CARMEN</v>
          </cell>
          <cell r="K4230">
            <v>129398407</v>
          </cell>
        </row>
        <row r="4231">
          <cell r="I4231">
            <v>825000387</v>
          </cell>
          <cell r="J4231" t="str">
            <v>INSTITUCION JOSE EDUARDO GUERRA</v>
          </cell>
          <cell r="K4231">
            <v>36628814</v>
          </cell>
        </row>
        <row r="4232">
          <cell r="I4232">
            <v>825000393</v>
          </cell>
          <cell r="J4232" t="str">
            <v>INST. EDUC. M.DORALIZA. MINISTERIO DE EDUCACION.NACIO</v>
          </cell>
          <cell r="K4232">
            <v>112990888</v>
          </cell>
        </row>
        <row r="4233">
          <cell r="I4233">
            <v>825000410</v>
          </cell>
          <cell r="J4233" t="str">
            <v>INSTITUCION EDUCATIVA AGROPECUARIA RURAL DE CONEJO</v>
          </cell>
          <cell r="K4233">
            <v>34482647</v>
          </cell>
        </row>
        <row r="4234">
          <cell r="I4234">
            <v>825000421</v>
          </cell>
          <cell r="J4234" t="str">
            <v>INSTITUCION EDUCATIVA JULIA SIERRA IGUARAN</v>
          </cell>
          <cell r="K4234">
            <v>124522756</v>
          </cell>
        </row>
        <row r="4235">
          <cell r="I4235">
            <v>825000446</v>
          </cell>
          <cell r="J4235" t="str">
            <v>INSTITUCION EDUCATIVA CHON - KAY</v>
          </cell>
          <cell r="K4235">
            <v>69344988</v>
          </cell>
        </row>
        <row r="4236">
          <cell r="I4236">
            <v>825000453</v>
          </cell>
          <cell r="J4236" t="str">
            <v>INSTITUCION EDUCATIVA RURAL GLADIS BONILLA DE GIL</v>
          </cell>
          <cell r="K4236">
            <v>23328894</v>
          </cell>
        </row>
        <row r="4237">
          <cell r="I4237">
            <v>825000632</v>
          </cell>
          <cell r="J4237" t="str">
            <v>INSTITUCIN EDUCATIVA RURAL SAN ANTONIO DE PALOMINO</v>
          </cell>
          <cell r="K4237">
            <v>70981246</v>
          </cell>
        </row>
        <row r="4238">
          <cell r="I4238">
            <v>825000650</v>
          </cell>
          <cell r="J4238" t="str">
            <v>INSTITUCION EDUCATIVA DENZIL ESCOLAR</v>
          </cell>
          <cell r="K4238">
            <v>224513912</v>
          </cell>
        </row>
        <row r="4239">
          <cell r="I4239">
            <v>825000800</v>
          </cell>
          <cell r="J4239" t="str">
            <v>INSTITUCION AGROPECUARIA RURAL DE PAPAYAL</v>
          </cell>
          <cell r="K4239">
            <v>47993640</v>
          </cell>
        </row>
        <row r="4240">
          <cell r="I4240">
            <v>825000806</v>
          </cell>
          <cell r="J4240" t="str">
            <v>INSTITUCION EDUCATIVA JOSE AGUSTIN SOLANO</v>
          </cell>
          <cell r="K4240">
            <v>42450929</v>
          </cell>
        </row>
        <row r="4241">
          <cell r="I4241">
            <v>825000818</v>
          </cell>
          <cell r="J4241" t="str">
            <v>INSTITUCION EDUCATIVA ESTEBAN BENDECK OLIVELLA</v>
          </cell>
          <cell r="K4241">
            <v>48869188</v>
          </cell>
        </row>
        <row r="4242">
          <cell r="I4242">
            <v>825000878</v>
          </cell>
          <cell r="J4242" t="str">
            <v>ASOC. PADRES DE FAMILIA ESC. URBANA MIX LOS FUNDAD</v>
          </cell>
          <cell r="K4242">
            <v>33607711</v>
          </cell>
        </row>
        <row r="4243">
          <cell r="I4243">
            <v>825000890</v>
          </cell>
          <cell r="J4243" t="str">
            <v>LA INSTITUCION EDUCATIVA RURAL EUGENIA HERRERA DE MATITAS</v>
          </cell>
          <cell r="K4243">
            <v>54770704</v>
          </cell>
        </row>
        <row r="4244">
          <cell r="I4244">
            <v>825000898</v>
          </cell>
          <cell r="J4244" t="str">
            <v>INSTITUCION EDUCATIVA EL GOOL</v>
          </cell>
          <cell r="K4244">
            <v>32659443</v>
          </cell>
        </row>
        <row r="4245">
          <cell r="I4245">
            <v>825000899</v>
          </cell>
          <cell r="J4245" t="str">
            <v>INSTITUCION EDUCATIVA RURAL DE BUENAVISTA</v>
          </cell>
          <cell r="K4245">
            <v>55905934</v>
          </cell>
        </row>
        <row r="4246">
          <cell r="I4246">
            <v>825000966</v>
          </cell>
          <cell r="J4246" t="str">
            <v>INSTITUCION MARIA AUXILIADORA</v>
          </cell>
          <cell r="K4246">
            <v>67812378</v>
          </cell>
        </row>
        <row r="4247">
          <cell r="I4247">
            <v>825001049</v>
          </cell>
          <cell r="J4247" t="str">
            <v>INSTITUCION MARIA EMMA MENDOZA</v>
          </cell>
          <cell r="K4247">
            <v>69484414</v>
          </cell>
        </row>
        <row r="4248">
          <cell r="I4248">
            <v>825001548</v>
          </cell>
          <cell r="J4248" t="str">
            <v>INSTITUCION EDUCATIVA MARIA INMACULADA</v>
          </cell>
          <cell r="K4248">
            <v>83132635</v>
          </cell>
        </row>
        <row r="4249">
          <cell r="I4249">
            <v>825001850</v>
          </cell>
          <cell r="J4249" t="str">
            <v>LA INSTITUCION EDUCATIVA CENTRO DE INTEGRACION POPULAR</v>
          </cell>
          <cell r="K4249">
            <v>162892232</v>
          </cell>
        </row>
        <row r="4250">
          <cell r="I4250">
            <v>825002077</v>
          </cell>
          <cell r="J4250" t="str">
            <v>INSTITUCION EDUCATIVA INTERNADO INDIGENA KAMUSUCHIWOU</v>
          </cell>
          <cell r="K4250">
            <v>294011001</v>
          </cell>
        </row>
        <row r="4251">
          <cell r="I4251">
            <v>825002161</v>
          </cell>
          <cell r="J4251" t="str">
            <v>La Institucon Educativa Isabel Maria Cuesta Gonzalez</v>
          </cell>
          <cell r="K4251">
            <v>140373795</v>
          </cell>
        </row>
        <row r="4252">
          <cell r="I4252">
            <v>825002209</v>
          </cell>
          <cell r="J4252" t="str">
            <v>EUSEBIO SEPTIMIO MARI</v>
          </cell>
          <cell r="K4252">
            <v>85817567</v>
          </cell>
        </row>
        <row r="4253">
          <cell r="I4253">
            <v>825002472</v>
          </cell>
          <cell r="J4253" t="str">
            <v>INSTITUCI?N EDUCATIVA AGROPECUARIA DE URUMITA</v>
          </cell>
          <cell r="K4253">
            <v>78617600</v>
          </cell>
        </row>
        <row r="4254">
          <cell r="I4254">
            <v>825002551</v>
          </cell>
          <cell r="J4254" t="str">
            <v>INSTITUCION RURAL ANA JOAQUINA RODRIGUEZ MOLINA CAAVER</v>
          </cell>
          <cell r="K4254">
            <v>58178515</v>
          </cell>
        </row>
        <row r="4255">
          <cell r="I4255">
            <v>825002609</v>
          </cell>
          <cell r="J4255" t="str">
            <v>INSTITUCION EDUCATIVA REMEDIOS SOLANO</v>
          </cell>
          <cell r="K4255">
            <v>135086254</v>
          </cell>
        </row>
        <row r="4256">
          <cell r="I4256">
            <v>825002673</v>
          </cell>
          <cell r="J4256" t="str">
            <v>INSTITUCION ETNOEDUCATIVA INTEGRAL RURAL INTERNADO INDIGENA</v>
          </cell>
          <cell r="K4256">
            <v>298573462</v>
          </cell>
        </row>
        <row r="4257">
          <cell r="I4257">
            <v>825002705</v>
          </cell>
          <cell r="J4257" t="str">
            <v>INSTITUCION EDUCATIVA MARGOTH MAESTRE DE ARIZA</v>
          </cell>
          <cell r="K4257">
            <v>67267755</v>
          </cell>
        </row>
        <row r="4258">
          <cell r="I4258">
            <v>825002715</v>
          </cell>
          <cell r="J4258" t="str">
            <v>INSTITUCION EDUCATIVA ERNESTO PARODI MEDINA</v>
          </cell>
          <cell r="K4258">
            <v>120789047</v>
          </cell>
        </row>
        <row r="4259">
          <cell r="I4259">
            <v>825002766</v>
          </cell>
          <cell r="J4259" t="str">
            <v>INSTITUCION RURAL EL TOTUMO</v>
          </cell>
          <cell r="K4259">
            <v>18786678</v>
          </cell>
        </row>
        <row r="4260">
          <cell r="I4260">
            <v>825003150</v>
          </cell>
          <cell r="J4260" t="str">
            <v>CENTRO EDUCATIVO DE DISTRACCION</v>
          </cell>
          <cell r="K4260">
            <v>9189553</v>
          </cell>
        </row>
        <row r="4261">
          <cell r="I4261">
            <v>825003151</v>
          </cell>
          <cell r="J4261" t="str">
            <v>CENTRO EDNOEDUCATIVO DE CAICEMAPA</v>
          </cell>
          <cell r="K4261">
            <v>35100085</v>
          </cell>
        </row>
        <row r="4262">
          <cell r="I4262">
            <v>825003152</v>
          </cell>
          <cell r="J4262" t="str">
            <v>CENTRO EDUCATIVO RURAL BUENOS AIRES DE CAMPANA</v>
          </cell>
          <cell r="K4262">
            <v>33189312</v>
          </cell>
        </row>
        <row r="4263">
          <cell r="I4263">
            <v>825003153</v>
          </cell>
          <cell r="J4263" t="str">
            <v>CENTRO EDUCATIVO JOSE CHOLES</v>
          </cell>
          <cell r="K4263">
            <v>30328416</v>
          </cell>
        </row>
        <row r="4264">
          <cell r="I4264">
            <v>825003168</v>
          </cell>
          <cell r="J4264" t="str">
            <v>CENTRO EDUCATIVO DEL CARIBE</v>
          </cell>
          <cell r="K4264">
            <v>62387724</v>
          </cell>
        </row>
        <row r="4265">
          <cell r="I4265">
            <v>825003181</v>
          </cell>
          <cell r="J4265" t="str">
            <v>INSTITUCION EDUCATIVA HELIODORO ALFREDO MONTERO DUARTE</v>
          </cell>
          <cell r="K4265">
            <v>39855678</v>
          </cell>
        </row>
        <row r="4266">
          <cell r="I4266">
            <v>825003197</v>
          </cell>
          <cell r="J4266" t="str">
            <v>CENTRO ETNOEDUCATIVO INTEGRAL NO.4 FLOR DEL PARAISO</v>
          </cell>
          <cell r="K4266">
            <v>109458631</v>
          </cell>
        </row>
        <row r="4267">
          <cell r="I4267">
            <v>825003209</v>
          </cell>
          <cell r="J4267" t="str">
            <v>INSTITUCION ETNOEDUCATIVA INTEGRAL RURAL INTERNADO INDIGENA DE SIAPANA</v>
          </cell>
          <cell r="K4267">
            <v>175365850</v>
          </cell>
        </row>
        <row r="4268">
          <cell r="I4268">
            <v>825003226</v>
          </cell>
          <cell r="J4268" t="str">
            <v>CENTRO EDUCATIVO ALMAPOQUE</v>
          </cell>
          <cell r="K4268">
            <v>30660380</v>
          </cell>
        </row>
        <row r="4269">
          <cell r="I4269">
            <v>825003231</v>
          </cell>
          <cell r="J4269" t="str">
            <v>CENTRO RURAL MIXTO LOS PONDORES</v>
          </cell>
          <cell r="K4269">
            <v>9625538</v>
          </cell>
        </row>
        <row r="4270">
          <cell r="I4270">
            <v>825003237</v>
          </cell>
          <cell r="J4270" t="str">
            <v>CENTRO EDUCATIVO JOSE PEREZ</v>
          </cell>
          <cell r="K4270">
            <v>15226510</v>
          </cell>
        </row>
        <row r="4271">
          <cell r="I4271">
            <v>825003243</v>
          </cell>
          <cell r="J4271" t="str">
            <v>CENTRO EDUCATIVO EL PLAN</v>
          </cell>
          <cell r="K4271">
            <v>6871317</v>
          </cell>
        </row>
        <row r="4272">
          <cell r="I4272">
            <v>825003249</v>
          </cell>
          <cell r="J4272" t="str">
            <v>CENTRO EDUCATIVO GUAMACHITO</v>
          </cell>
          <cell r="K4272">
            <v>63395360</v>
          </cell>
        </row>
        <row r="4273">
          <cell r="I4273">
            <v>825003252</v>
          </cell>
          <cell r="J4273" t="str">
            <v>CENTRO RURAL EL TABLAZO</v>
          </cell>
          <cell r="K4273">
            <v>13009206</v>
          </cell>
        </row>
        <row r="4274">
          <cell r="I4274">
            <v>825003265</v>
          </cell>
          <cell r="J4274" t="str">
            <v>CENTRO ETNOEDUCATIVO INTEGRAL NO.5</v>
          </cell>
          <cell r="K4274">
            <v>144232823</v>
          </cell>
        </row>
        <row r="4275">
          <cell r="I4275">
            <v>825003272</v>
          </cell>
          <cell r="J4275" t="str">
            <v>CENTRO RURAL MIXTO LOS HATICOS</v>
          </cell>
          <cell r="K4275">
            <v>11908903</v>
          </cell>
        </row>
        <row r="4276">
          <cell r="I4276">
            <v>825003273</v>
          </cell>
          <cell r="J4276" t="str">
            <v>CENTRO RURAL LUIS A. BRITO DE SAN PEDRO</v>
          </cell>
          <cell r="K4276">
            <v>30781900</v>
          </cell>
        </row>
        <row r="4277">
          <cell r="I4277">
            <v>825003293</v>
          </cell>
          <cell r="J4277" t="str">
            <v>CENTRO EDUCATIVO RURAL DE RIO ANCHO</v>
          </cell>
          <cell r="K4277">
            <v>27322743</v>
          </cell>
        </row>
        <row r="4278">
          <cell r="I4278">
            <v>825003536</v>
          </cell>
          <cell r="J4278" t="str">
            <v>CENTRO ETNOEDUCATIVO WARE WAREN</v>
          </cell>
          <cell r="K4278">
            <v>58643984</v>
          </cell>
        </row>
        <row r="4279">
          <cell r="I4279">
            <v>825003614</v>
          </cell>
          <cell r="J4279" t="str">
            <v>CENTRO EDUCATIVO RURAL LA GLORIA</v>
          </cell>
          <cell r="K4279">
            <v>99267757</v>
          </cell>
        </row>
        <row r="4280">
          <cell r="I4280">
            <v>826000091</v>
          </cell>
          <cell r="J4280" t="str">
            <v>Institución Educativa Empresarial y Agroindustrial Los Andes “INSEANDES”</v>
          </cell>
          <cell r="K4280">
            <v>61615325</v>
          </cell>
        </row>
        <row r="4281">
          <cell r="I4281">
            <v>826000350</v>
          </cell>
          <cell r="J4281" t="str">
            <v>Institucion Educativa los Libertadores</v>
          </cell>
          <cell r="K4281">
            <v>98839172</v>
          </cell>
        </row>
        <row r="4282">
          <cell r="I4282">
            <v>826000437</v>
          </cell>
          <cell r="J4282" t="str">
            <v>INSTITUCION EDUCATIVA TOQUILLA</v>
          </cell>
          <cell r="K4282">
            <v>16147014</v>
          </cell>
        </row>
        <row r="4283">
          <cell r="I4283">
            <v>826000438</v>
          </cell>
          <cell r="J4283" t="str">
            <v>ESCUELA NORMAL SUPERIOR NUESTRA SEÑORA DEL ROSARIO</v>
          </cell>
          <cell r="K4283">
            <v>52912807</v>
          </cell>
        </row>
        <row r="4284">
          <cell r="I4284">
            <v>826000469</v>
          </cell>
          <cell r="J4284" t="str">
            <v>COLEGIO VALENTIN GARCIA LABRANZAGRANDE</v>
          </cell>
          <cell r="K4284">
            <v>39983957</v>
          </cell>
        </row>
        <row r="4285">
          <cell r="I4285">
            <v>826000820</v>
          </cell>
          <cell r="J4285" t="str">
            <v>COLEGIO TECNICO AGROPECUARIO SAN ANTONIO</v>
          </cell>
          <cell r="K4285">
            <v>14093890</v>
          </cell>
        </row>
        <row r="4286">
          <cell r="I4286">
            <v>826000978</v>
          </cell>
          <cell r="J4286" t="str">
            <v>INSTITUTO TECNICO SIMONA AMAYA</v>
          </cell>
          <cell r="K4286">
            <v>18229699</v>
          </cell>
        </row>
        <row r="4287">
          <cell r="I4287">
            <v>826001062</v>
          </cell>
          <cell r="J4287" t="str">
            <v>Fondo de Servicios Educativos</v>
          </cell>
          <cell r="K4287">
            <v>31857769</v>
          </cell>
        </row>
        <row r="4288">
          <cell r="I4288">
            <v>826001075</v>
          </cell>
          <cell r="J4288" t="str">
            <v>INSTITUCIÓN EDUCATIVA TÉCNICA EL PORTACHUELO SANTA ROSA DE VITERBO FONDO DE SERVICIOS EDUCATIVOS</v>
          </cell>
          <cell r="K4288">
            <v>17102634</v>
          </cell>
        </row>
        <row r="4289">
          <cell r="I4289">
            <v>826001082</v>
          </cell>
          <cell r="J4289" t="str">
            <v>INSTITUCION EDUCATIVA  RAFAEL BAYONA NIÑO</v>
          </cell>
          <cell r="K4289">
            <v>41552034</v>
          </cell>
        </row>
        <row r="4290">
          <cell r="I4290">
            <v>826001101</v>
          </cell>
          <cell r="J4290" t="str">
            <v>ALCALDIA SOGAMOSO</v>
          </cell>
          <cell r="K4290">
            <v>21559528</v>
          </cell>
        </row>
        <row r="4291">
          <cell r="I4291">
            <v>826001118</v>
          </cell>
          <cell r="J4291" t="str">
            <v>Fondo de Servicios Educativos Francisco de Paula Santander</v>
          </cell>
          <cell r="K4291">
            <v>44933884</v>
          </cell>
        </row>
        <row r="4292">
          <cell r="I4292">
            <v>826001131</v>
          </cell>
          <cell r="J4292" t="str">
            <v>INSTITUCIÓN EDUCATIVA JUAN JOSÉ RONDÓN</v>
          </cell>
          <cell r="K4292">
            <v>24795255</v>
          </cell>
        </row>
        <row r="4293">
          <cell r="I4293">
            <v>826001132</v>
          </cell>
          <cell r="J4293" t="str">
            <v>Institucion Educativa La Independencia</v>
          </cell>
          <cell r="K4293">
            <v>30534390</v>
          </cell>
        </row>
        <row r="4294">
          <cell r="I4294">
            <v>826001167</v>
          </cell>
          <cell r="J4294" t="str">
            <v>COLEGIO TECNICO DE NAZARETH</v>
          </cell>
          <cell r="K4294">
            <v>55290697</v>
          </cell>
        </row>
        <row r="4295">
          <cell r="I4295">
            <v>826001182</v>
          </cell>
          <cell r="J4295" t="str">
            <v>COLEGIO TECNICO MUNICIPAL FRANCISCO DE PAULA SANTANDER</v>
          </cell>
          <cell r="K4295">
            <v>71747612</v>
          </cell>
        </row>
        <row r="4296">
          <cell r="I4296">
            <v>826001213</v>
          </cell>
          <cell r="J4296" t="str">
            <v>Institucion Educativa El Crucero</v>
          </cell>
          <cell r="K4296">
            <v>30170576</v>
          </cell>
        </row>
        <row r="4297">
          <cell r="I4297">
            <v>826001215</v>
          </cell>
          <cell r="J4297" t="str">
            <v>ESCUELA NORMAL SUPERIOR FONDO DE SERVICIOS EDUCATIVOS</v>
          </cell>
          <cell r="K4297">
            <v>46015007</v>
          </cell>
        </row>
        <row r="4298">
          <cell r="I4298">
            <v>826001266</v>
          </cell>
          <cell r="J4298" t="str">
            <v>ESCUELA NORMAL SUPERIOR LA PRESENTACION SOATA</v>
          </cell>
          <cell r="K4298">
            <v>53865358</v>
          </cell>
        </row>
        <row r="4299">
          <cell r="I4299">
            <v>826001334</v>
          </cell>
          <cell r="J4299" t="str">
            <v>INSTITUCION EDUCTIVA EL CHAPETON SAN MATEO BOYACA</v>
          </cell>
          <cell r="K4299">
            <v>9263170</v>
          </cell>
        </row>
        <row r="4300">
          <cell r="I4300">
            <v>826001350</v>
          </cell>
          <cell r="J4300" t="str">
            <v>Colegio Roberto Franco Izasa-Fondo de Servicios Educativos</v>
          </cell>
          <cell r="K4300">
            <v>10294882</v>
          </cell>
        </row>
        <row r="4301">
          <cell r="I4301">
            <v>826001967</v>
          </cell>
          <cell r="J4301" t="str">
            <v>INSTITUCION EDUCATIVA VADO CASTRO</v>
          </cell>
          <cell r="K4301">
            <v>19802240</v>
          </cell>
        </row>
        <row r="4302">
          <cell r="I4302">
            <v>826002152</v>
          </cell>
          <cell r="J4302" t="str">
            <v>COLEGIO DE EDUCACIÓN BÁSICA Y MEDIA TÉCNICA SEÑOR DE LOS MILAGROS</v>
          </cell>
          <cell r="K4302">
            <v>17252572</v>
          </cell>
        </row>
        <row r="4303">
          <cell r="I4303">
            <v>826002400</v>
          </cell>
          <cell r="J4303" t="str">
            <v>INSTITUCION EDUCATIVA SUSE</v>
          </cell>
          <cell r="K4303">
            <v>34802688</v>
          </cell>
        </row>
        <row r="4304">
          <cell r="I4304">
            <v>826002541</v>
          </cell>
          <cell r="J4304" t="str">
            <v>I.E. TECNICA NACIONALIZADA PABLO VI</v>
          </cell>
          <cell r="K4304">
            <v>100586290</v>
          </cell>
        </row>
        <row r="4305">
          <cell r="I4305">
            <v>826002642</v>
          </cell>
          <cell r="J4305" t="str">
            <v>INSTITUCION EDUCATIVA TECNICA  DE PANQUEBA</v>
          </cell>
          <cell r="K4305">
            <v>29151559</v>
          </cell>
        </row>
        <row r="4306">
          <cell r="I4306">
            <v>826002721</v>
          </cell>
          <cell r="J4306" t="str">
            <v>Fondo de Servicios Educativos la Magdalena</v>
          </cell>
          <cell r="K4306">
            <v>85343087</v>
          </cell>
        </row>
        <row r="4307">
          <cell r="I4307">
            <v>826003247</v>
          </cell>
          <cell r="J4307" t="str">
            <v>INSTITUCION EDUCATIVA TECNICA NUESTRA SEÑORA DE LA O</v>
          </cell>
          <cell r="K4307">
            <v>13968319</v>
          </cell>
        </row>
        <row r="4308">
          <cell r="I4308">
            <v>826003343</v>
          </cell>
          <cell r="J4308" t="str">
            <v>INSTITUCION EDUCATIVA SAN ANTONIO NORTE</v>
          </cell>
          <cell r="K4308">
            <v>27811306</v>
          </cell>
        </row>
        <row r="4309">
          <cell r="I4309">
            <v>826003386</v>
          </cell>
          <cell r="J4309" t="str">
            <v>INTITUCION EDUCATIVA SAN LUIS</v>
          </cell>
          <cell r="K4309">
            <v>25630740</v>
          </cell>
        </row>
        <row r="4310">
          <cell r="I4310">
            <v>826003453</v>
          </cell>
          <cell r="J4310" t="str">
            <v>INSTITUCION EDUCATIVA AGROINDUSTRIAL LA PRADERA</v>
          </cell>
          <cell r="K4310">
            <v>26875236</v>
          </cell>
        </row>
        <row r="4311">
          <cell r="I4311">
            <v>826003673</v>
          </cell>
          <cell r="J4311" t="str">
            <v>INSTITUCION EDUCATIVA AGROINDUSTRIAL FRANCISCO MEDRANO</v>
          </cell>
          <cell r="K4311">
            <v>13387075</v>
          </cell>
        </row>
        <row r="4312">
          <cell r="I4312">
            <v>826003746</v>
          </cell>
          <cell r="J4312" t="str">
            <v>Institucion Educativa Rafael Gutierrez Girardot</v>
          </cell>
          <cell r="K4312">
            <v>26207291</v>
          </cell>
        </row>
        <row r="4313">
          <cell r="I4313">
            <v>826003750</v>
          </cell>
          <cell r="J4313" t="str">
            <v>Institucion Educativa Silvestre Arenas</v>
          </cell>
          <cell r="K4313">
            <v>62168998</v>
          </cell>
        </row>
        <row r="4314">
          <cell r="I4314">
            <v>826003777</v>
          </cell>
          <cell r="J4314" t="str">
            <v>Institucion Educativa Integrada Marco Antonio Quijano Rico</v>
          </cell>
          <cell r="K4314">
            <v>33892074</v>
          </cell>
        </row>
        <row r="4315">
          <cell r="I4315">
            <v>826003955</v>
          </cell>
          <cell r="J4315" t="str">
            <v>INSTITUCION EDUCATIVA ECOLOGICO DE BUSBANZA</v>
          </cell>
          <cell r="K4315">
            <v>7530659</v>
          </cell>
        </row>
        <row r="4316">
          <cell r="I4316">
            <v>826003990</v>
          </cell>
          <cell r="J4316" t="str">
            <v>INSTITUCION EDUCATIVA COMEZA HOYADA</v>
          </cell>
          <cell r="K4316">
            <v>45400219</v>
          </cell>
        </row>
        <row r="4317">
          <cell r="I4317">
            <v>827000288</v>
          </cell>
          <cell r="J4317" t="str">
            <v>INSTITUCIÓN EDUCATIVA TÉCNICO DEPARTAMENTAL NATANIA</v>
          </cell>
          <cell r="K4317">
            <v>68019519</v>
          </cell>
        </row>
        <row r="4318">
          <cell r="I4318">
            <v>827000591</v>
          </cell>
          <cell r="J4318" t="str">
            <v>BROOKS HILL BILINGUAL SCHOOL</v>
          </cell>
          <cell r="K4318">
            <v>87915957</v>
          </cell>
        </row>
        <row r="4319">
          <cell r="I4319">
            <v>827000790</v>
          </cell>
          <cell r="J4319" t="str">
            <v>FLOWERS HILL BILINGUAL SCHOOL</v>
          </cell>
          <cell r="K4319">
            <v>121484521</v>
          </cell>
        </row>
        <row r="4320">
          <cell r="I4320">
            <v>828000040</v>
          </cell>
          <cell r="J4320" t="str">
            <v>INSTITUCION EDUCATIVA SAN LUIS</v>
          </cell>
          <cell r="K4320">
            <v>66464582</v>
          </cell>
        </row>
        <row r="4321">
          <cell r="I4321">
            <v>828000062</v>
          </cell>
          <cell r="J4321" t="str">
            <v>INSTITUCION EDUCATIVA VERDE AMAZONICO</v>
          </cell>
          <cell r="K4321">
            <v>79623018</v>
          </cell>
        </row>
        <row r="4322">
          <cell r="I4322">
            <v>828000128</v>
          </cell>
          <cell r="J4322" t="str">
            <v>INSTITUCIN EDUCATIVA AGROECOLOGICO  AMAZONICO</v>
          </cell>
          <cell r="K4322">
            <v>109369726</v>
          </cell>
        </row>
        <row r="4323">
          <cell r="I4323">
            <v>828000177</v>
          </cell>
          <cell r="J4323" t="str">
            <v>INSTITUCION EDUCATIVA CAMPO ELIAS MARULANDA</v>
          </cell>
          <cell r="K4323">
            <v>56850625</v>
          </cell>
        </row>
        <row r="4324">
          <cell r="I4324">
            <v>828000197</v>
          </cell>
          <cell r="J4324" t="str">
            <v>INSTITUCION EDUCATIVA DON QUIJOTE - FONDO DE SERVICIOS EDUCATIVOS</v>
          </cell>
          <cell r="K4324">
            <v>65195643</v>
          </cell>
        </row>
        <row r="4325">
          <cell r="I4325">
            <v>828000208</v>
          </cell>
          <cell r="J4325" t="str">
            <v>INSTITUCION EDUCATIVA BARRIOS UNIDOS DEL SUR</v>
          </cell>
          <cell r="K4325">
            <v>163402498</v>
          </cell>
        </row>
        <row r="4326">
          <cell r="I4326">
            <v>828000218</v>
          </cell>
          <cell r="J4326" t="str">
            <v>INSTITUCION EDUCATIVA JUAN BAUTISTA LA SALLE</v>
          </cell>
          <cell r="K4326">
            <v>108204567</v>
          </cell>
        </row>
        <row r="4327">
          <cell r="I4327">
            <v>828000223</v>
          </cell>
          <cell r="J4327" t="str">
            <v>CENTRO EDUCATIVO DOMINGO SAVIO</v>
          </cell>
          <cell r="K4327">
            <v>53634222</v>
          </cell>
        </row>
        <row r="4328">
          <cell r="I4328">
            <v>828000276</v>
          </cell>
          <cell r="J4328" t="str">
            <v>I.E.D.N SISTEMAS GENERAL DE PARTICIPACIONES</v>
          </cell>
          <cell r="K4328">
            <v>115513183</v>
          </cell>
        </row>
        <row r="4329">
          <cell r="I4329">
            <v>828000298</v>
          </cell>
          <cell r="J4329" t="str">
            <v>INSTITUCION EDUCATIVA ANTONIO RICAURTE</v>
          </cell>
          <cell r="K4329">
            <v>114820959</v>
          </cell>
        </row>
        <row r="4330">
          <cell r="I4330">
            <v>828000305</v>
          </cell>
          <cell r="J4330" t="str">
            <v>INSTITUCION EDUCATIVA JORGE ABEL MOLINA</v>
          </cell>
          <cell r="K4330">
            <v>44040641</v>
          </cell>
        </row>
        <row r="4331">
          <cell r="I4331">
            <v>828000349</v>
          </cell>
          <cell r="J4331" t="str">
            <v>INSTITUCION EDUCATIVA RUFINO QUICHOYA</v>
          </cell>
          <cell r="K4331">
            <v>92310331</v>
          </cell>
        </row>
        <row r="4332">
          <cell r="I4332">
            <v>828000399</v>
          </cell>
          <cell r="J4332" t="str">
            <v>CENTRO EDUCATIVO PALMA ARRIBA</v>
          </cell>
          <cell r="K4332">
            <v>21235449</v>
          </cell>
        </row>
        <row r="4333">
          <cell r="I4333">
            <v>828000407</v>
          </cell>
          <cell r="J4333" t="str">
            <v>INSTITUCION EDUCATIVA CAMPO HERMOSO</v>
          </cell>
          <cell r="K4333">
            <v>51579816</v>
          </cell>
        </row>
        <row r="4334">
          <cell r="I4334">
            <v>828000767</v>
          </cell>
          <cell r="J4334" t="str">
            <v>INSTITUCION EDUCATIVA AGROECOLOGICO AMAZONICO BUINAIMA</v>
          </cell>
          <cell r="K4334">
            <v>66168854</v>
          </cell>
        </row>
        <row r="4335">
          <cell r="I4335">
            <v>828001064</v>
          </cell>
          <cell r="J4335" t="str">
            <v>INSTITUCION EDUCATIVA LA ESMERALDA</v>
          </cell>
          <cell r="K4335">
            <v>41306972</v>
          </cell>
        </row>
        <row r="4336">
          <cell r="I4336">
            <v>828001336</v>
          </cell>
          <cell r="J4336" t="str">
            <v>INSTITUCION EDUCATIVA RURAL EL DORADO</v>
          </cell>
          <cell r="K4336">
            <v>33087060</v>
          </cell>
        </row>
        <row r="4337">
          <cell r="I4337">
            <v>828001584</v>
          </cell>
          <cell r="J4337" t="str">
            <v>CENTRO EDUCATIVO NUEVA Jerusalém</v>
          </cell>
          <cell r="K4337">
            <v>12917846</v>
          </cell>
        </row>
        <row r="4338">
          <cell r="I4338">
            <v>828001618</v>
          </cell>
          <cell r="J4338" t="str">
            <v>CIUDADELA EDUCATIVA SIGLO XXI - FODS SERV.</v>
          </cell>
          <cell r="K4338">
            <v>128602026</v>
          </cell>
        </row>
        <row r="4339">
          <cell r="I4339">
            <v>828002097</v>
          </cell>
          <cell r="J4339" t="str">
            <v>CENTRO EDUCATIVO RURAL AVENIDA EL CARAÑO</v>
          </cell>
          <cell r="K4339">
            <v>30488138</v>
          </cell>
        </row>
        <row r="4340">
          <cell r="I4340">
            <v>828002426</v>
          </cell>
          <cell r="J4340" t="str">
            <v>INSTITUCION EDUCATIVA LOS PINOS</v>
          </cell>
          <cell r="K4340">
            <v>87563242</v>
          </cell>
        </row>
        <row r="4341">
          <cell r="I4341">
            <v>828002458</v>
          </cell>
          <cell r="J4341" t="str">
            <v>INSTITUCION EDUCATIVA AGROECOLOGICO AMAZONICO</v>
          </cell>
          <cell r="K4341">
            <v>109210447</v>
          </cell>
        </row>
        <row r="4342">
          <cell r="I4342">
            <v>828002480</v>
          </cell>
          <cell r="J4342" t="str">
            <v>INSTITUCION EDUCATIVA ANGEL CUNIBERTI-CURILLO</v>
          </cell>
          <cell r="K4342">
            <v>87383974</v>
          </cell>
        </row>
        <row r="4343">
          <cell r="I4343">
            <v>828002505</v>
          </cell>
          <cell r="J4343" t="str">
            <v>INSTITUCION EDUCATIVA RURAL SIMON BOLIVAR</v>
          </cell>
          <cell r="K4343">
            <v>29484268</v>
          </cell>
        </row>
        <row r="4344">
          <cell r="I4344">
            <v>828002506</v>
          </cell>
          <cell r="J4344" t="str">
            <v>CENTRO EDUCATIVO DIVINO NIÑO</v>
          </cell>
          <cell r="K4344">
            <v>30645096</v>
          </cell>
        </row>
        <row r="4345">
          <cell r="I4345">
            <v>828002508</v>
          </cell>
          <cell r="J4345" t="str">
            <v>CENTRO EDUCATIVO RURAL MONONGUETE</v>
          </cell>
          <cell r="K4345">
            <v>23730102</v>
          </cell>
        </row>
        <row r="4346">
          <cell r="I4346">
            <v>828002512</v>
          </cell>
          <cell r="J4346" t="str">
            <v>CENTRO EDUCATIVO SALAMINA</v>
          </cell>
          <cell r="K4346">
            <v>13788174</v>
          </cell>
        </row>
        <row r="4347">
          <cell r="I4347">
            <v>828002513</v>
          </cell>
          <cell r="J4347" t="str">
            <v>CENTRO EDUCATIVO RURAL EL DIVISO</v>
          </cell>
          <cell r="K4347">
            <v>26430641</v>
          </cell>
        </row>
        <row r="4348">
          <cell r="I4348">
            <v>828002517</v>
          </cell>
          <cell r="J4348" t="str">
            <v>CENTRO EDUCATIVO LA SOMBRA</v>
          </cell>
          <cell r="K4348">
            <v>26346925</v>
          </cell>
        </row>
        <row r="4349">
          <cell r="I4349">
            <v>828002547</v>
          </cell>
          <cell r="J4349" t="str">
            <v>INSTITUCION EDUCATIVA RURAL GUILLERMO RIO MEJIA</v>
          </cell>
          <cell r="K4349">
            <v>18833740</v>
          </cell>
        </row>
        <row r="4350">
          <cell r="I4350">
            <v>828002668</v>
          </cell>
          <cell r="J4350" t="str">
            <v>CENTRO EDUCATIVO BOLIVIA</v>
          </cell>
          <cell r="K4350">
            <v>14327516</v>
          </cell>
        </row>
        <row r="4351">
          <cell r="I4351">
            <v>828002671</v>
          </cell>
          <cell r="J4351" t="str">
            <v>CENTRO EDUCATIVO SANTA FE DEL CAGUAN</v>
          </cell>
          <cell r="K4351">
            <v>35311293</v>
          </cell>
        </row>
        <row r="4352">
          <cell r="I4352">
            <v>828002674</v>
          </cell>
          <cell r="J4352" t="str">
            <v>CENTRO EDUCATIVO MIRAVALLE SANTROPEL</v>
          </cell>
          <cell r="K4352">
            <v>14074686</v>
          </cell>
        </row>
        <row r="4353">
          <cell r="I4353">
            <v>828002677</v>
          </cell>
          <cell r="J4353" t="str">
            <v>INSTITUCION EDUCATIVA SANTIAGO DE LA SELVA</v>
          </cell>
          <cell r="K4353">
            <v>22468083</v>
          </cell>
        </row>
        <row r="4354">
          <cell r="I4354">
            <v>828002678</v>
          </cell>
          <cell r="J4354" t="str">
            <v>INSTITUCION EDUCATIVA ANGEL RICARDO ACOSTA</v>
          </cell>
          <cell r="K4354">
            <v>45824957</v>
          </cell>
        </row>
        <row r="4355">
          <cell r="I4355">
            <v>828002684</v>
          </cell>
          <cell r="J4355" t="str">
            <v>CENTRO EDUCATIVO JUAN XXIII</v>
          </cell>
          <cell r="K4355">
            <v>16206132</v>
          </cell>
        </row>
        <row r="4356">
          <cell r="I4356">
            <v>828002685</v>
          </cell>
          <cell r="J4356" t="str">
            <v>CENTRO EDUCATIVO PALMARITO</v>
          </cell>
          <cell r="K4356">
            <v>8829630</v>
          </cell>
        </row>
        <row r="4357">
          <cell r="I4357">
            <v>828002694</v>
          </cell>
          <cell r="J4357" t="str">
            <v>CENTRO EDUCATIVO LA NOVIA</v>
          </cell>
          <cell r="K4357">
            <v>26903004</v>
          </cell>
        </row>
        <row r="4358">
          <cell r="I4358">
            <v>828002703</v>
          </cell>
          <cell r="J4358" t="str">
            <v>CENTRO EDUCATIVO MARIA AUXILIADORA</v>
          </cell>
          <cell r="K4358">
            <v>12716623</v>
          </cell>
        </row>
        <row r="4359">
          <cell r="I4359">
            <v>828002716</v>
          </cell>
          <cell r="J4359" t="str">
            <v>CENTRO EDUCATIVO LOS CRISTALES</v>
          </cell>
          <cell r="K4359">
            <v>23301978</v>
          </cell>
        </row>
        <row r="4360">
          <cell r="I4360">
            <v>828002740</v>
          </cell>
          <cell r="J4360" t="str">
            <v>CENTRO EDUCATIVO LA FLORIDA</v>
          </cell>
          <cell r="K4360">
            <v>25959878</v>
          </cell>
        </row>
        <row r="4361">
          <cell r="I4361">
            <v>828002751</v>
          </cell>
          <cell r="J4361" t="str">
            <v>INSTITUCION EDUCATIVA JOSE ANTONIO GALAN</v>
          </cell>
          <cell r="K4361">
            <v>32881377</v>
          </cell>
        </row>
        <row r="4362">
          <cell r="I4362">
            <v>828002757</v>
          </cell>
          <cell r="J4362" t="str">
            <v>CENTRO EDUCATIVO VILLA LUZ</v>
          </cell>
          <cell r="K4362">
            <v>37928128</v>
          </cell>
        </row>
        <row r="4363">
          <cell r="I4363">
            <v>828002832</v>
          </cell>
          <cell r="J4363" t="str">
            <v>CENTRO EDUCATIVO GUAYABAL</v>
          </cell>
          <cell r="K4363">
            <v>21823372</v>
          </cell>
        </row>
        <row r="4364">
          <cell r="I4364">
            <v>828002835</v>
          </cell>
          <cell r="J4364" t="str">
            <v>CENTRO EDUCATIVO SANTANA RAMOS</v>
          </cell>
          <cell r="K4364">
            <v>19287278</v>
          </cell>
        </row>
        <row r="4365">
          <cell r="I4365">
            <v>829000293</v>
          </cell>
          <cell r="J4365" t="str">
            <v>Instituto Veintiseis de Marzo</v>
          </cell>
          <cell r="K4365">
            <v>90563626</v>
          </cell>
        </row>
        <row r="4366">
          <cell r="I4366">
            <v>829000416</v>
          </cell>
          <cell r="J4366" t="str">
            <v>FONDO DE SERVICIOS EDUCATIVOS</v>
          </cell>
          <cell r="K4366">
            <v>59818561</v>
          </cell>
        </row>
        <row r="4367">
          <cell r="I4367">
            <v>829000456</v>
          </cell>
          <cell r="J4367" t="str">
            <v>Colegio Jhon F. Kennedy</v>
          </cell>
          <cell r="K4367">
            <v>157265384</v>
          </cell>
        </row>
        <row r="4368">
          <cell r="I4368">
            <v>829000548</v>
          </cell>
          <cell r="J4368" t="str">
            <v>Colegio Jose Antonio Galan</v>
          </cell>
          <cell r="K4368">
            <v>79358830</v>
          </cell>
        </row>
        <row r="4369">
          <cell r="I4369">
            <v>829000608</v>
          </cell>
          <cell r="J4369" t="str">
            <v>INSTITUTO TECNICO EN COMUNICACIÓN BARRANCABERMEJA</v>
          </cell>
          <cell r="K4369">
            <v>54549628</v>
          </cell>
        </row>
        <row r="4370">
          <cell r="I4370">
            <v>829000731</v>
          </cell>
          <cell r="J4370" t="str">
            <v>Fondo de Servicios Docente Colegio San Marcos</v>
          </cell>
          <cell r="K4370">
            <v>53363740</v>
          </cell>
        </row>
        <row r="4371">
          <cell r="I4371">
            <v>829000759</v>
          </cell>
          <cell r="J4371" t="str">
            <v>COLEGIO AGROPECUARIO PUENTE SOGAMOSO</v>
          </cell>
          <cell r="K4371">
            <v>91755254</v>
          </cell>
        </row>
        <row r="4372">
          <cell r="I4372">
            <v>829000791</v>
          </cell>
          <cell r="J4372" t="str">
            <v>Colegio Real de Mares</v>
          </cell>
          <cell r="K4372">
            <v>75648133</v>
          </cell>
        </row>
        <row r="4373">
          <cell r="I4373">
            <v>829000844</v>
          </cell>
          <cell r="J4373" t="str">
            <v>Colegio Agropecuario la Fortuna</v>
          </cell>
          <cell r="K4373">
            <v>63520764</v>
          </cell>
        </row>
        <row r="4374">
          <cell r="I4374">
            <v>829000858</v>
          </cell>
          <cell r="J4374" t="str">
            <v>COLEGIO NUESTRA SEÑORA DE LA PAZ</v>
          </cell>
          <cell r="K4374">
            <v>84038723</v>
          </cell>
        </row>
        <row r="4375">
          <cell r="I4375">
            <v>829000864</v>
          </cell>
          <cell r="J4375" t="str">
            <v>INSTITUCION EDUCATIVA LA INTEGRADA</v>
          </cell>
          <cell r="K4375">
            <v>158958841</v>
          </cell>
        </row>
        <row r="4376">
          <cell r="I4376">
            <v>829001172</v>
          </cell>
          <cell r="J4376" t="str">
            <v>INST EDUCATIVA TEC IND Y AGRO JOSE MARIA VARGAS VILA</v>
          </cell>
          <cell r="K4376">
            <v>103286409</v>
          </cell>
        </row>
        <row r="4377">
          <cell r="I4377">
            <v>829001286</v>
          </cell>
          <cell r="J4377" t="str">
            <v>INSTITUCION EDUCATIVA EL DIQUE</v>
          </cell>
          <cell r="K4377">
            <v>35731915</v>
          </cell>
        </row>
        <row r="4378">
          <cell r="I4378">
            <v>829001650</v>
          </cell>
          <cell r="J4378" t="str">
            <v>INSTITUCION EDUCATIVA PALMIRA</v>
          </cell>
          <cell r="K4378">
            <v>38641495</v>
          </cell>
        </row>
        <row r="4379">
          <cell r="I4379">
            <v>829002152</v>
          </cell>
          <cell r="J4379" t="str">
            <v>COLEGIO DEPARTAMENTAL INTEGRADO YARIMA</v>
          </cell>
          <cell r="K4379">
            <v>62055171</v>
          </cell>
        </row>
        <row r="4380">
          <cell r="I4380">
            <v>829002186</v>
          </cell>
          <cell r="J4380" t="str">
            <v>COLEGIO DEPARTAMENTAL LAS MONTOYAS</v>
          </cell>
          <cell r="K4380">
            <v>43342152</v>
          </cell>
        </row>
        <row r="4381">
          <cell r="I4381">
            <v>829002450</v>
          </cell>
          <cell r="J4381" t="str">
            <v>Institución Educativa el Castillo</v>
          </cell>
          <cell r="K4381">
            <v>147747794</v>
          </cell>
        </row>
        <row r="4382">
          <cell r="I4382">
            <v>829002496</v>
          </cell>
          <cell r="J4382" t="str">
            <v>CENTRO EDUCATIVO GUAMALES</v>
          </cell>
          <cell r="K4382">
            <v>14708558</v>
          </cell>
        </row>
        <row r="4383">
          <cell r="I4383">
            <v>829002678</v>
          </cell>
          <cell r="J4383" t="str">
            <v>INSTITUCION EDUCATIVA TECNICA AGROPECUARIA VICENTE HONDARZA</v>
          </cell>
          <cell r="K4383">
            <v>121621477</v>
          </cell>
        </row>
        <row r="4384">
          <cell r="I4384">
            <v>829002862</v>
          </cell>
          <cell r="J4384" t="str">
            <v>INSTITUCION EDUCATIVA DE MICOAHUMADO</v>
          </cell>
          <cell r="K4384">
            <v>43010142</v>
          </cell>
        </row>
        <row r="4385">
          <cell r="I4385">
            <v>829003110</v>
          </cell>
          <cell r="J4385" t="str">
            <v>Institución San Rafael de Chucuri</v>
          </cell>
          <cell r="K4385">
            <v>19587310</v>
          </cell>
        </row>
        <row r="4386">
          <cell r="I4386">
            <v>829003128</v>
          </cell>
          <cell r="J4386" t="str">
            <v>INS. EDUCATIVA DE BODEGA CENTRAL MORALES BOLIVAR</v>
          </cell>
          <cell r="K4386">
            <v>38282048</v>
          </cell>
        </row>
        <row r="4387">
          <cell r="I4387">
            <v>829003367</v>
          </cell>
          <cell r="J4387" t="str">
            <v>Ciudadela Educativa del Magdalena Medio</v>
          </cell>
          <cell r="K4387">
            <v>278692431</v>
          </cell>
        </row>
        <row r="4388">
          <cell r="I4388">
            <v>829003420</v>
          </cell>
          <cell r="J4388" t="str">
            <v>INSTITUCION EDUCATIVO LA PALMA</v>
          </cell>
          <cell r="K4388">
            <v>63106394</v>
          </cell>
        </row>
        <row r="4389">
          <cell r="I4389">
            <v>829003431</v>
          </cell>
          <cell r="J4389" t="str">
            <v>CENTRO EDUCATIVO BUENAVISTA</v>
          </cell>
          <cell r="K4389">
            <v>38653922</v>
          </cell>
        </row>
        <row r="4390">
          <cell r="I4390">
            <v>829003432</v>
          </cell>
          <cell r="J4390" t="str">
            <v>INSTITUCION EDUCATIVA ACADEMICA Y TECNICA AGROPECUARIA LOS CANELOS</v>
          </cell>
          <cell r="K4390">
            <v>62575108</v>
          </cell>
        </row>
        <row r="4391">
          <cell r="I4391">
            <v>829003462</v>
          </cell>
          <cell r="J4391" t="str">
            <v>CENTRO EDUCATIVO SAN LUCAS</v>
          </cell>
          <cell r="K4391">
            <v>83484028</v>
          </cell>
        </row>
        <row r="4392">
          <cell r="I4392">
            <v>829003464</v>
          </cell>
          <cell r="J4392" t="str">
            <v>INSTITUCION EDUCATIVA EUTIMIO GUTIERREZ MANJON</v>
          </cell>
          <cell r="K4392">
            <v>114689061</v>
          </cell>
        </row>
        <row r="4393">
          <cell r="I4393">
            <v>829003472</v>
          </cell>
          <cell r="J4393" t="str">
            <v>INSTITUCION EDUCATIVA 27 DE OCTUBRE DE ANIMAS ALTAS</v>
          </cell>
          <cell r="K4393">
            <v>84393981</v>
          </cell>
        </row>
        <row r="4394">
          <cell r="I4394">
            <v>829003479</v>
          </cell>
          <cell r="J4394" t="str">
            <v>CENTRO EDUCATIVO MONTERREY</v>
          </cell>
          <cell r="K4394">
            <v>44335387</v>
          </cell>
        </row>
        <row r="4395">
          <cell r="I4395">
            <v>829003487</v>
          </cell>
          <cell r="J4395" t="str">
            <v>EL CENTRO EDUCATIVO LA ORIGINAL DE LAS BRISAS</v>
          </cell>
          <cell r="K4395">
            <v>19984042</v>
          </cell>
        </row>
        <row r="4396">
          <cell r="I4396">
            <v>829003500</v>
          </cell>
          <cell r="J4396" t="str">
            <v>INSTITUCION EDUCATIVA TECNICA AGROPECUARIA ALFREDO NOBEL</v>
          </cell>
          <cell r="K4396">
            <v>145084253</v>
          </cell>
        </row>
        <row r="4397">
          <cell r="I4397">
            <v>829003501</v>
          </cell>
          <cell r="J4397" t="str">
            <v>CENTRO EDUCATIVO SAN BLAS</v>
          </cell>
          <cell r="K4397">
            <v>18773529</v>
          </cell>
        </row>
        <row r="4398">
          <cell r="I4398">
            <v>829003566</v>
          </cell>
          <cell r="J4398" t="str">
            <v>INSTITUCION EDUCATIVA TECNICA AGROPECUARIA Y COMERCIAL IETAC</v>
          </cell>
          <cell r="K4398">
            <v>201416403</v>
          </cell>
        </row>
        <row r="4399">
          <cell r="I4399">
            <v>829003630</v>
          </cell>
          <cell r="J4399" t="str">
            <v>CENTRO EDUCATIVO SAN BENITO</v>
          </cell>
          <cell r="K4399">
            <v>23474150</v>
          </cell>
        </row>
        <row r="4400">
          <cell r="I4400">
            <v>829003641</v>
          </cell>
          <cell r="J4400" t="str">
            <v>CENTRO EDUCATIVO DE EL CORCOVADO</v>
          </cell>
          <cell r="K4400">
            <v>63757936</v>
          </cell>
        </row>
        <row r="4401">
          <cell r="I4401">
            <v>829003654</v>
          </cell>
          <cell r="J4401" t="str">
            <v>CENTRO EDUCATIVO VILLAFLOR</v>
          </cell>
          <cell r="K4401">
            <v>18704770</v>
          </cell>
        </row>
        <row r="4402">
          <cell r="I4402">
            <v>829003655</v>
          </cell>
          <cell r="J4402" t="str">
            <v>INSTITUCION EDUCATIVA CANALETAL</v>
          </cell>
          <cell r="K4402">
            <v>37058595</v>
          </cell>
        </row>
        <row r="4403">
          <cell r="I4403">
            <v>829003718</v>
          </cell>
          <cell r="J4403" t="str">
            <v>CENTRO EDUCATIVO LA VICTORIA</v>
          </cell>
          <cell r="K4403">
            <v>59992746</v>
          </cell>
        </row>
        <row r="4404">
          <cell r="I4404">
            <v>829003851</v>
          </cell>
          <cell r="J4404" t="str">
            <v>INSTITUCION EDUCATIVA DEL CERRO DE VERACRUZ</v>
          </cell>
          <cell r="K4404">
            <v>36165865</v>
          </cell>
        </row>
        <row r="4405">
          <cell r="I4405">
            <v>829003881</v>
          </cell>
          <cell r="J4405" t="str">
            <v>CENTRO EDUCATIVO FATIMA</v>
          </cell>
          <cell r="K4405">
            <v>13201931</v>
          </cell>
        </row>
        <row r="4406">
          <cell r="I4406">
            <v>829003955</v>
          </cell>
          <cell r="J4406" t="str">
            <v>COLEGIO POZO CUATRO</v>
          </cell>
          <cell r="K4406">
            <v>55796457</v>
          </cell>
        </row>
        <row r="4407">
          <cell r="I4407">
            <v>829004051</v>
          </cell>
          <cell r="J4407" t="str">
            <v>Centro Educativo Pueblo Regao</v>
          </cell>
          <cell r="K4407">
            <v>68839108</v>
          </cell>
        </row>
        <row r="4408">
          <cell r="I4408">
            <v>829004068</v>
          </cell>
          <cell r="J4408" t="str">
            <v>CENTRO EDUCATIVO CAMPO GALAN</v>
          </cell>
          <cell r="K4408">
            <v>26402683</v>
          </cell>
        </row>
        <row r="4409">
          <cell r="I4409">
            <v>829004123</v>
          </cell>
          <cell r="J4409" t="str">
            <v>CENTRO EDUCATIVO SAN JOAQUIN</v>
          </cell>
          <cell r="K4409">
            <v>15098958</v>
          </cell>
        </row>
        <row r="4410">
          <cell r="I4410">
            <v>829004242</v>
          </cell>
          <cell r="J4410" t="str">
            <v>INSTITUCION EDUCATIVA CANTAGALLOS</v>
          </cell>
          <cell r="K4410">
            <v>19802953</v>
          </cell>
        </row>
        <row r="4411">
          <cell r="I4411">
            <v>829004264</v>
          </cell>
          <cell r="J4411" t="str">
            <v>INSTITUCION EDUCATIVA MIRADORES DE LLANA CALIENTE</v>
          </cell>
          <cell r="K4411">
            <v>35257193</v>
          </cell>
        </row>
        <row r="4412">
          <cell r="I4412">
            <v>829004272</v>
          </cell>
          <cell r="J4412" t="str">
            <v>INSTITUCION EDUCATIVA MARIBEL</v>
          </cell>
          <cell r="K4412">
            <v>11901954</v>
          </cell>
        </row>
        <row r="4413">
          <cell r="I4413">
            <v>829004289</v>
          </cell>
          <cell r="J4413" t="str">
            <v>INSTITUCION EDUCATIVA EL RUBI</v>
          </cell>
          <cell r="K4413">
            <v>21921548</v>
          </cell>
        </row>
        <row r="4414">
          <cell r="I4414">
            <v>829004321</v>
          </cell>
          <cell r="J4414" t="str">
            <v>FONDO DE SERVICIOS EDUCATIVOS</v>
          </cell>
          <cell r="K4414">
            <v>83115015</v>
          </cell>
        </row>
        <row r="4415">
          <cell r="I4415">
            <v>829004341</v>
          </cell>
          <cell r="J4415" t="str">
            <v>INSTITUCION EDUCATIVA LA COLORADA</v>
          </cell>
          <cell r="K4415">
            <v>11046030</v>
          </cell>
        </row>
        <row r="4416">
          <cell r="I4416">
            <v>830000292</v>
          </cell>
          <cell r="J4416" t="str">
            <v>i.e.d.magdalena ortega de nariño</v>
          </cell>
          <cell r="K4416">
            <v>141368878</v>
          </cell>
        </row>
        <row r="4417">
          <cell r="I4417">
            <v>830000405</v>
          </cell>
          <cell r="J4417" t="str">
            <v>INSTITUCION EDUCATIVA DISTRITAL  JOSE MARIA CARBONELL</v>
          </cell>
          <cell r="K4417">
            <v>61857321</v>
          </cell>
        </row>
        <row r="4418">
          <cell r="I4418">
            <v>830000639</v>
          </cell>
          <cell r="J4418" t="str">
            <v>FONDO DE SERVICIOS EDUCATIVOS I.E.D FLORENTINO GONZALEZ</v>
          </cell>
          <cell r="K4418">
            <v>119185538</v>
          </cell>
        </row>
        <row r="4419">
          <cell r="I4419">
            <v>830000758</v>
          </cell>
          <cell r="J4419" t="str">
            <v>CEDID CIUDAD BOLIVAR</v>
          </cell>
          <cell r="K4419">
            <v>282388263</v>
          </cell>
        </row>
        <row r="4420">
          <cell r="I4420">
            <v>830001534</v>
          </cell>
          <cell r="J4420" t="str">
            <v>S.F.E.I.D.E. RAFAEL NUÑEZ</v>
          </cell>
          <cell r="K4420">
            <v>88917023</v>
          </cell>
        </row>
        <row r="4421">
          <cell r="I4421">
            <v>830002591</v>
          </cell>
          <cell r="J4421" t="str">
            <v>COLEGIO DISTRITAL ALBERTO LLERAS CAMARGO</v>
          </cell>
          <cell r="K4421">
            <v>224610800</v>
          </cell>
        </row>
        <row r="4422">
          <cell r="I4422">
            <v>830004482</v>
          </cell>
          <cell r="J4422" t="str">
            <v>COLEGIO QUIROGA ALIANZA I.E.D</v>
          </cell>
          <cell r="K4422">
            <v>85285740</v>
          </cell>
        </row>
        <row r="4423">
          <cell r="I4423">
            <v>830004635</v>
          </cell>
          <cell r="J4423" t="str">
            <v>INSTITUCIÓN EDUCATIVA DISTRITAL LA CANDELARIA</v>
          </cell>
          <cell r="K4423">
            <v>80933509</v>
          </cell>
        </row>
        <row r="4424">
          <cell r="I4424">
            <v>830004656</v>
          </cell>
          <cell r="J4424" t="str">
            <v>I.E.D CONFEDERACION BRISAS DEL DIAMENTE</v>
          </cell>
          <cell r="K4424">
            <v>124269461</v>
          </cell>
        </row>
        <row r="4425">
          <cell r="I4425">
            <v>830004667</v>
          </cell>
          <cell r="J4425" t="str">
            <v>INSTITUCION EDUCATIVA DISTRITAL MARCO TULIO FERNÁNDEZ</v>
          </cell>
          <cell r="K4425">
            <v>87641596</v>
          </cell>
        </row>
        <row r="4426">
          <cell r="I4426">
            <v>830007423</v>
          </cell>
          <cell r="J4426" t="str">
            <v>INSTITUCION EDUCATIVA DISTRITAL TOBERIN</v>
          </cell>
          <cell r="K4426">
            <v>162766576</v>
          </cell>
        </row>
        <row r="4427">
          <cell r="I4427">
            <v>830011315</v>
          </cell>
          <cell r="J4427" t="str">
            <v>CENTRO EDUCATIVO DISTRITAL LLANO ORIENTAL</v>
          </cell>
          <cell r="K4427">
            <v>71705372</v>
          </cell>
        </row>
        <row r="4428">
          <cell r="I4428">
            <v>830011495</v>
          </cell>
          <cell r="J4428" t="str">
            <v>COLEGIO INEM FRACISCO DE PAULA SANTAER (IED)</v>
          </cell>
          <cell r="K4428">
            <v>485964558</v>
          </cell>
        </row>
        <row r="4429">
          <cell r="I4429">
            <v>830011856</v>
          </cell>
          <cell r="J4429" t="str">
            <v>COLEGIO DISTRITAL NUEVO HORIZONTE</v>
          </cell>
          <cell r="K4429">
            <v>182659588</v>
          </cell>
        </row>
        <row r="4430">
          <cell r="I4430">
            <v>830012380</v>
          </cell>
          <cell r="J4430" t="str">
            <v>COLEGIO DISTRITAL ESTRELLA DEL SUR</v>
          </cell>
          <cell r="K4430">
            <v>138601916</v>
          </cell>
        </row>
        <row r="4431">
          <cell r="I4431">
            <v>830012617</v>
          </cell>
          <cell r="J4431" t="str">
            <v>INSTITUCION EDUCATIVA DISTRITAL JOSE JOAQUIN CASTRO</v>
          </cell>
          <cell r="K4431">
            <v>91550387</v>
          </cell>
        </row>
        <row r="4432">
          <cell r="I4432">
            <v>830014042</v>
          </cell>
          <cell r="J4432" t="str">
            <v>INSTITUCION EDUCATIVA DISTRITAL TOM ADAMS</v>
          </cell>
          <cell r="K4432">
            <v>163971935</v>
          </cell>
        </row>
        <row r="4433">
          <cell r="I4433">
            <v>830015079</v>
          </cell>
          <cell r="J4433" t="str">
            <v>I.E.D LICEO NACIONAL ANTONIA SANTOS F.S.E</v>
          </cell>
          <cell r="K4433">
            <v>116089935</v>
          </cell>
        </row>
        <row r="4434">
          <cell r="I4434">
            <v>830015178</v>
          </cell>
          <cell r="J4434" t="str">
            <v>INSTITUCION EDUCATIVA DISTRITAL   EL JAPON</v>
          </cell>
          <cell r="K4434">
            <v>149498695</v>
          </cell>
        </row>
        <row r="4435">
          <cell r="I4435">
            <v>830015792</v>
          </cell>
          <cell r="J4435" t="str">
            <v>INSTITUCION EDUCATIVA DISTRITAL  COLOMBIA VIVA</v>
          </cell>
          <cell r="K4435">
            <v>107181626</v>
          </cell>
        </row>
        <row r="4436">
          <cell r="I4436">
            <v>830016596</v>
          </cell>
          <cell r="J4436" t="str">
            <v>INSTITUCION EDUCATIVA DISTRITAL MONTEBELLO</v>
          </cell>
          <cell r="K4436">
            <v>130605536</v>
          </cell>
        </row>
        <row r="4437">
          <cell r="I4437">
            <v>830017442</v>
          </cell>
          <cell r="J4437" t="str">
            <v>INSTITUCION EDUCATIVA DISTRITAL INEM SANTIAGO PEREZ</v>
          </cell>
          <cell r="K4437">
            <v>275543960</v>
          </cell>
        </row>
        <row r="4438">
          <cell r="I4438">
            <v>830018215</v>
          </cell>
          <cell r="J4438" t="str">
            <v>CENTRO EDUCATIVO DISTRITAL PANAMERICANO</v>
          </cell>
          <cell r="K4438">
            <v>27913744</v>
          </cell>
        </row>
        <row r="4439">
          <cell r="I4439">
            <v>830019043</v>
          </cell>
          <cell r="J4439" t="str">
            <v>INSTITUCION EDUCATIVA DISTRITAL  EL JAZMIN</v>
          </cell>
          <cell r="K4439">
            <v>107142344</v>
          </cell>
        </row>
        <row r="4440">
          <cell r="I4440">
            <v>830019146</v>
          </cell>
          <cell r="J4440" t="str">
            <v>COLEGIO DE CULTURA POPULAR IED</v>
          </cell>
          <cell r="K4440">
            <v>98552788</v>
          </cell>
        </row>
        <row r="4441">
          <cell r="I4441">
            <v>830019290</v>
          </cell>
          <cell r="J4441" t="str">
            <v>IED INSTITUTO TECNICO INTERNACIONAL</v>
          </cell>
          <cell r="K4441">
            <v>210502175</v>
          </cell>
        </row>
        <row r="4442">
          <cell r="I4442">
            <v>830020606</v>
          </cell>
          <cell r="J4442" t="str">
            <v>INSTITUCION EDUCATIVA DISTRITAL SANTA BARBARA</v>
          </cell>
          <cell r="K4442">
            <v>102664658</v>
          </cell>
        </row>
        <row r="4443">
          <cell r="I4443">
            <v>830020653</v>
          </cell>
          <cell r="J4443" t="str">
            <v>union europea institucion educativa distrital</v>
          </cell>
          <cell r="K4443">
            <v>136133152</v>
          </cell>
        </row>
        <row r="4444">
          <cell r="I4444">
            <v>830021052</v>
          </cell>
          <cell r="J4444" t="str">
            <v>INSTITUCION EDUCATIVA DISTRITAL COMPARTIR RECUERDO</v>
          </cell>
          <cell r="K4444">
            <v>82338204</v>
          </cell>
        </row>
        <row r="4445">
          <cell r="I4445">
            <v>830021288</v>
          </cell>
          <cell r="J4445" t="str">
            <v>CENTRO EDUCATIVO DISTRITAL DE EDUCACION BASICA Y MEDIA MARSELLA</v>
          </cell>
          <cell r="K4445">
            <v>144263166</v>
          </cell>
        </row>
        <row r="4446">
          <cell r="I4446">
            <v>830021600</v>
          </cell>
          <cell r="J4446" t="str">
            <v>COLEGIO  PORFIRIO BARBA JACOB</v>
          </cell>
          <cell r="K4446">
            <v>211487874</v>
          </cell>
        </row>
        <row r="4447">
          <cell r="I4447">
            <v>830021612</v>
          </cell>
          <cell r="J4447" t="str">
            <v>INSTITUCION EDUCATIVA DISTRITAL  JORGE GAITAN CORTES</v>
          </cell>
          <cell r="K4447">
            <v>96492475</v>
          </cell>
        </row>
        <row r="4448">
          <cell r="I4448">
            <v>830022413</v>
          </cell>
          <cell r="J4448" t="str">
            <v>INSTITUCIÓN EDUCATIVA DISTRITAL  CLASS</v>
          </cell>
          <cell r="K4448">
            <v>221157542</v>
          </cell>
        </row>
        <row r="4449">
          <cell r="I4449">
            <v>830022501</v>
          </cell>
          <cell r="J4449" t="str">
            <v>INSTITUCION EDUCATIVA DISTRITAL PASQUILLA</v>
          </cell>
          <cell r="K4449">
            <v>106457354</v>
          </cell>
        </row>
        <row r="4450">
          <cell r="I4450">
            <v>830022691</v>
          </cell>
          <cell r="J4450" t="str">
            <v>colegio san pedro claver i.e.d.</v>
          </cell>
          <cell r="K4450">
            <v>189256104</v>
          </cell>
        </row>
        <row r="4451">
          <cell r="I4451">
            <v>830022840</v>
          </cell>
          <cell r="J4451" t="str">
            <v>CENTRO EDUCATIVO DISTRITAL CASTILLA</v>
          </cell>
          <cell r="K4451">
            <v>242084210</v>
          </cell>
        </row>
        <row r="4452">
          <cell r="I4452">
            <v>830024124</v>
          </cell>
          <cell r="J4452" t="str">
            <v>CENTRO EDUCATIVO DISTRITAL LOS PINOS</v>
          </cell>
          <cell r="K4452">
            <v>58652908</v>
          </cell>
        </row>
        <row r="4453">
          <cell r="I4453">
            <v>830024200</v>
          </cell>
          <cell r="J4453" t="str">
            <v>I.E.D  CLEMENCIA HOLGUIN DE URDANETA</v>
          </cell>
          <cell r="K4453">
            <v>64855594</v>
          </cell>
        </row>
        <row r="4454">
          <cell r="I4454">
            <v>830024372</v>
          </cell>
          <cell r="J4454" t="str">
            <v>CENTRO EDUCATIVO DIST BERNARDO JARAMILLO</v>
          </cell>
          <cell r="K4454">
            <v>132323124</v>
          </cell>
        </row>
        <row r="4455">
          <cell r="I4455">
            <v>830024495</v>
          </cell>
          <cell r="J4455" t="str">
            <v>INSTITUCION EDUCATIVA DISTRITAL LA GAITANA</v>
          </cell>
          <cell r="K4455">
            <v>150602646</v>
          </cell>
        </row>
        <row r="4456">
          <cell r="I4456">
            <v>830024664</v>
          </cell>
          <cell r="J4456" t="str">
            <v>CENTRO EDUCATIVO DISTRITAL  BRASILIA USME</v>
          </cell>
          <cell r="K4456">
            <v>90335751</v>
          </cell>
        </row>
        <row r="4457">
          <cell r="I4457">
            <v>830024694</v>
          </cell>
          <cell r="J4457" t="str">
            <v>FONDO EDUCATIVO DISTRITAL I.E.D VEINTE DE JULIO</v>
          </cell>
          <cell r="K4457">
            <v>76467402</v>
          </cell>
        </row>
        <row r="4458">
          <cell r="I4458">
            <v>830024976</v>
          </cell>
          <cell r="J4458" t="str">
            <v>F.S.E  I.E.D ARBORIZADORA BAJA</v>
          </cell>
          <cell r="K4458">
            <v>162803358</v>
          </cell>
        </row>
        <row r="4459">
          <cell r="I4459">
            <v>830025608</v>
          </cell>
          <cell r="J4459" t="str">
            <v>INSTITUCION EDUCATIVA DISTRITAL PAULO  VI</v>
          </cell>
          <cell r="K4459">
            <v>182187696</v>
          </cell>
        </row>
        <row r="4460">
          <cell r="I4460">
            <v>830026136</v>
          </cell>
          <cell r="J4460" t="str">
            <v>CENTRO EDUCATIVO DISTRITAL PABLO DE TARSO</v>
          </cell>
          <cell r="K4460">
            <v>209945775</v>
          </cell>
        </row>
        <row r="4461">
          <cell r="I4461">
            <v>830026578</v>
          </cell>
          <cell r="J4461" t="str">
            <v>INSTITUCION EDUCATIVA DISTRITAL FRANCISCO DE MIRANDA</v>
          </cell>
          <cell r="K4461">
            <v>115655755</v>
          </cell>
        </row>
        <row r="4462">
          <cell r="I4462">
            <v>830028542</v>
          </cell>
          <cell r="J4462" t="str">
            <v>INSTITUCION EDUCATIVA DISTRITAL CARLOS ALBAN HOLGUIN</v>
          </cell>
          <cell r="K4462">
            <v>369531520</v>
          </cell>
        </row>
        <row r="4463">
          <cell r="I4463">
            <v>830029869</v>
          </cell>
          <cell r="J4463" t="str">
            <v>CED EL SALITRE SUBA</v>
          </cell>
          <cell r="K4463">
            <v>234233038</v>
          </cell>
        </row>
        <row r="4464">
          <cell r="I4464">
            <v>830031860</v>
          </cell>
          <cell r="J4464" t="str">
            <v>COLEGIO DISTRITAL VILLEMAR EL CARMEN</v>
          </cell>
          <cell r="K4464">
            <v>219757961</v>
          </cell>
        </row>
        <row r="4465">
          <cell r="I4465">
            <v>830033089</v>
          </cell>
          <cell r="J4465" t="str">
            <v>CENTRO EDUCATIVO DISTRITAL VILLA ELISA</v>
          </cell>
          <cell r="K4465">
            <v>131736991</v>
          </cell>
        </row>
        <row r="4466">
          <cell r="I4466">
            <v>830033256</v>
          </cell>
          <cell r="J4466" t="str">
            <v>INSTITUCION EDUCATIVA DISTRITAL ANTONIO VAN UDEN</v>
          </cell>
          <cell r="K4466">
            <v>166087349</v>
          </cell>
        </row>
        <row r="4467">
          <cell r="I4467">
            <v>830033575</v>
          </cell>
          <cell r="J4467" t="str">
            <v>CENTRO EDUCATIVO DISTRITAL GUILLERMO LEON VALENCIA</v>
          </cell>
          <cell r="K4467">
            <v>43665958</v>
          </cell>
        </row>
        <row r="4468">
          <cell r="I4468">
            <v>830033738</v>
          </cell>
          <cell r="J4468" t="str">
            <v>COLEGIO EDUCATIVO RAMON DE ZUBIRIA</v>
          </cell>
          <cell r="K4468">
            <v>218401877</v>
          </cell>
        </row>
        <row r="4469">
          <cell r="I4469">
            <v>830034079</v>
          </cell>
          <cell r="J4469" t="str">
            <v>I.E.D EDO STOS FOND SERV EDUC</v>
          </cell>
          <cell r="K4469">
            <v>99137380</v>
          </cell>
        </row>
        <row r="4470">
          <cell r="I4470">
            <v>830034182</v>
          </cell>
          <cell r="J4470" t="str">
            <v>COLEGIO REPUBLICA FEDERAL DE ALEMANIA</v>
          </cell>
          <cell r="K4470">
            <v>49762125</v>
          </cell>
        </row>
        <row r="4471">
          <cell r="I4471">
            <v>830034353</v>
          </cell>
          <cell r="J4471" t="str">
            <v>IED REPUBLICA BOLIVARIANA DE VENEZUELA</v>
          </cell>
          <cell r="K4471">
            <v>72852824</v>
          </cell>
        </row>
        <row r="4472">
          <cell r="I4472">
            <v>830034603</v>
          </cell>
          <cell r="J4472" t="str">
            <v>I.E.D MANUEL DEL SOCORRO RODRIGUEZ</v>
          </cell>
          <cell r="K4472">
            <v>161798627</v>
          </cell>
        </row>
        <row r="4473">
          <cell r="I4473">
            <v>830034722</v>
          </cell>
          <cell r="J4473" t="str">
            <v>INSTITUTO EDUCATIVO DISTRITAL  NUEVA ZELANDIA</v>
          </cell>
          <cell r="K4473">
            <v>98283135</v>
          </cell>
        </row>
        <row r="4474">
          <cell r="I4474">
            <v>830034928</v>
          </cell>
          <cell r="J4474" t="str">
            <v>INSTITUCION EDUCATIVA DISTRITAL RODRIGO ARENAS BETANCOURT</v>
          </cell>
          <cell r="K4474">
            <v>130297649</v>
          </cell>
        </row>
        <row r="4475">
          <cell r="I4475">
            <v>830035023</v>
          </cell>
          <cell r="J4475" t="str">
            <v>FONSED CED SANTA MARTHA</v>
          </cell>
          <cell r="K4475">
            <v>72947129</v>
          </cell>
        </row>
        <row r="4476">
          <cell r="I4476">
            <v>830035113</v>
          </cell>
          <cell r="J4476" t="str">
            <v>CED PALERMO SUR</v>
          </cell>
          <cell r="K4476">
            <v>90174572</v>
          </cell>
        </row>
        <row r="4477">
          <cell r="I4477">
            <v>830035257</v>
          </cell>
          <cell r="J4477" t="str">
            <v>INSTITUTO EDUCATIVO DISTRITAL MORISCO</v>
          </cell>
          <cell r="K4477">
            <v>79069526</v>
          </cell>
        </row>
        <row r="4478">
          <cell r="I4478">
            <v>830035327</v>
          </cell>
          <cell r="J4478" t="str">
            <v>INSTITUCION EDUCATIVA DISTRITAL BRASILIA</v>
          </cell>
          <cell r="K4478">
            <v>246110765</v>
          </cell>
        </row>
        <row r="4479">
          <cell r="I4479">
            <v>830035369</v>
          </cell>
          <cell r="J4479" t="str">
            <v>F.S.E DE LA IED SAN JOSE S.O</v>
          </cell>
          <cell r="K4479">
            <v>76889655</v>
          </cell>
        </row>
        <row r="4480">
          <cell r="I4480">
            <v>830035405</v>
          </cell>
          <cell r="J4480" t="str">
            <v>FONDO DE SERVICIOS EDUCATIVOS I.E.D   NUEVO CHILE</v>
          </cell>
          <cell r="K4480">
            <v>218060362</v>
          </cell>
        </row>
        <row r="4481">
          <cell r="I4481">
            <v>830035460</v>
          </cell>
          <cell r="J4481" t="str">
            <v>COLEGIO MARRUECOS Y MOLINOS</v>
          </cell>
          <cell r="K4481">
            <v>219464272</v>
          </cell>
        </row>
        <row r="4482">
          <cell r="I4482">
            <v>830035719</v>
          </cell>
          <cell r="J4482" t="str">
            <v>INSTITUCION EDUCATIVA DISTRITAL ALQUERIA LA FRAGUA</v>
          </cell>
          <cell r="K4482">
            <v>52412842</v>
          </cell>
        </row>
        <row r="4483">
          <cell r="I4483">
            <v>830036082</v>
          </cell>
          <cell r="J4483" t="str">
            <v>INSTITUCION EDUCATIVA DISTRITAL SAN JOSE NORTE</v>
          </cell>
          <cell r="K4483">
            <v>104228546</v>
          </cell>
        </row>
        <row r="4484">
          <cell r="I4484">
            <v>830036150</v>
          </cell>
          <cell r="J4484" t="str">
            <v>I.ED NUEVA DELHI</v>
          </cell>
          <cell r="K4484">
            <v>67253294</v>
          </cell>
        </row>
        <row r="4485">
          <cell r="I4485">
            <v>830036221</v>
          </cell>
          <cell r="J4485" t="str">
            <v>CENTRO EDUCATIVO DISTRITAL ATENAS</v>
          </cell>
          <cell r="K4485">
            <v>54160859</v>
          </cell>
        </row>
        <row r="4486">
          <cell r="I4486">
            <v>830036283</v>
          </cell>
          <cell r="J4486" t="str">
            <v>INSTITUTO EDUCATIVO FEDERICO GARCIA LORCA</v>
          </cell>
          <cell r="K4486">
            <v>172920978</v>
          </cell>
        </row>
        <row r="4487">
          <cell r="I4487">
            <v>830036325</v>
          </cell>
          <cell r="J4487" t="str">
            <v>INSTITUCION EDUCATIVA DISTRITAL  ALFREDO IRIARTE</v>
          </cell>
          <cell r="K4487">
            <v>166194949</v>
          </cell>
        </row>
        <row r="4488">
          <cell r="I4488">
            <v>830036424</v>
          </cell>
          <cell r="J4488" t="str">
            <v>IED TIBABUYES UNIVERSAL</v>
          </cell>
          <cell r="K4488">
            <v>261495649</v>
          </cell>
        </row>
        <row r="4489">
          <cell r="I4489">
            <v>830036664</v>
          </cell>
          <cell r="J4489" t="str">
            <v>F.S.E   I.E.D   PARAISO DE MANUELA BELTRAN</v>
          </cell>
          <cell r="K4489">
            <v>165368108</v>
          </cell>
        </row>
        <row r="4490">
          <cell r="I4490">
            <v>830036734</v>
          </cell>
          <cell r="J4490" t="str">
            <v>INSTITUCION EDUCATIVA DISTRITAL PALERMO  IEDIP</v>
          </cell>
          <cell r="K4490">
            <v>114789748</v>
          </cell>
        </row>
        <row r="4491">
          <cell r="I4491">
            <v>830036775</v>
          </cell>
          <cell r="J4491" t="str">
            <v>C.E.D LUIS LOPEZ DE MESA</v>
          </cell>
          <cell r="K4491">
            <v>215561195</v>
          </cell>
        </row>
        <row r="4492">
          <cell r="I4492">
            <v>830037015</v>
          </cell>
          <cell r="J4492" t="str">
            <v>institucion educativa distrital san martin de porres</v>
          </cell>
          <cell r="K4492">
            <v>26873016</v>
          </cell>
        </row>
        <row r="4493">
          <cell r="I4493">
            <v>830037220</v>
          </cell>
          <cell r="J4493" t="str">
            <v>fondo de servicios educativos  institucion educativa distrital la floresta sur</v>
          </cell>
          <cell r="K4493">
            <v>108722208</v>
          </cell>
        </row>
        <row r="4494">
          <cell r="I4494">
            <v>830037517</v>
          </cell>
          <cell r="J4494" t="str">
            <v>INSTITUCION EDUCATIVA DISTRITAL PRADO VERANIEGO</v>
          </cell>
          <cell r="K4494">
            <v>118615696</v>
          </cell>
        </row>
        <row r="4495">
          <cell r="I4495">
            <v>830037518</v>
          </cell>
          <cell r="J4495" t="str">
            <v>INSTITUCION EDUCATIVA DISTRITAL LA TOSCANA LISBOA</v>
          </cell>
          <cell r="K4495">
            <v>147484649</v>
          </cell>
        </row>
        <row r="4496">
          <cell r="I4496">
            <v>830037528</v>
          </cell>
          <cell r="J4496" t="str">
            <v>COLEGIO  ALVARO GOMEZ HURTADO</v>
          </cell>
          <cell r="K4496">
            <v>223216016</v>
          </cell>
        </row>
        <row r="4497">
          <cell r="I4497">
            <v>830037558</v>
          </cell>
          <cell r="J4497" t="str">
            <v>C.E.D  AGUAS CLARAS</v>
          </cell>
          <cell r="K4497">
            <v>9959702</v>
          </cell>
        </row>
        <row r="4498">
          <cell r="I4498">
            <v>830037627</v>
          </cell>
          <cell r="J4498" t="str">
            <v>INSTITUCIÓN EDUCATIVA DISTRITAL ACACIA II</v>
          </cell>
          <cell r="K4498">
            <v>190437288</v>
          </cell>
        </row>
        <row r="4499">
          <cell r="I4499">
            <v>830037739</v>
          </cell>
          <cell r="J4499" t="str">
            <v>COLEGIO VEINTIUN ANGELES I.E.D</v>
          </cell>
          <cell r="K4499">
            <v>209902750</v>
          </cell>
        </row>
        <row r="4500">
          <cell r="I4500">
            <v>830037868</v>
          </cell>
          <cell r="J4500" t="str">
            <v>INSTITUCION EDUCATIVA DISTRITAL REPUBLICA DE CHINA</v>
          </cell>
          <cell r="K4500">
            <v>130322224</v>
          </cell>
        </row>
        <row r="4501">
          <cell r="I4501">
            <v>830038017</v>
          </cell>
          <cell r="J4501" t="str">
            <v>COLEGIO IED AULAS COLOMBIANAS SAN LUIS</v>
          </cell>
          <cell r="K4501">
            <v>80972913</v>
          </cell>
        </row>
        <row r="4502">
          <cell r="I4502">
            <v>830038081</v>
          </cell>
          <cell r="J4502" t="str">
            <v>INSTITUCION EDUCATIVA DISTRITAL SIMON BOLIVAR</v>
          </cell>
          <cell r="K4502">
            <v>102878874</v>
          </cell>
        </row>
        <row r="4503">
          <cell r="I4503">
            <v>830038383</v>
          </cell>
          <cell r="J4503" t="str">
            <v>FONSED CED JOSE ANTONIO GALAN</v>
          </cell>
          <cell r="K4503">
            <v>133164338</v>
          </cell>
        </row>
        <row r="4504">
          <cell r="I4504">
            <v>830038553</v>
          </cell>
          <cell r="J4504" t="str">
            <v>COLEGIO REPUBLICA DOMINICANA</v>
          </cell>
          <cell r="K4504">
            <v>358575490</v>
          </cell>
        </row>
        <row r="4505">
          <cell r="I4505">
            <v>830038594</v>
          </cell>
          <cell r="J4505" t="str">
            <v>INSTITUCION EDUCATIVA DISTRITAL NUEVA COLOMBIA</v>
          </cell>
          <cell r="K4505">
            <v>176778847</v>
          </cell>
        </row>
        <row r="4506">
          <cell r="I4506">
            <v>830038930</v>
          </cell>
          <cell r="J4506" t="str">
            <v>COLEGIO EL CORTIJO VIANEY</v>
          </cell>
          <cell r="K4506">
            <v>92304665</v>
          </cell>
        </row>
        <row r="4507">
          <cell r="I4507">
            <v>830039128</v>
          </cell>
          <cell r="J4507" t="str">
            <v>FONDO DE SERVICIOS DOCENTES C.E.D EL MOTORISTA</v>
          </cell>
          <cell r="K4507">
            <v>27172578</v>
          </cell>
        </row>
        <row r="4508">
          <cell r="I4508">
            <v>830039170</v>
          </cell>
          <cell r="J4508" t="str">
            <v>colegio vista bella</v>
          </cell>
          <cell r="K4508">
            <v>110215351</v>
          </cell>
        </row>
        <row r="4509">
          <cell r="I4509">
            <v>830039235</v>
          </cell>
          <cell r="J4509" t="str">
            <v>colegio sierra morena i.e.d.</v>
          </cell>
          <cell r="K4509">
            <v>289599085</v>
          </cell>
        </row>
        <row r="4510">
          <cell r="I4510">
            <v>830039797</v>
          </cell>
          <cell r="J4510" t="str">
            <v>el colegio f.s.e.isla del sol i.e.d.</v>
          </cell>
          <cell r="K4510">
            <v>78226987</v>
          </cell>
        </row>
        <row r="4511">
          <cell r="I4511">
            <v>830040006</v>
          </cell>
          <cell r="J4511" t="str">
            <v>FONDO DE SERVICIOS EDUCATIVOS IED SOTAVENTO</v>
          </cell>
          <cell r="K4511">
            <v>67777809</v>
          </cell>
        </row>
        <row r="4512">
          <cell r="I4512">
            <v>830040577</v>
          </cell>
          <cell r="J4512" t="str">
            <v>COLEGIO CIUDAD DE VILLAVICENCIO O COLEGIO PUERTA AL LLANO</v>
          </cell>
          <cell r="K4512">
            <v>160950734</v>
          </cell>
        </row>
        <row r="4513">
          <cell r="I4513">
            <v>830040605</v>
          </cell>
          <cell r="J4513" t="str">
            <v>I.E.D VERJON BAJO</v>
          </cell>
          <cell r="K4513">
            <v>24063602</v>
          </cell>
        </row>
        <row r="4514">
          <cell r="I4514">
            <v>830040832</v>
          </cell>
          <cell r="J4514" t="str">
            <v>INSTITUCION EDUCATIVA DISTRITAL QUIBA ALTA</v>
          </cell>
          <cell r="K4514">
            <v>97753745</v>
          </cell>
        </row>
        <row r="4515">
          <cell r="I4515">
            <v>830040873</v>
          </cell>
          <cell r="J4515" t="str">
            <v>INSTITUCION EDUCATIVA DISTRITAL PARAISO MIRADOR</v>
          </cell>
          <cell r="K4515">
            <v>141200351</v>
          </cell>
        </row>
        <row r="4516">
          <cell r="I4516">
            <v>830041431</v>
          </cell>
          <cell r="J4516" t="str">
            <v>INSTITUCION EDUCATIVA DISTRITAL ISABEL II</v>
          </cell>
          <cell r="K4516">
            <v>157059550</v>
          </cell>
        </row>
        <row r="4517">
          <cell r="I4517">
            <v>830041513</v>
          </cell>
          <cell r="J4517" t="str">
            <v>INSTITUCION EDUCATIVA DISTRITAL COMUNEROS OSWALDO GUAYASAMIN</v>
          </cell>
          <cell r="K4517">
            <v>134701959</v>
          </cell>
        </row>
        <row r="4518">
          <cell r="I4518">
            <v>830041525</v>
          </cell>
          <cell r="J4518" t="str">
            <v>IED ISMAEL PERDOMO</v>
          </cell>
          <cell r="K4518">
            <v>155904080</v>
          </cell>
        </row>
        <row r="4519">
          <cell r="I4519">
            <v>830041646</v>
          </cell>
          <cell r="J4519" t="str">
            <v>CENTRO EDUCATIVO DISTRITAL MOCHUELO ALTO</v>
          </cell>
          <cell r="K4519">
            <v>31885056</v>
          </cell>
        </row>
        <row r="4520">
          <cell r="I4520">
            <v>830041647</v>
          </cell>
          <cell r="J4520" t="str">
            <v>COLEGIO RURAL JOSE CELESTINO MUTIS</v>
          </cell>
          <cell r="K4520">
            <v>154865267</v>
          </cell>
        </row>
        <row r="4521">
          <cell r="I4521">
            <v>830041796</v>
          </cell>
          <cell r="J4521" t="str">
            <v>F.S.E.  CED   EL  UVAL</v>
          </cell>
          <cell r="K4521">
            <v>68306013</v>
          </cell>
        </row>
        <row r="4522">
          <cell r="I4522">
            <v>830041897</v>
          </cell>
          <cell r="J4522" t="str">
            <v>IED NUEVA ESPERANZA</v>
          </cell>
          <cell r="K4522">
            <v>93649076</v>
          </cell>
        </row>
        <row r="4523">
          <cell r="I4523">
            <v>830042189</v>
          </cell>
          <cell r="J4523" t="str">
            <v>INSTITUCION EDUCATIVA DISTRITAL LA VICTORIA</v>
          </cell>
          <cell r="K4523">
            <v>130903736</v>
          </cell>
        </row>
        <row r="4524">
          <cell r="I4524">
            <v>830042396</v>
          </cell>
          <cell r="J4524" t="str">
            <v>INSTITUCION EDUCATIVA DISTRITAL LOS TEJARES</v>
          </cell>
          <cell r="K4524">
            <v>71719252</v>
          </cell>
        </row>
        <row r="4525">
          <cell r="I4525">
            <v>830042690</v>
          </cell>
          <cell r="J4525" t="str">
            <v>INSTITUCION EDUCATIVA DISTRITAL  LA CHUCUA</v>
          </cell>
          <cell r="K4525">
            <v>119900712</v>
          </cell>
        </row>
        <row r="4526">
          <cell r="I4526">
            <v>830042946</v>
          </cell>
          <cell r="J4526" t="str">
            <v>INSTITUCION   EDUCATIVA  DISTRITAL ATAHUALPA</v>
          </cell>
          <cell r="K4526">
            <v>89880175</v>
          </cell>
        </row>
        <row r="4527">
          <cell r="I4527">
            <v>830043069</v>
          </cell>
          <cell r="J4527" t="str">
            <v>CENTRO EDUCATIVO ANTONIO JOSE DE SUCRE</v>
          </cell>
          <cell r="K4527">
            <v>34146719</v>
          </cell>
        </row>
        <row r="4528">
          <cell r="I4528">
            <v>830043680</v>
          </cell>
          <cell r="J4528" t="str">
            <v>colegio francisco javier matiz i.e.d.</v>
          </cell>
          <cell r="K4528">
            <v>106410636</v>
          </cell>
        </row>
        <row r="4529">
          <cell r="I4529">
            <v>830043788</v>
          </cell>
          <cell r="J4529" t="str">
            <v>INSTITUCION EDUCATIVA DISTRITAL NACIONES UNIDAS</v>
          </cell>
          <cell r="K4529">
            <v>57109663</v>
          </cell>
        </row>
        <row r="4530">
          <cell r="I4530">
            <v>830044056</v>
          </cell>
          <cell r="J4530" t="str">
            <v>I.E.D  JUAN REY</v>
          </cell>
          <cell r="K4530">
            <v>61435777</v>
          </cell>
        </row>
        <row r="4531">
          <cell r="I4531">
            <v>830044078</v>
          </cell>
          <cell r="J4531" t="str">
            <v>I.E.D  SAN FRANCISCO LA CASONA</v>
          </cell>
          <cell r="K4531">
            <v>183009177</v>
          </cell>
        </row>
        <row r="4532">
          <cell r="I4532">
            <v>830044503</v>
          </cell>
          <cell r="J4532" t="str">
            <v>IED JULIO GARAVITO ARMERO</v>
          </cell>
          <cell r="K4532">
            <v>114605055</v>
          </cell>
        </row>
        <row r="4533">
          <cell r="I4533">
            <v>830045118</v>
          </cell>
          <cell r="J4533" t="str">
            <v>INSTITUCION EDUCATIVA DISTRITAL LUIS ANGEL ARANGO</v>
          </cell>
          <cell r="K4533">
            <v>96472807</v>
          </cell>
        </row>
        <row r="4534">
          <cell r="I4534">
            <v>830045188</v>
          </cell>
          <cell r="J4534" t="str">
            <v>I.E.D  LA PALESTINA</v>
          </cell>
          <cell r="K4534">
            <v>116512969</v>
          </cell>
        </row>
        <row r="4535">
          <cell r="I4535">
            <v>830046920</v>
          </cell>
          <cell r="J4535" t="str">
            <v>INSTITUCIÓN EDUCATIVA DISTRITAL ANTONIO NARIÑO</v>
          </cell>
          <cell r="K4535">
            <v>134481360</v>
          </cell>
        </row>
        <row r="4536">
          <cell r="I4536">
            <v>830047107</v>
          </cell>
          <cell r="J4536" t="str">
            <v>FONDO EDUCATIVO IED EXTERNADO NAL CAMILO TORRES</v>
          </cell>
          <cell r="K4536">
            <v>50990454</v>
          </cell>
        </row>
        <row r="4537">
          <cell r="I4537">
            <v>830047955</v>
          </cell>
          <cell r="J4537" t="str">
            <v>FSE CED SAN AGUSTIN</v>
          </cell>
          <cell r="K4537">
            <v>199267144</v>
          </cell>
        </row>
        <row r="4538">
          <cell r="I4538">
            <v>830048096</v>
          </cell>
          <cell r="J4538" t="str">
            <v>FONDO DE SERVICIOS DOCENTES  CED RURAL EL DESTINO</v>
          </cell>
          <cell r="K4538">
            <v>88791902</v>
          </cell>
        </row>
        <row r="4539">
          <cell r="I4539">
            <v>830048428</v>
          </cell>
          <cell r="J4539" t="str">
            <v>INSTITUCION EDUCATIVA DISTRITAL PROSPERO PINZON</v>
          </cell>
          <cell r="K4539">
            <v>104281234</v>
          </cell>
        </row>
        <row r="4540">
          <cell r="I4540">
            <v>830049091</v>
          </cell>
          <cell r="J4540" t="str">
            <v>COLEGIO SAN BERNARDINO</v>
          </cell>
          <cell r="K4540">
            <v>135293693</v>
          </cell>
        </row>
        <row r="4541">
          <cell r="I4541">
            <v>830049092</v>
          </cell>
          <cell r="J4541" t="str">
            <v>CENTRO DE SERVICIOS DOCENTES LA CONCEPCION</v>
          </cell>
          <cell r="K4541">
            <v>101208412</v>
          </cell>
        </row>
        <row r="4542">
          <cell r="I4542">
            <v>830049093</v>
          </cell>
          <cell r="J4542" t="str">
            <v>INSTITUCION DISTRITAL FRIEDRICH NAUMANN</v>
          </cell>
          <cell r="K4542">
            <v>110186976</v>
          </cell>
        </row>
        <row r="4543">
          <cell r="I4543">
            <v>830049594</v>
          </cell>
          <cell r="J4543" t="str">
            <v>colegio patio bonito ii i.e.d.</v>
          </cell>
          <cell r="K4543">
            <v>144492059</v>
          </cell>
        </row>
        <row r="4544">
          <cell r="I4544">
            <v>830051612</v>
          </cell>
          <cell r="J4544" t="str">
            <v>CENTRO EDUCATIVO DISTRITAL GRAN YOMASA</v>
          </cell>
          <cell r="K4544">
            <v>100971180</v>
          </cell>
        </row>
        <row r="4545">
          <cell r="I4545">
            <v>830051789</v>
          </cell>
          <cell r="J4545" t="str">
            <v>INSTITUCION EDUCATIVA FRANCISCO DE PAULA SANTANDER</v>
          </cell>
          <cell r="K4545">
            <v>95677521</v>
          </cell>
        </row>
        <row r="4546">
          <cell r="I4546">
            <v>830052392</v>
          </cell>
          <cell r="J4546" t="str">
            <v>FONDO DE SERVICIOS DOCENTES I.E.D ARBORIZADORA ALTA</v>
          </cell>
          <cell r="K4546">
            <v>175149139</v>
          </cell>
        </row>
        <row r="4547">
          <cell r="I4547">
            <v>830052690</v>
          </cell>
          <cell r="J4547" t="str">
            <v>CENTRO EDUCATIVO EL PORVENIR</v>
          </cell>
          <cell r="K4547">
            <v>331591243</v>
          </cell>
        </row>
        <row r="4548">
          <cell r="I4548">
            <v>830054666</v>
          </cell>
          <cell r="J4548" t="str">
            <v>I.E.D MARCO ANTONIO CARREÑO SILVA</v>
          </cell>
          <cell r="K4548">
            <v>88628255</v>
          </cell>
        </row>
        <row r="4549">
          <cell r="I4549">
            <v>830054724</v>
          </cell>
          <cell r="J4549" t="str">
            <v>FONDO DE SERVICIOS EDUCATIVOS I.E.D SANTA LIBRADA</v>
          </cell>
          <cell r="K4549">
            <v>69405751</v>
          </cell>
        </row>
        <row r="4550">
          <cell r="I4550">
            <v>830055028</v>
          </cell>
          <cell r="J4550" t="str">
            <v>INSTITUCION EDUCATIVA DISTRITAL CANADA</v>
          </cell>
          <cell r="K4550">
            <v>54047643</v>
          </cell>
        </row>
        <row r="4551">
          <cell r="I4551">
            <v>830055296</v>
          </cell>
          <cell r="J4551" t="str">
            <v>fondo de servicios docentes jackeline</v>
          </cell>
          <cell r="K4551">
            <v>74680929</v>
          </cell>
        </row>
        <row r="4552">
          <cell r="I4552">
            <v>830055451</v>
          </cell>
          <cell r="J4552" t="str">
            <v>FONDO DE SERVICIOS EDUCATIVOS IED GENERAL SANTANDER</v>
          </cell>
          <cell r="K4552">
            <v>236066661</v>
          </cell>
        </row>
        <row r="4553">
          <cell r="I4553">
            <v>830057636</v>
          </cell>
          <cell r="J4553" t="str">
            <v>INSTITUCION EDUCATIVA DISTRITAL  GARCES NAVAS</v>
          </cell>
          <cell r="K4553">
            <v>124067476</v>
          </cell>
        </row>
        <row r="4554">
          <cell r="I4554">
            <v>830057661</v>
          </cell>
          <cell r="J4554" t="str">
            <v>CENTRO EDUCATIVO DISTRITAL VILLAS DEL PROGRESO</v>
          </cell>
          <cell r="K4554">
            <v>240325755</v>
          </cell>
        </row>
        <row r="4555">
          <cell r="I4555">
            <v>830058250</v>
          </cell>
          <cell r="J4555" t="str">
            <v>INSTITUTO EDUCATIVO DISTRITAL RAFAEL DELGADO SALGUERO</v>
          </cell>
          <cell r="K4555">
            <v>73571227</v>
          </cell>
        </row>
        <row r="4556">
          <cell r="I4556">
            <v>830058468</v>
          </cell>
          <cell r="J4556" t="str">
            <v>INSTITUCION EDUCATIVA DISTRITAL VILLA AMALIA</v>
          </cell>
          <cell r="K4556">
            <v>95249584</v>
          </cell>
        </row>
        <row r="4557">
          <cell r="I4557">
            <v>830061995</v>
          </cell>
          <cell r="J4557" t="str">
            <v>FSD CED PANTALEON</v>
          </cell>
          <cell r="K4557">
            <v>16180603</v>
          </cell>
        </row>
        <row r="4558">
          <cell r="I4558">
            <v>830061996</v>
          </cell>
          <cell r="J4558" t="str">
            <v>FSD CED EL MANANTIAL</v>
          </cell>
          <cell r="K4558">
            <v>2540078</v>
          </cell>
        </row>
        <row r="4559">
          <cell r="I4559">
            <v>830061997</v>
          </cell>
          <cell r="J4559" t="str">
            <v>FONDO DE SERVICIO C.E.D  TENERIFE</v>
          </cell>
          <cell r="K4559">
            <v>89488832</v>
          </cell>
        </row>
        <row r="4560">
          <cell r="I4560">
            <v>830062537</v>
          </cell>
          <cell r="J4560" t="str">
            <v>INSTITUCION EDUCATIVA DISTRITAL CIUDAD DE MONTREAL</v>
          </cell>
          <cell r="K4560">
            <v>63212863</v>
          </cell>
        </row>
        <row r="4561">
          <cell r="I4561">
            <v>830062800</v>
          </cell>
          <cell r="J4561" t="str">
            <v>COLEGIO ATABANZHA INSTITUCION EDUCATIVA DISTRITAL</v>
          </cell>
          <cell r="K4561">
            <v>103519446</v>
          </cell>
        </row>
        <row r="4562">
          <cell r="I4562">
            <v>830062912</v>
          </cell>
          <cell r="J4562" t="str">
            <v>fondo de servicios educativos colegio manuel cepeda vargas ied</v>
          </cell>
          <cell r="K4562">
            <v>331619050</v>
          </cell>
        </row>
        <row r="4563">
          <cell r="I4563">
            <v>830063598</v>
          </cell>
          <cell r="J4563" t="str">
            <v>fondo de servicios educativos del colegio patio bonito 1</v>
          </cell>
          <cell r="K4563">
            <v>100373419</v>
          </cell>
        </row>
        <row r="4564">
          <cell r="I4564">
            <v>830063877</v>
          </cell>
          <cell r="J4564" t="str">
            <v>INSTITUCION EDUCATIVA DISTRITAL NUEVO SAN ANDRES DE LOS ALTOS</v>
          </cell>
          <cell r="K4564">
            <v>116893130</v>
          </cell>
        </row>
        <row r="4565">
          <cell r="I4565">
            <v>830064259</v>
          </cell>
          <cell r="J4565" t="str">
            <v>INSTITUCION EDUCATIVA DISTRITAL RURAL CHORRILLOS</v>
          </cell>
          <cell r="K4565">
            <v>185955982</v>
          </cell>
        </row>
        <row r="4566">
          <cell r="I4566">
            <v>830064342</v>
          </cell>
          <cell r="J4566" t="str">
            <v>COLEGIO JOSE JOAQUIN CASAS</v>
          </cell>
          <cell r="K4566">
            <v>27789300</v>
          </cell>
        </row>
        <row r="4567">
          <cell r="I4567">
            <v>830064875</v>
          </cell>
          <cell r="J4567" t="str">
            <v>institucion educativa distrital san rafael</v>
          </cell>
          <cell r="K4567">
            <v>174580583</v>
          </cell>
        </row>
        <row r="4568">
          <cell r="I4568">
            <v>830064877</v>
          </cell>
          <cell r="J4568" t="str">
            <v>INSTITUCION EDUCATIVA DISTRITAL LOS PERIODISTAS</v>
          </cell>
          <cell r="K4568">
            <v>107072455</v>
          </cell>
        </row>
        <row r="4569">
          <cell r="I4569">
            <v>830065192</v>
          </cell>
          <cell r="J4569" t="str">
            <v>COLEGIO MISAEL PASTRANA BORRERO IED</v>
          </cell>
          <cell r="K4569">
            <v>83798322</v>
          </cell>
        </row>
        <row r="4570">
          <cell r="I4570">
            <v>830065820</v>
          </cell>
          <cell r="J4570" t="str">
            <v>FONSED COLEGIO DISTRITAL SAN CRISTOBAL SUR</v>
          </cell>
          <cell r="K4570">
            <v>117039628</v>
          </cell>
        </row>
        <row r="4571">
          <cell r="I4571">
            <v>830066456</v>
          </cell>
          <cell r="J4571" t="str">
            <v>INSTITUCION EDUCATIVA DISTRITAL LA AURORA</v>
          </cell>
          <cell r="K4571">
            <v>127060386</v>
          </cell>
        </row>
        <row r="4572">
          <cell r="I4572">
            <v>830066518</v>
          </cell>
          <cell r="J4572" t="str">
            <v>I.E.D  RAFAEL URIBE URIBE</v>
          </cell>
          <cell r="K4572">
            <v>127407061</v>
          </cell>
        </row>
        <row r="4573">
          <cell r="I4573">
            <v>830066973</v>
          </cell>
          <cell r="J4573" t="str">
            <v>INSTITUCION EDUCATIVA CIUDAD BOLIVAR ARGENTINA</v>
          </cell>
          <cell r="K4573">
            <v>153695492</v>
          </cell>
        </row>
        <row r="4574">
          <cell r="I4574">
            <v>830068785</v>
          </cell>
          <cell r="J4574" t="str">
            <v>INSTITUCION EDUCATIVA DISTRITAL SAN BENITO ABAD</v>
          </cell>
          <cell r="K4574">
            <v>64394767</v>
          </cell>
        </row>
        <row r="4575">
          <cell r="I4575">
            <v>830070022</v>
          </cell>
          <cell r="J4575" t="str">
            <v>INSTITUCION EDUCATIVA DISTRITAL ALEMANIA UNIFICADA</v>
          </cell>
          <cell r="K4575">
            <v>75827489</v>
          </cell>
        </row>
        <row r="4576">
          <cell r="I4576">
            <v>830070038</v>
          </cell>
          <cell r="J4576" t="str">
            <v>FONDO DE SERVICIOS DOCENTES IED BARRANQUILLITA</v>
          </cell>
          <cell r="K4576">
            <v>128228840</v>
          </cell>
        </row>
        <row r="4577">
          <cell r="I4577">
            <v>830070380</v>
          </cell>
          <cell r="J4577" t="str">
            <v>FSE CENTRO EDUCATIVO DISTRITAL BOSANOVA</v>
          </cell>
          <cell r="K4577">
            <v>167446783</v>
          </cell>
        </row>
        <row r="4578">
          <cell r="I4578">
            <v>830071472</v>
          </cell>
          <cell r="J4578" t="str">
            <v>FONDO DE SERVICIOS EDUCATIVOS IED CHUNIZA</v>
          </cell>
          <cell r="K4578">
            <v>146178419</v>
          </cell>
        </row>
        <row r="4579">
          <cell r="I4579">
            <v>830071712</v>
          </cell>
          <cell r="J4579" t="str">
            <v>FONDO DE SERVICIOS DOCENTES CED MONTEBLANCO</v>
          </cell>
          <cell r="K4579">
            <v>210060846</v>
          </cell>
        </row>
        <row r="4580">
          <cell r="I4580">
            <v>830073956</v>
          </cell>
          <cell r="J4580" t="str">
            <v>FONDO DE SERVICIOS DOCENTES I.E.D SAN CARLOS</v>
          </cell>
          <cell r="K4580">
            <v>146915518</v>
          </cell>
        </row>
        <row r="4581">
          <cell r="I4581">
            <v>830074780</v>
          </cell>
          <cell r="J4581" t="str">
            <v>FONDO DE SERVICIOS EDUCATIVOS CED USMINIA</v>
          </cell>
          <cell r="K4581">
            <v>67484518</v>
          </cell>
        </row>
        <row r="4582">
          <cell r="I4582">
            <v>830075980</v>
          </cell>
          <cell r="J4582" t="str">
            <v>INSTITUCION EDUCATIVA DISTRITAL EL BOSQUE</v>
          </cell>
          <cell r="K4582">
            <v>187379851</v>
          </cell>
        </row>
        <row r="4583">
          <cell r="I4583">
            <v>830076480</v>
          </cell>
          <cell r="J4583" t="str">
            <v>INSTITUCION EDUCATIVA DISTRITAL JORGE ELIECER GAITAN</v>
          </cell>
          <cell r="K4583">
            <v>161244904</v>
          </cell>
        </row>
        <row r="4584">
          <cell r="I4584">
            <v>830079131</v>
          </cell>
          <cell r="J4584" t="str">
            <v>COLEGIO IT DISTRITAL JULIO FLOREZ</v>
          </cell>
          <cell r="K4584">
            <v>130991970</v>
          </cell>
        </row>
        <row r="4585">
          <cell r="I4585">
            <v>830079439</v>
          </cell>
          <cell r="J4585" t="str">
            <v>colegio la belleza los libertadores i.e.d.</v>
          </cell>
          <cell r="K4585">
            <v>84627183</v>
          </cell>
        </row>
        <row r="4586">
          <cell r="I4586">
            <v>830082563</v>
          </cell>
          <cell r="J4586" t="str">
            <v>FONDO DE SERVICIOS EDUCATIVOS I.E.D REINO DE HOLANDA</v>
          </cell>
          <cell r="K4586">
            <v>168419751</v>
          </cell>
        </row>
        <row r="4587">
          <cell r="I4587">
            <v>830084782</v>
          </cell>
          <cell r="J4587" t="str">
            <v>COLEGIO EDUARDO UMAÑA LUNA</v>
          </cell>
          <cell r="K4587">
            <v>114969127</v>
          </cell>
        </row>
        <row r="4588">
          <cell r="I4588">
            <v>830085316</v>
          </cell>
          <cell r="J4588" t="str">
            <v>INSTITUCION EDUCATIVA DISTRITAL  EL LIBERTADOR</v>
          </cell>
          <cell r="K4588">
            <v>158785494</v>
          </cell>
        </row>
        <row r="4589">
          <cell r="I4589">
            <v>830085801</v>
          </cell>
          <cell r="J4589" t="str">
            <v>FONDO DE SERVICIOS EDUCATIVOS I.E.D  VILLAMAR</v>
          </cell>
          <cell r="K4589">
            <v>43185643</v>
          </cell>
        </row>
        <row r="4590">
          <cell r="I4590">
            <v>830086652</v>
          </cell>
          <cell r="J4590" t="str">
            <v>FSE COLEGIO MARIA MERCEDES CARRANZA</v>
          </cell>
          <cell r="K4590">
            <v>212881550</v>
          </cell>
        </row>
        <row r="4591">
          <cell r="I4591">
            <v>830086996</v>
          </cell>
          <cell r="J4591" t="str">
            <v>F.S.D CEDIT  JAIME PARDO LEAL</v>
          </cell>
          <cell r="K4591">
            <v>104277594</v>
          </cell>
        </row>
        <row r="4592">
          <cell r="I4592">
            <v>830087086</v>
          </cell>
          <cell r="J4592" t="str">
            <v>FONDO DE SERVICIOS DOCENTES CED NUEVA CONSTITUCIÓN</v>
          </cell>
          <cell r="K4592">
            <v>105260942</v>
          </cell>
        </row>
        <row r="4593">
          <cell r="I4593">
            <v>830088159</v>
          </cell>
          <cell r="J4593" t="str">
            <v>FSE INST EDUC DIST GIMNASIO DEL CAMPO JUAN DE LA CRUZ VARELA</v>
          </cell>
          <cell r="K4593">
            <v>43760155</v>
          </cell>
        </row>
        <row r="4594">
          <cell r="I4594">
            <v>830089316</v>
          </cell>
          <cell r="J4594" t="str">
            <v>F.S.E INSTITUCION DISTRITAL ANTONIO VILLAVICENCIO</v>
          </cell>
          <cell r="K4594">
            <v>82595812</v>
          </cell>
        </row>
        <row r="4595">
          <cell r="I4595">
            <v>830090775</v>
          </cell>
          <cell r="J4595" t="str">
            <v>IED  ALEXANDER FLEMING</v>
          </cell>
          <cell r="K4595">
            <v>133369771</v>
          </cell>
        </row>
        <row r="4596">
          <cell r="I4596">
            <v>830090888</v>
          </cell>
          <cell r="J4596" t="str">
            <v>FONDO DE SERVICIOS DOCENTES CED BRAZUELOS</v>
          </cell>
          <cell r="K4596">
            <v>53572160</v>
          </cell>
        </row>
        <row r="4597">
          <cell r="I4597">
            <v>830092098</v>
          </cell>
          <cell r="J4597" t="str">
            <v>FONDO DE SERVICIOS DOCENTES CED ROBERT KENNEDY</v>
          </cell>
          <cell r="K4597">
            <v>140080400</v>
          </cell>
        </row>
        <row r="4598">
          <cell r="I4598">
            <v>830092890</v>
          </cell>
          <cell r="J4598" t="str">
            <v>COLEGIO AGUSTIN FERNAEZ I.E.D.</v>
          </cell>
          <cell r="K4598">
            <v>174208505</v>
          </cell>
        </row>
        <row r="4599">
          <cell r="I4599">
            <v>830093541</v>
          </cell>
          <cell r="J4599" t="str">
            <v>FONDO DE SERVICIOS EDUCATIVOS IED NUEVO MONTEBLANCO</v>
          </cell>
          <cell r="K4599">
            <v>52716968</v>
          </cell>
        </row>
        <row r="4600">
          <cell r="I4600">
            <v>830093700</v>
          </cell>
          <cell r="J4600" t="str">
            <v>INSTITUCION EDUCATIVA DISTRITAL REPUBLICA DE BOLIVIA</v>
          </cell>
          <cell r="K4600">
            <v>31840320</v>
          </cell>
        </row>
        <row r="4601">
          <cell r="I4601">
            <v>830095250</v>
          </cell>
          <cell r="J4601" t="str">
            <v>IED INSTITUTO TECNICO JUAN DEL CORRAL</v>
          </cell>
          <cell r="K4601">
            <v>133355124</v>
          </cell>
        </row>
        <row r="4602">
          <cell r="I4602">
            <v>830097773</v>
          </cell>
          <cell r="J4602" t="str">
            <v>INSTITUCION EDUCATIVA DISTRITAL LA ARABIA</v>
          </cell>
          <cell r="K4602">
            <v>44358250</v>
          </cell>
        </row>
        <row r="4603">
          <cell r="I4603">
            <v>830097774</v>
          </cell>
          <cell r="J4603" t="str">
            <v>INSTITUCION EDUCATIVA DISTRITAL EL TESORO DE LA CUMBRE</v>
          </cell>
          <cell r="K4603">
            <v>108462048</v>
          </cell>
        </row>
        <row r="4604">
          <cell r="I4604">
            <v>830099090</v>
          </cell>
          <cell r="J4604" t="str">
            <v>FONDO DE SERVICIOS EDUCATIVOS IED EL MINUTO DE BUENOS AIRES</v>
          </cell>
          <cell r="K4604">
            <v>99803137</v>
          </cell>
        </row>
        <row r="4605">
          <cell r="I4605">
            <v>830099104</v>
          </cell>
          <cell r="J4605" t="str">
            <v>COLEGIO JOSE JAIME ROJAS IED</v>
          </cell>
          <cell r="K4605">
            <v>62048940</v>
          </cell>
        </row>
        <row r="4606">
          <cell r="I4606">
            <v>830099242</v>
          </cell>
          <cell r="J4606" t="str">
            <v>FONDO DE SERVICIOS EDUCATIVOS CED LA PAZ</v>
          </cell>
          <cell r="K4606">
            <v>30669248</v>
          </cell>
        </row>
        <row r="4607">
          <cell r="I4607">
            <v>830100437</v>
          </cell>
          <cell r="J4607" t="str">
            <v>INSTITUCION EDUCATIVA DISTRITAL COSTA RICA</v>
          </cell>
          <cell r="K4607">
            <v>126492176</v>
          </cell>
        </row>
        <row r="4608">
          <cell r="I4608">
            <v>830100961</v>
          </cell>
          <cell r="J4608" t="str">
            <v>COLEGIO DISTRITAL HUNZA</v>
          </cell>
          <cell r="K4608">
            <v>103931768</v>
          </cell>
        </row>
        <row r="4609">
          <cell r="I4609">
            <v>830103422</v>
          </cell>
          <cell r="J4609" t="str">
            <v>INSTITUCION EDUCATIVA DISTRITAL MIGUEL ANTONIO CARO</v>
          </cell>
          <cell r="K4609">
            <v>82620440</v>
          </cell>
        </row>
        <row r="4610">
          <cell r="I4610">
            <v>830104171</v>
          </cell>
          <cell r="J4610" t="str">
            <v>FONDO DE SERVICIOS EDUCATIVOS JUANA ESCOBAR</v>
          </cell>
          <cell r="K4610">
            <v>141245097</v>
          </cell>
        </row>
        <row r="4611">
          <cell r="I4611">
            <v>830105931</v>
          </cell>
          <cell r="J4611" t="str">
            <v>INSTITUCION EDUCATIVA NESTOR FORERO ALCALA</v>
          </cell>
          <cell r="K4611">
            <v>81351181</v>
          </cell>
        </row>
        <row r="4612">
          <cell r="I4612">
            <v>830107340</v>
          </cell>
          <cell r="J4612" t="str">
            <v>INSTITUCION EDUCATIVA FONSED LA ESTANCIA SAN ISIDRO LABRADOR</v>
          </cell>
          <cell r="K4612">
            <v>218393258</v>
          </cell>
        </row>
        <row r="4613">
          <cell r="I4613">
            <v>830107730</v>
          </cell>
          <cell r="J4613" t="str">
            <v>I.E.D  LUIS VARGAS TEJADA</v>
          </cell>
          <cell r="K4613">
            <v>77807541</v>
          </cell>
        </row>
        <row r="4614">
          <cell r="I4614">
            <v>830108114</v>
          </cell>
          <cell r="J4614" t="str">
            <v>INSTITUCION EDUCATIVA DISTRITAL   EL RODEO</v>
          </cell>
          <cell r="K4614">
            <v>118188191</v>
          </cell>
        </row>
        <row r="4615">
          <cell r="I4615">
            <v>830110099</v>
          </cell>
          <cell r="J4615" t="str">
            <v>INSTITUCION EDUCATIVA DISTRITAL HELADIA MEJIA</v>
          </cell>
          <cell r="K4615">
            <v>114618408</v>
          </cell>
        </row>
        <row r="4616">
          <cell r="I4616">
            <v>830110203</v>
          </cell>
          <cell r="J4616" t="str">
            <v>INSTITUCION EDUCATIVA DISTRITAL ENRIQUE OLAYA HERRERA</v>
          </cell>
          <cell r="K4616">
            <v>331328660</v>
          </cell>
        </row>
        <row r="4617">
          <cell r="I4617">
            <v>830110336</v>
          </cell>
          <cell r="J4617" t="str">
            <v>IED  ALTAMIRA SUR ORIENTAL</v>
          </cell>
          <cell r="K4617">
            <v>138010598</v>
          </cell>
        </row>
        <row r="4618">
          <cell r="I4618">
            <v>830110396</v>
          </cell>
          <cell r="J4618" t="str">
            <v>FONDO DE SERVICIOS EDUCATIVOS IED CIUDAD DE BOGOTA</v>
          </cell>
          <cell r="K4618">
            <v>214178858</v>
          </cell>
        </row>
        <row r="4619">
          <cell r="I4619">
            <v>830110892</v>
          </cell>
          <cell r="J4619" t="str">
            <v>I.E.D SAN ISIDRO SUR ORIENTAL</v>
          </cell>
          <cell r="K4619">
            <v>105785933</v>
          </cell>
        </row>
        <row r="4620">
          <cell r="I4620">
            <v>830111192</v>
          </cell>
          <cell r="J4620" t="str">
            <v>I.E.D  JOSE ACEVEDO Y GOMEZ</v>
          </cell>
          <cell r="K4620">
            <v>49738382</v>
          </cell>
        </row>
        <row r="4621">
          <cell r="I4621">
            <v>830114059</v>
          </cell>
          <cell r="J4621" t="str">
            <v>FONDO DE SERVICIOS EDUCATIVOS COLEGIO CAMPESTRE JAIME GARZON INSTITUCION EDUCATIVA DISTRITAL</v>
          </cell>
          <cell r="K4621">
            <v>27088684</v>
          </cell>
        </row>
        <row r="4622">
          <cell r="I4622">
            <v>830115384</v>
          </cell>
          <cell r="J4622" t="str">
            <v>INSTITUCION EDUCATIVA DISTRITAL GRANCOLOMBIANO</v>
          </cell>
          <cell r="K4622">
            <v>273744073</v>
          </cell>
        </row>
        <row r="4623">
          <cell r="I4623">
            <v>830115387</v>
          </cell>
          <cell r="J4623" t="str">
            <v>IED  MORALBA SUR ORIENTAL</v>
          </cell>
          <cell r="K4623">
            <v>113661597</v>
          </cell>
        </row>
        <row r="4624">
          <cell r="I4624">
            <v>830118045</v>
          </cell>
          <cell r="J4624" t="str">
            <v>IED  LAS VIOLETAS</v>
          </cell>
          <cell r="K4624">
            <v>100759618</v>
          </cell>
        </row>
        <row r="4625">
          <cell r="I4625">
            <v>832000069</v>
          </cell>
          <cell r="J4625" t="str">
            <v>Colegio Ezequiel Moreno y Diaz</v>
          </cell>
          <cell r="K4625">
            <v>150370673</v>
          </cell>
        </row>
        <row r="4626">
          <cell r="I4626">
            <v>832000277</v>
          </cell>
          <cell r="J4626" t="str">
            <v>IED PIO XII</v>
          </cell>
          <cell r="K4626">
            <v>45353898</v>
          </cell>
        </row>
        <row r="4627">
          <cell r="I4627">
            <v>832000507</v>
          </cell>
          <cell r="J4627" t="str">
            <v>IED RICARDO HINESTROZA DAZA</v>
          </cell>
          <cell r="K4627">
            <v>169343837</v>
          </cell>
        </row>
        <row r="4628">
          <cell r="I4628">
            <v>832000634</v>
          </cell>
          <cell r="J4628" t="str">
            <v>Institucion Educativa Jose Maria Cordoba</v>
          </cell>
          <cell r="K4628">
            <v>181964227</v>
          </cell>
        </row>
        <row r="4629">
          <cell r="I4629">
            <v>832000724</v>
          </cell>
          <cell r="J4629" t="str">
            <v>INSTITUTO TECNICO EMPRESARIAL EL YOPAL</v>
          </cell>
          <cell r="K4629">
            <v>271226930</v>
          </cell>
        </row>
        <row r="4630">
          <cell r="I4630">
            <v>832000733</v>
          </cell>
          <cell r="J4630" t="str">
            <v>INSTITUCION EDUCATIVA DEPARTAMENTAL JOSUE MANRIQUE</v>
          </cell>
          <cell r="K4630">
            <v>55972011</v>
          </cell>
        </row>
        <row r="4631">
          <cell r="I4631">
            <v>832000863</v>
          </cell>
          <cell r="J4631" t="str">
            <v>INSTITUCION EDUCATIVA DEPARTAMENTAL CLARAVAL CHUSCALES</v>
          </cell>
          <cell r="K4631">
            <v>17317578</v>
          </cell>
        </row>
        <row r="4632">
          <cell r="I4632">
            <v>832000911</v>
          </cell>
          <cell r="J4632" t="str">
            <v>Fondo de Servicios Educativos Institucion Educativa Nuevo Compartir</v>
          </cell>
          <cell r="K4632">
            <v>226464460</v>
          </cell>
        </row>
        <row r="4633">
          <cell r="I4633">
            <v>832000971</v>
          </cell>
          <cell r="J4633" t="str">
            <v>Intitucion Educativa Deptal El Vino</v>
          </cell>
          <cell r="K4633">
            <v>43636726</v>
          </cell>
        </row>
        <row r="4634">
          <cell r="I4634">
            <v>832000992</v>
          </cell>
          <cell r="J4634" t="str">
            <v>MUNICIPIO DE GRANADA</v>
          </cell>
          <cell r="K4634">
            <v>60936085</v>
          </cell>
        </row>
        <row r="4635">
          <cell r="I4635">
            <v>832001074</v>
          </cell>
          <cell r="J4635" t="str">
            <v>IED JOAQUIN ALFONSO MEDINA</v>
          </cell>
          <cell r="K4635">
            <v>23785781</v>
          </cell>
        </row>
        <row r="4636">
          <cell r="I4636">
            <v>832001125</v>
          </cell>
          <cell r="J4636" t="str">
            <v>IED LA PRADERA</v>
          </cell>
          <cell r="K4636">
            <v>42341275</v>
          </cell>
        </row>
        <row r="4637">
          <cell r="I4637">
            <v>832001126</v>
          </cell>
          <cell r="J4637" t="str">
            <v>IED RICARDO GONZALEZ</v>
          </cell>
          <cell r="K4637">
            <v>128143514</v>
          </cell>
        </row>
        <row r="4638">
          <cell r="I4638">
            <v>832001127</v>
          </cell>
          <cell r="J4638" t="str">
            <v>IED JOSE MARIA OBANDO</v>
          </cell>
          <cell r="K4638">
            <v>154057538</v>
          </cell>
        </row>
        <row r="4639">
          <cell r="I4639">
            <v>832001250</v>
          </cell>
          <cell r="J4639" t="str">
            <v>FSE</v>
          </cell>
          <cell r="K4639">
            <v>88783807</v>
          </cell>
        </row>
        <row r="4640">
          <cell r="I4640">
            <v>832001261</v>
          </cell>
          <cell r="J4640" t="str">
            <v>IED DE DESARROLLO RURAL</v>
          </cell>
          <cell r="K4640">
            <v>34889602</v>
          </cell>
        </row>
        <row r="4641">
          <cell r="I4641">
            <v>832001296</v>
          </cell>
          <cell r="J4641" t="str">
            <v>IED NUESTRA SEÑORA FONDOS</v>
          </cell>
          <cell r="K4641">
            <v>67932966</v>
          </cell>
        </row>
        <row r="4642">
          <cell r="I4642">
            <v>832001323</v>
          </cell>
          <cell r="J4642" t="str">
            <v>FSE TRANSFERENCIAS ASEO</v>
          </cell>
          <cell r="K4642">
            <v>29132340</v>
          </cell>
        </row>
        <row r="4643">
          <cell r="I4643">
            <v>832001324</v>
          </cell>
          <cell r="J4643" t="str">
            <v>Instituto Nacional de Promocion social</v>
          </cell>
          <cell r="K4643">
            <v>35334042</v>
          </cell>
        </row>
        <row r="4644">
          <cell r="I4644">
            <v>832001466</v>
          </cell>
          <cell r="J4644" t="str">
            <v>COLEGIO DEPARTAMENTAL DE GUTIERREZ</v>
          </cell>
          <cell r="K4644">
            <v>50323292</v>
          </cell>
        </row>
        <row r="4645">
          <cell r="I4645">
            <v>832001590</v>
          </cell>
          <cell r="J4645" t="str">
            <v>INSTITUCION EDUCATIVA DEPARTAMENTAL MISAEL GOMEZ</v>
          </cell>
          <cell r="K4645">
            <v>32430830</v>
          </cell>
        </row>
        <row r="4646">
          <cell r="I4646">
            <v>832001597</v>
          </cell>
          <cell r="J4646" t="str">
            <v>INSTITUCION EDUCATIVA DEPARTAMENTAL TECNICO COMERCIAL ANA FRANCISCA LARA</v>
          </cell>
          <cell r="K4646">
            <v>88843252</v>
          </cell>
        </row>
        <row r="4647">
          <cell r="I4647">
            <v>832001673</v>
          </cell>
          <cell r="J4647" t="str">
            <v>COLEGIO DEPARTAMENTAL MONSEÑOR AGUSTIN GUTIERREZ</v>
          </cell>
          <cell r="K4647">
            <v>116161191</v>
          </cell>
        </row>
        <row r="4648">
          <cell r="I4648">
            <v>832001679</v>
          </cell>
          <cell r="J4648" t="str">
            <v>IED SERREZUELA</v>
          </cell>
          <cell r="K4648">
            <v>320226054</v>
          </cell>
        </row>
        <row r="4649">
          <cell r="I4649">
            <v>832001690</v>
          </cell>
          <cell r="J4649" t="str">
            <v>IED TECNOLOGICO</v>
          </cell>
          <cell r="K4649">
            <v>318170531</v>
          </cell>
        </row>
        <row r="4650">
          <cell r="I4650">
            <v>832001754</v>
          </cell>
          <cell r="J4650" t="str">
            <v>INSTITUCION EDUCATIVA DEPARTAMENTAL JOSE MARIA VERGARA Y VERGARA</v>
          </cell>
          <cell r="K4650">
            <v>38325872</v>
          </cell>
        </row>
        <row r="4651">
          <cell r="I4651">
            <v>832001920</v>
          </cell>
          <cell r="J4651" t="str">
            <v>INSTITUCION EDUCATIVA DEPARTAMENTAL AGRICOLA PARATEBUENO</v>
          </cell>
          <cell r="K4651">
            <v>86083070</v>
          </cell>
        </row>
        <row r="4652">
          <cell r="I4652">
            <v>832002009</v>
          </cell>
          <cell r="J4652" t="str">
            <v>IED MIGUEL ANTONIO CARO</v>
          </cell>
          <cell r="K4652">
            <v>246783086</v>
          </cell>
        </row>
        <row r="4653">
          <cell r="I4653">
            <v>832002034</v>
          </cell>
          <cell r="J4653" t="str">
            <v>Fondo de Servicios Educativos Institucion Educativa Julio Cesar Turbay Ayala</v>
          </cell>
          <cell r="K4653">
            <v>188935092</v>
          </cell>
        </row>
        <row r="4654">
          <cell r="I4654">
            <v>832002055</v>
          </cell>
          <cell r="J4654" t="str">
            <v>Institucion Educativa Buenos Aires-Fondo de Servicios Educativos</v>
          </cell>
          <cell r="K4654">
            <v>171391520</v>
          </cell>
        </row>
        <row r="4655">
          <cell r="I4655">
            <v>832002064</v>
          </cell>
          <cell r="J4655" t="str">
            <v>INSTITUCION EDUCATIVA MUNICIPAL JOHN FITZGERALD KENNEDY</v>
          </cell>
          <cell r="K4655">
            <v>96375663</v>
          </cell>
        </row>
        <row r="4656">
          <cell r="I4656">
            <v>832002066</v>
          </cell>
          <cell r="J4656" t="str">
            <v>C.E.D GRAN COLOMBIA</v>
          </cell>
          <cell r="K4656">
            <v>8661754</v>
          </cell>
        </row>
        <row r="4657">
          <cell r="I4657">
            <v>832002082</v>
          </cell>
          <cell r="J4657" t="str">
            <v>INSTITUCION EDUCATIVA MUNICIPAL LA ARBOLEDA</v>
          </cell>
          <cell r="K4657">
            <v>113731593</v>
          </cell>
        </row>
        <row r="4658">
          <cell r="I4658">
            <v>832002114</v>
          </cell>
          <cell r="J4658" t="str">
            <v>IED MIXTO</v>
          </cell>
          <cell r="K4658">
            <v>59584323</v>
          </cell>
        </row>
        <row r="4659">
          <cell r="I4659">
            <v>832002138</v>
          </cell>
          <cell r="J4659" t="str">
            <v>IED PUERTO LIBRE</v>
          </cell>
          <cell r="K4659">
            <v>32331616</v>
          </cell>
        </row>
        <row r="4660">
          <cell r="I4660">
            <v>832002169</v>
          </cell>
          <cell r="J4660" t="str">
            <v>IED LAS VILLAS</v>
          </cell>
          <cell r="K4660">
            <v>71851310</v>
          </cell>
        </row>
        <row r="4661">
          <cell r="I4661">
            <v>832002183</v>
          </cell>
          <cell r="J4661" t="str">
            <v>INSTITUCION EDUCATIVA DISTRITAL ESTANISLAO ZULETA</v>
          </cell>
          <cell r="K4661">
            <v>140166150</v>
          </cell>
        </row>
        <row r="4662">
          <cell r="I4662">
            <v>832002308</v>
          </cell>
          <cell r="J4662" t="str">
            <v>SERVICIOS EDUCATIVOS</v>
          </cell>
          <cell r="K4662">
            <v>22986940</v>
          </cell>
        </row>
        <row r="4663">
          <cell r="I4663">
            <v>832002318</v>
          </cell>
          <cell r="J4663" t="str">
            <v>MUNICIPIO EL ROSAL</v>
          </cell>
          <cell r="K4663">
            <v>115793293</v>
          </cell>
        </row>
        <row r="4664">
          <cell r="I4664">
            <v>832002383</v>
          </cell>
          <cell r="J4664" t="str">
            <v>Fondo de Servicios Educativos Institucion Educativa La Despensa</v>
          </cell>
          <cell r="K4664">
            <v>352925122</v>
          </cell>
        </row>
        <row r="4665">
          <cell r="I4665">
            <v>832002393</v>
          </cell>
          <cell r="J4665" t="str">
            <v>Fondo de Servicios Educativos Institucion Educativa Leon XIII</v>
          </cell>
          <cell r="K4665">
            <v>396312605</v>
          </cell>
        </row>
        <row r="4666">
          <cell r="I4666">
            <v>832002394</v>
          </cell>
          <cell r="J4666" t="str">
            <v>Fondo de Servicios Educativos Institucion Educativa Cazuca</v>
          </cell>
          <cell r="K4666">
            <v>39644219</v>
          </cell>
        </row>
        <row r="4667">
          <cell r="I4667">
            <v>832002397</v>
          </cell>
          <cell r="J4667" t="str">
            <v>FONDO DE SERVICIOS EDUCATIVOS DEPARTAMENTAL PIO X</v>
          </cell>
          <cell r="K4667">
            <v>114577871</v>
          </cell>
        </row>
        <row r="4668">
          <cell r="I4668">
            <v>832002400</v>
          </cell>
          <cell r="J4668" t="str">
            <v>INSTITUCION EDUCATIVA DEPARTAMENTAL JUAN XXIII</v>
          </cell>
          <cell r="K4668">
            <v>96030943</v>
          </cell>
        </row>
        <row r="4669">
          <cell r="I4669">
            <v>832002443</v>
          </cell>
          <cell r="J4669" t="str">
            <v>Fondo de Servicios Educativos Institucion Educativa Las Villas</v>
          </cell>
          <cell r="K4669">
            <v>305811373</v>
          </cell>
        </row>
        <row r="4670">
          <cell r="I4670">
            <v>832002485</v>
          </cell>
          <cell r="J4670" t="str">
            <v>INSTITUCION EDUCATIVA DEPARTAMENTAL SAN JUAN BOSCO</v>
          </cell>
          <cell r="K4670">
            <v>54866110</v>
          </cell>
        </row>
        <row r="4671">
          <cell r="I4671">
            <v>832002500</v>
          </cell>
          <cell r="J4671" t="str">
            <v>FSE IED POMPILIO MARTINEZ</v>
          </cell>
          <cell r="K4671">
            <v>114848198</v>
          </cell>
        </row>
        <row r="4672">
          <cell r="I4672">
            <v>832002561</v>
          </cell>
          <cell r="J4672" t="str">
            <v>INSTITUCION EDUCATIVA MUNICIPAL GUILLERMO QUEVEDO ZORNOZA (FONDO DE SERVICIOS EDUCATIVOS)</v>
          </cell>
          <cell r="K4672">
            <v>91506919</v>
          </cell>
        </row>
        <row r="4673">
          <cell r="I4673">
            <v>832002568</v>
          </cell>
          <cell r="J4673" t="str">
            <v>IED LA PLAZUELA</v>
          </cell>
          <cell r="K4673">
            <v>72712971</v>
          </cell>
        </row>
        <row r="4674">
          <cell r="I4674">
            <v>832002585</v>
          </cell>
          <cell r="J4674" t="str">
            <v>IED MIXTO ANTONIO RICAURTE</v>
          </cell>
          <cell r="K4674">
            <v>55114451</v>
          </cell>
        </row>
        <row r="4675">
          <cell r="I4675">
            <v>832002619</v>
          </cell>
          <cell r="J4675" t="str">
            <v>Institucion Educativa Eduardo Santos-Fondo de Servicios Educativos</v>
          </cell>
          <cell r="K4675">
            <v>200165467</v>
          </cell>
        </row>
        <row r="4676">
          <cell r="I4676">
            <v>832002644</v>
          </cell>
          <cell r="J4676" t="str">
            <v>Fondo de servicios Educativos Institucion Educativa Gabriel Garcia Marquez</v>
          </cell>
          <cell r="K4676">
            <v>91389376</v>
          </cell>
        </row>
        <row r="4677">
          <cell r="I4677">
            <v>832002650</v>
          </cell>
          <cell r="J4677" t="str">
            <v>INSTITUCION EDUCATIVA DEPARTAMENTAL LA CABRERA</v>
          </cell>
          <cell r="K4677">
            <v>61501342</v>
          </cell>
        </row>
        <row r="4678">
          <cell r="I4678">
            <v>832002686</v>
          </cell>
          <cell r="J4678" t="str">
            <v>INSTITUCION EDUCATIVA DEPATRTAMENTAL ANTONIO NARIÑO</v>
          </cell>
          <cell r="K4678">
            <v>189525263</v>
          </cell>
        </row>
        <row r="4679">
          <cell r="I4679">
            <v>832002728</v>
          </cell>
          <cell r="J4679" t="str">
            <v>FONDO DE SERVICIOS EDUCATIVOS</v>
          </cell>
          <cell r="K4679">
            <v>74070007</v>
          </cell>
        </row>
        <row r="4680">
          <cell r="I4680">
            <v>832002737</v>
          </cell>
          <cell r="J4680" t="str">
            <v>IED POLICARPA SALAVARRIETA</v>
          </cell>
          <cell r="K4680">
            <v>57839647</v>
          </cell>
        </row>
        <row r="4681">
          <cell r="I4681">
            <v>832002761</v>
          </cell>
          <cell r="J4681" t="str">
            <v>INSTITUCIÓN EDUCATIVA DEPARTAMENTAL JOAQUIN SABOGAL</v>
          </cell>
          <cell r="K4681">
            <v>38763746</v>
          </cell>
        </row>
        <row r="4682">
          <cell r="I4682">
            <v>832002768</v>
          </cell>
          <cell r="J4682" t="str">
            <v>Fondo de Servicios Educativos Institucion Educativa Luis Carlos Galan</v>
          </cell>
          <cell r="K4682">
            <v>98417569</v>
          </cell>
        </row>
        <row r="4683">
          <cell r="I4683">
            <v>832002830</v>
          </cell>
          <cell r="J4683" t="str">
            <v>Fondo de Servicios Educativos Institucion Educativa Santa ana</v>
          </cell>
          <cell r="K4683">
            <v>161640733</v>
          </cell>
        </row>
        <row r="4684">
          <cell r="I4684">
            <v>832002867</v>
          </cell>
          <cell r="J4684" t="str">
            <v>IED NUESTRA S. DEL C.</v>
          </cell>
          <cell r="K4684">
            <v>114250524</v>
          </cell>
        </row>
        <row r="4685">
          <cell r="I4685">
            <v>832002888</v>
          </cell>
          <cell r="J4685" t="str">
            <v>Fondo de Servicios Educativos Institucion Educativa Manuela Beltran</v>
          </cell>
          <cell r="K4685">
            <v>149871762</v>
          </cell>
        </row>
        <row r="4686">
          <cell r="I4686">
            <v>832002911</v>
          </cell>
          <cell r="J4686" t="str">
            <v>Institucion Educativa El Bosque-Fondo de servicios Educativos</v>
          </cell>
          <cell r="K4686">
            <v>213119500</v>
          </cell>
        </row>
        <row r="4687">
          <cell r="I4687">
            <v>832003189</v>
          </cell>
          <cell r="J4687" t="str">
            <v>INSTITUCION EDUCATIVA MUNICIPAL  SANTIAGO PEREZ (FONDO DE SERVICIOS EDUCATIVOS)</v>
          </cell>
          <cell r="K4687">
            <v>141544825</v>
          </cell>
        </row>
        <row r="4688">
          <cell r="I4688">
            <v>832003224</v>
          </cell>
          <cell r="J4688" t="str">
            <v>INSTITUCION EDUCATIVA MUNICIPAL TECNICO EMPRESARIAL CARTAGENA</v>
          </cell>
          <cell r="K4688">
            <v>165854029</v>
          </cell>
        </row>
        <row r="4689">
          <cell r="I4689">
            <v>832003324</v>
          </cell>
          <cell r="J4689" t="str">
            <v>IED PABLO VI</v>
          </cell>
          <cell r="K4689">
            <v>103668832</v>
          </cell>
        </row>
        <row r="4690">
          <cell r="I4690">
            <v>832003451</v>
          </cell>
          <cell r="J4690" t="str">
            <v>INSTITUCION EDUCATIVA DEPARTAMENTAL JUAN JOSE NEIRA</v>
          </cell>
          <cell r="K4690">
            <v>66232995</v>
          </cell>
        </row>
        <row r="4691">
          <cell r="I4691">
            <v>832003550</v>
          </cell>
          <cell r="J4691" t="str">
            <v>INSTITUCION EDUCATIVA MUNICIPAL LUIS ORJUELA</v>
          </cell>
          <cell r="K4691">
            <v>60818615</v>
          </cell>
        </row>
        <row r="4692">
          <cell r="I4692">
            <v>832003622</v>
          </cell>
          <cell r="J4692" t="str">
            <v>Institucion Educativa Ciudadela Sucre-Fondo de Servicios Educativos</v>
          </cell>
          <cell r="K4692">
            <v>154326209</v>
          </cell>
        </row>
        <row r="4693">
          <cell r="I4693">
            <v>832003716</v>
          </cell>
          <cell r="J4693" t="str">
            <v>IED ALFONSO LOPEZ PUMAREJO</v>
          </cell>
          <cell r="K4693">
            <v>64623993</v>
          </cell>
        </row>
        <row r="4694">
          <cell r="I4694">
            <v>832003852</v>
          </cell>
          <cell r="J4694" t="str">
            <v>FONDOS DE SERVICIOS EDUCATIVOS</v>
          </cell>
          <cell r="K4694">
            <v>47234207</v>
          </cell>
        </row>
        <row r="4695">
          <cell r="I4695">
            <v>832003903</v>
          </cell>
          <cell r="J4695" t="str">
            <v>Colegio Nacional Diversificado</v>
          </cell>
          <cell r="K4695">
            <v>203255439</v>
          </cell>
        </row>
        <row r="4696">
          <cell r="I4696">
            <v>832003986</v>
          </cell>
          <cell r="J4696" t="str">
            <v>IED EL CARMEN</v>
          </cell>
          <cell r="K4696">
            <v>81794417</v>
          </cell>
        </row>
        <row r="4697">
          <cell r="I4697">
            <v>832004007</v>
          </cell>
          <cell r="J4697" t="str">
            <v>INSTITUCION EDUCATIVA MUNICIPAL TECNICA AGROPECUARIA POLICARPA SALAVARRIETA</v>
          </cell>
          <cell r="K4697">
            <v>62801196</v>
          </cell>
        </row>
        <row r="4698">
          <cell r="I4698">
            <v>832004009</v>
          </cell>
          <cell r="J4698" t="str">
            <v>IED TISQUESUSA</v>
          </cell>
          <cell r="K4698">
            <v>95140953</v>
          </cell>
        </row>
        <row r="4699">
          <cell r="I4699">
            <v>832004039</v>
          </cell>
          <cell r="J4699" t="str">
            <v>INSTITUCIÓN EDUCATIVA RURAL DEPARTAMENTAL SAN BERNARDO</v>
          </cell>
          <cell r="K4699">
            <v>47799119</v>
          </cell>
        </row>
        <row r="4700">
          <cell r="I4700">
            <v>832004111</v>
          </cell>
          <cell r="J4700" t="str">
            <v>INSTITUTO AGRICOLA</v>
          </cell>
          <cell r="K4700">
            <v>20496234</v>
          </cell>
        </row>
        <row r="4701">
          <cell r="I4701">
            <v>832004211</v>
          </cell>
          <cell r="J4701" t="str">
            <v>COLEGIO DEPARTAMENTAL EDUARDO SANTOS</v>
          </cell>
          <cell r="K4701">
            <v>51509439</v>
          </cell>
        </row>
        <row r="4702">
          <cell r="I4702">
            <v>832004271</v>
          </cell>
          <cell r="J4702" t="str">
            <v>Institucion Educativa Ciudad Latina-Fondo de Servicios Educativos</v>
          </cell>
          <cell r="K4702">
            <v>158662602</v>
          </cell>
        </row>
        <row r="4703">
          <cell r="I4703">
            <v>832004289</v>
          </cell>
          <cell r="J4703" t="str">
            <v>INSTITUCION EDUCATIVA DEPARTAMENTAL TECNICO INDUSTRIAL</v>
          </cell>
          <cell r="K4703">
            <v>297297913</v>
          </cell>
        </row>
        <row r="4704">
          <cell r="I4704">
            <v>832004297</v>
          </cell>
          <cell r="J4704" t="str">
            <v>I.E.D RUFINO CUERVO</v>
          </cell>
          <cell r="K4704">
            <v>152745575</v>
          </cell>
        </row>
        <row r="4705">
          <cell r="I4705">
            <v>832004299</v>
          </cell>
          <cell r="J4705" t="str">
            <v>IED RAFAEL POMBO</v>
          </cell>
          <cell r="K4705">
            <v>100566076</v>
          </cell>
        </row>
        <row r="4706">
          <cell r="I4706">
            <v>832004311</v>
          </cell>
          <cell r="J4706" t="str">
            <v>IED LA VIOLETA</v>
          </cell>
          <cell r="K4706">
            <v>44323514</v>
          </cell>
        </row>
        <row r="4707">
          <cell r="I4707">
            <v>832004316</v>
          </cell>
          <cell r="J4707" t="str">
            <v>Institucion Educativa San Mateo</v>
          </cell>
          <cell r="K4707">
            <v>258277180</v>
          </cell>
        </row>
        <row r="4708">
          <cell r="I4708">
            <v>832004379</v>
          </cell>
          <cell r="J4708" t="str">
            <v>FONDOS FOMENTOS SERVICIOS DOCENTES</v>
          </cell>
          <cell r="K4708">
            <v>38350065</v>
          </cell>
        </row>
        <row r="4709">
          <cell r="I4709">
            <v>832004414</v>
          </cell>
          <cell r="J4709" t="str">
            <v>Institucion Educativa Dptal Diosa Chia</v>
          </cell>
          <cell r="K4709">
            <v>83325385</v>
          </cell>
        </row>
        <row r="4710">
          <cell r="I4710">
            <v>832004419</v>
          </cell>
          <cell r="J4710" t="str">
            <v>Fondo de Servicios Docentes Colegio Básico la Balsa</v>
          </cell>
          <cell r="K4710">
            <v>62536515</v>
          </cell>
        </row>
        <row r="4711">
          <cell r="I4711">
            <v>832004421</v>
          </cell>
          <cell r="J4711" t="str">
            <v>Institucion Educativa Departamental San Jose Maria Escriva de Balaguer</v>
          </cell>
          <cell r="K4711">
            <v>139594473</v>
          </cell>
        </row>
        <row r="4712">
          <cell r="I4712">
            <v>832004622</v>
          </cell>
          <cell r="J4712" t="str">
            <v>LICEO MUNICIPAL AQUILEO PARRA</v>
          </cell>
          <cell r="K4712">
            <v>51195257</v>
          </cell>
        </row>
        <row r="4713">
          <cell r="I4713">
            <v>832004757</v>
          </cell>
          <cell r="J4713" t="str">
            <v>INST DPT. DE BAC TEC</v>
          </cell>
          <cell r="K4713">
            <v>212388125</v>
          </cell>
        </row>
        <row r="4714">
          <cell r="I4714">
            <v>832004789</v>
          </cell>
          <cell r="J4714" t="str">
            <v>COLEGIO DPTAL PUENTE QUETAME</v>
          </cell>
          <cell r="K4714">
            <v>55470185</v>
          </cell>
        </row>
        <row r="4715">
          <cell r="I4715">
            <v>832004802</v>
          </cell>
          <cell r="J4715" t="str">
            <v>INSTITUCION EDUCATIVA DEPARTAMENTAL ESCUELA NORMAL SUPERIOR SANTA TERESITA</v>
          </cell>
          <cell r="K4715">
            <v>66017920</v>
          </cell>
        </row>
        <row r="4716">
          <cell r="I4716">
            <v>832004817</v>
          </cell>
          <cell r="J4716" t="str">
            <v>INSTITUCION EDUCATIVA DEPARTAMENTAL MARIA MEDINA</v>
          </cell>
          <cell r="K4716">
            <v>27619722</v>
          </cell>
        </row>
        <row r="4717">
          <cell r="I4717">
            <v>832004852</v>
          </cell>
          <cell r="J4717" t="str">
            <v>COLEGIO DEPARTAMENTAL KENNEDY</v>
          </cell>
          <cell r="K4717">
            <v>32854968</v>
          </cell>
        </row>
        <row r="4718">
          <cell r="I4718">
            <v>832004871</v>
          </cell>
          <cell r="J4718" t="str">
            <v>FONDO DE SERVICIOS EDUCATIVOS INSTITUCION EDUCATIVA MUNICIPAL SAN JUAN BAUTISTA DE LA SALLE</v>
          </cell>
          <cell r="K4718">
            <v>165724956</v>
          </cell>
        </row>
        <row r="4719">
          <cell r="I4719">
            <v>832004884</v>
          </cell>
          <cell r="J4719" t="str">
            <v>IED  LICEO INTEGRADO DE ZIPAQUIRA</v>
          </cell>
          <cell r="K4719">
            <v>156377313</v>
          </cell>
        </row>
        <row r="4720">
          <cell r="I4720">
            <v>832005107</v>
          </cell>
          <cell r="J4720" t="str">
            <v>IED LA AURORA</v>
          </cell>
          <cell r="K4720">
            <v>66739557</v>
          </cell>
        </row>
        <row r="4721">
          <cell r="I4721">
            <v>832005137</v>
          </cell>
          <cell r="J4721" t="str">
            <v>INSTITUCION EDUCATIVA MANABLANCA</v>
          </cell>
          <cell r="K4721">
            <v>98242757</v>
          </cell>
        </row>
        <row r="4722">
          <cell r="I4722">
            <v>832005210</v>
          </cell>
          <cell r="J4722" t="str">
            <v>COLEGIO DEPARTAMENTAL NACIONALIZADO TUDELA</v>
          </cell>
          <cell r="K4722">
            <v>27752349</v>
          </cell>
        </row>
        <row r="4723">
          <cell r="I4723">
            <v>832005322</v>
          </cell>
          <cell r="J4723" t="str">
            <v>IED TEC AGRO SAN R</v>
          </cell>
          <cell r="K4723">
            <v>105783135</v>
          </cell>
        </row>
        <row r="4724">
          <cell r="I4724">
            <v>832005391</v>
          </cell>
          <cell r="J4724" t="str">
            <v>IED CARRASQUILLA</v>
          </cell>
          <cell r="K4724">
            <v>48029036</v>
          </cell>
        </row>
        <row r="4725">
          <cell r="I4725">
            <v>832005393</v>
          </cell>
          <cell r="J4725" t="str">
            <v>FONDO DE SERVICIOS EDUCATIVOS DE LA I.E.M. RURAL RIO FRIO DE ZIPAQUIRA</v>
          </cell>
          <cell r="K4725">
            <v>60969392</v>
          </cell>
        </row>
        <row r="4726">
          <cell r="I4726">
            <v>832005423</v>
          </cell>
          <cell r="J4726" t="str">
            <v>INSITUCION EDUCATIVA MAYOR DE MOSQUERA</v>
          </cell>
          <cell r="K4726">
            <v>118644019</v>
          </cell>
        </row>
        <row r="4727">
          <cell r="I4727">
            <v>832005431</v>
          </cell>
          <cell r="J4727" t="str">
            <v>FONDO SERVICIOS EDUCATIVOS LA PAZ</v>
          </cell>
          <cell r="K4727">
            <v>31266307</v>
          </cell>
        </row>
        <row r="4728">
          <cell r="I4728">
            <v>832005496</v>
          </cell>
          <cell r="J4728" t="str">
            <v>INSTITUCION EDUCATIVA DEPARTAMENTAL ESCUELA NORMAL SUPERIOR DE NOCAIMA</v>
          </cell>
          <cell r="K4728">
            <v>35406935</v>
          </cell>
        </row>
        <row r="4729">
          <cell r="I4729">
            <v>832005671</v>
          </cell>
          <cell r="J4729" t="str">
            <v>Intitucion Educativa Bagazxal</v>
          </cell>
          <cell r="K4729">
            <v>40832404</v>
          </cell>
        </row>
        <row r="4730">
          <cell r="I4730">
            <v>832005763</v>
          </cell>
          <cell r="J4730" t="str">
            <v>Colegio dptal manbita</v>
          </cell>
          <cell r="K4730">
            <v>28527021</v>
          </cell>
        </row>
        <row r="4731">
          <cell r="I4731">
            <v>832005784</v>
          </cell>
          <cell r="J4731" t="str">
            <v>IED RINCON SANTOS</v>
          </cell>
          <cell r="K4731">
            <v>130691059</v>
          </cell>
        </row>
        <row r="4732">
          <cell r="I4732">
            <v>832005895</v>
          </cell>
          <cell r="J4732" t="str">
            <v>Institucion Educativa Departamental Cerca de Piedra</v>
          </cell>
          <cell r="K4732">
            <v>66671549</v>
          </cell>
        </row>
        <row r="4733">
          <cell r="I4733">
            <v>832005896</v>
          </cell>
          <cell r="J4733" t="str">
            <v>Institución Educativa Departamental Fonqueta</v>
          </cell>
          <cell r="K4733">
            <v>70943423</v>
          </cell>
        </row>
        <row r="4734">
          <cell r="I4734">
            <v>832005913</v>
          </cell>
          <cell r="J4734" t="str">
            <v>Institucion Educativa Departamental Bojaca</v>
          </cell>
          <cell r="K4734">
            <v>73464532</v>
          </cell>
        </row>
        <row r="4735">
          <cell r="I4735">
            <v>832005922</v>
          </cell>
          <cell r="J4735" t="str">
            <v>INSTITUCION EDUCATIVA FAGUA</v>
          </cell>
          <cell r="K4735">
            <v>110841399</v>
          </cell>
        </row>
        <row r="4736">
          <cell r="I4736">
            <v>832006088</v>
          </cell>
          <cell r="J4736" t="str">
            <v>Institucion Educativa Departamental Santa Maria del Rio</v>
          </cell>
          <cell r="K4736">
            <v>77616276</v>
          </cell>
        </row>
        <row r="4737">
          <cell r="I4737">
            <v>832006259</v>
          </cell>
          <cell r="J4737" t="str">
            <v>TRANSFERENCIAS DEL DEPARTAMENTO PARA SERVICIOS PUBLICOS, ASEO  Y PAPELERIA</v>
          </cell>
          <cell r="K4737">
            <v>109939553</v>
          </cell>
        </row>
        <row r="4738">
          <cell r="I4738">
            <v>832006418</v>
          </cell>
          <cell r="J4738" t="str">
            <v>INSTITUCION EDUCATIVA MUNICIPAL SILVERIA ESPINOSA DE RENDON</v>
          </cell>
          <cell r="K4738">
            <v>79705105</v>
          </cell>
        </row>
        <row r="4739">
          <cell r="I4739">
            <v>832006682</v>
          </cell>
          <cell r="J4739" t="str">
            <v>IERD RIONEGRO SUR</v>
          </cell>
          <cell r="K4739">
            <v>32760132</v>
          </cell>
        </row>
        <row r="4740">
          <cell r="I4740">
            <v>832006683</v>
          </cell>
          <cell r="J4740" t="str">
            <v>IERD RINCON GRANDE</v>
          </cell>
          <cell r="K4740">
            <v>17730302</v>
          </cell>
        </row>
        <row r="4741">
          <cell r="I4741">
            <v>832006685</v>
          </cell>
          <cell r="J4741" t="str">
            <v>IERD MERCADILLO PRIMERO</v>
          </cell>
          <cell r="K4741">
            <v>27652148</v>
          </cell>
        </row>
        <row r="4742">
          <cell r="I4742">
            <v>832007049</v>
          </cell>
          <cell r="J4742" t="str">
            <v>INSTITUCION EDUCATIVA ROBERTO VELANDIA</v>
          </cell>
          <cell r="K4742">
            <v>250693188</v>
          </cell>
        </row>
        <row r="4743">
          <cell r="I4743">
            <v>832007550</v>
          </cell>
          <cell r="J4743" t="str">
            <v>FONDO DE SERVICIOS EDUCATIVOS COLEGIO DEPARTAMENTAL DE TOPAIPI</v>
          </cell>
          <cell r="K4743">
            <v>22702485</v>
          </cell>
        </row>
        <row r="4744">
          <cell r="I4744">
            <v>832008357</v>
          </cell>
          <cell r="J4744" t="str">
            <v>INSTITUCION EDUCATIVA DEPARTAMENTAL  DE UBALA</v>
          </cell>
          <cell r="K4744">
            <v>49206594</v>
          </cell>
        </row>
        <row r="4745">
          <cell r="I4745">
            <v>832008512</v>
          </cell>
          <cell r="J4745" t="str">
            <v>Fondo de Servicios Educativos Institucion Educativa General Santander</v>
          </cell>
          <cell r="K4745">
            <v>316191238</v>
          </cell>
        </row>
        <row r="4746">
          <cell r="I4746">
            <v>832008942</v>
          </cell>
          <cell r="J4746" t="str">
            <v>FONDO DE SERVICIOS EDUCATIVOS DE LA IE INSTITUTO TECNICO DE ORIENTE</v>
          </cell>
          <cell r="K4746">
            <v>96905037</v>
          </cell>
        </row>
        <row r="4747">
          <cell r="I4747">
            <v>832009102</v>
          </cell>
          <cell r="J4747" t="str">
            <v>INSTITUCION EDUCATIVA DEPARTAMENTAL LA GRANJA</v>
          </cell>
          <cell r="K4747">
            <v>108652503</v>
          </cell>
        </row>
        <row r="4748">
          <cell r="I4748">
            <v>832009105</v>
          </cell>
          <cell r="J4748" t="str">
            <v>IED LUIS ALFONSO VALVUENA</v>
          </cell>
          <cell r="K4748">
            <v>22305404</v>
          </cell>
        </row>
        <row r="4749">
          <cell r="I4749">
            <v>832009216</v>
          </cell>
          <cell r="J4749" t="str">
            <v>IED CARTAGENA</v>
          </cell>
          <cell r="K4749">
            <v>20848323</v>
          </cell>
        </row>
        <row r="4750">
          <cell r="I4750">
            <v>832009376</v>
          </cell>
          <cell r="J4750" t="str">
            <v>IED AGROINDUSTRIAL SANTIAGO DE CHOCONTA</v>
          </cell>
          <cell r="K4750">
            <v>161828646</v>
          </cell>
        </row>
        <row r="4751">
          <cell r="I4751">
            <v>832009522</v>
          </cell>
          <cell r="J4751" t="str">
            <v>IED CARLOS ABONDANO GONZALEZ</v>
          </cell>
          <cell r="K4751">
            <v>66526609</v>
          </cell>
        </row>
        <row r="4752">
          <cell r="I4752">
            <v>832009537</v>
          </cell>
          <cell r="J4752" t="str">
            <v>INSTITUCION EDUCATIVA DEPARTAMENTAL MENDEZ ROZO</v>
          </cell>
          <cell r="K4752">
            <v>44385416</v>
          </cell>
        </row>
        <row r="4753">
          <cell r="I4753">
            <v>832009544</v>
          </cell>
          <cell r="J4753" t="str">
            <v>IED GIRON DE BLANCOS</v>
          </cell>
          <cell r="K4753">
            <v>36488806</v>
          </cell>
        </row>
        <row r="4754">
          <cell r="I4754">
            <v>832009650</v>
          </cell>
          <cell r="J4754" t="str">
            <v>IED PABLO VI</v>
          </cell>
          <cell r="K4754">
            <v>21587104</v>
          </cell>
        </row>
        <row r="4755">
          <cell r="I4755">
            <v>832009955</v>
          </cell>
          <cell r="J4755" t="str">
            <v>INSTITUCION EDUCATIVA DEPARTAMENTAL SAN MIGUEL</v>
          </cell>
          <cell r="K4755">
            <v>59591453</v>
          </cell>
        </row>
        <row r="4756">
          <cell r="I4756">
            <v>832009991</v>
          </cell>
          <cell r="J4756" t="str">
            <v>IED SAN FRANCISCO</v>
          </cell>
          <cell r="K4756">
            <v>20715649</v>
          </cell>
        </row>
        <row r="4757">
          <cell r="I4757">
            <v>832010017</v>
          </cell>
          <cell r="J4757" t="str">
            <v>INSTITTUCION EDUCATIVA DPTAL SAN BENITO</v>
          </cell>
          <cell r="K4757">
            <v>27588375</v>
          </cell>
        </row>
        <row r="4758">
          <cell r="I4758">
            <v>832010129</v>
          </cell>
          <cell r="J4758" t="str">
            <v>TRANSFERENCIAS SEC</v>
          </cell>
          <cell r="K4758">
            <v>31114522</v>
          </cell>
        </row>
        <row r="4759">
          <cell r="I4759">
            <v>832010169</v>
          </cell>
          <cell r="J4759" t="str">
            <v>FONDO DE SERVICIOS DOCENTES</v>
          </cell>
          <cell r="K4759">
            <v>35767702</v>
          </cell>
        </row>
        <row r="4760">
          <cell r="I4760">
            <v>832010417</v>
          </cell>
          <cell r="J4760" t="str">
            <v>IED ENRIQE PARDO PARRA</v>
          </cell>
          <cell r="K4760">
            <v>170089767</v>
          </cell>
        </row>
        <row r="4761">
          <cell r="I4761">
            <v>832010885</v>
          </cell>
          <cell r="J4761" t="str">
            <v>INSTITUCION EDUCATIVA DEPARTAMENTAL RURAL "SAN JORGE"</v>
          </cell>
          <cell r="K4761">
            <v>34596665</v>
          </cell>
        </row>
        <row r="4762">
          <cell r="I4762">
            <v>832011322</v>
          </cell>
          <cell r="J4762" t="str">
            <v>COLEGIO DEPARTAMENTAL SAN CARLOS</v>
          </cell>
          <cell r="K4762">
            <v>23907449</v>
          </cell>
        </row>
        <row r="4763">
          <cell r="I4763">
            <v>832011404</v>
          </cell>
          <cell r="J4763" t="str">
            <v>Instituto Nacional de Promocion social</v>
          </cell>
          <cell r="K4763">
            <v>22510841</v>
          </cell>
        </row>
        <row r="4764">
          <cell r="I4764">
            <v>832011510</v>
          </cell>
          <cell r="J4764" t="str">
            <v>IED SAN PATRICIO</v>
          </cell>
          <cell r="K4764">
            <v>88686420</v>
          </cell>
        </row>
        <row r="4765">
          <cell r="I4765">
            <v>834000055</v>
          </cell>
          <cell r="J4765" t="str">
            <v>IE JOSE ANTONIO GALAN</v>
          </cell>
          <cell r="K4765">
            <v>52999702</v>
          </cell>
        </row>
        <row r="4766">
          <cell r="I4766">
            <v>834000110</v>
          </cell>
          <cell r="J4766" t="str">
            <v>INSTITUCION  EDUCATIVA  ALEJANDRO HUMBOLDT-  RECURSOS  GRATUIDAD  DEL  S.G.P.</v>
          </cell>
          <cell r="K4766">
            <v>157241910</v>
          </cell>
        </row>
        <row r="4767">
          <cell r="I4767">
            <v>834000112</v>
          </cell>
          <cell r="J4767" t="str">
            <v>INSTITUCION EDUCATIVA COLEGIO TECNICO INDUSTRIAL FROILAN FARIAS MUNICIPIO DE TAME</v>
          </cell>
          <cell r="K4767">
            <v>98793993</v>
          </cell>
        </row>
        <row r="4768">
          <cell r="I4768">
            <v>834000166</v>
          </cell>
          <cell r="J4768" t="str">
            <v>institucion educativa santa teresita</v>
          </cell>
          <cell r="K4768">
            <v>146500026</v>
          </cell>
        </row>
        <row r="4769">
          <cell r="I4769">
            <v>834000185</v>
          </cell>
          <cell r="J4769" t="str">
            <v>UNIDAD EDUCATIVA  CRISTO  REY  RECURSOS  PROPIOS</v>
          </cell>
          <cell r="K4769">
            <v>137142744</v>
          </cell>
        </row>
        <row r="4770">
          <cell r="I4770">
            <v>834000196</v>
          </cell>
          <cell r="J4770" t="str">
            <v>FSE - INST.EDUCATIVA LA INMACULADA</v>
          </cell>
          <cell r="K4770">
            <v>54401070</v>
          </cell>
        </row>
        <row r="4771">
          <cell r="I4771">
            <v>834000531</v>
          </cell>
          <cell r="J4771" t="str">
            <v>INSTITUCION EDUCATIVA SAN LUIS</v>
          </cell>
          <cell r="K4771">
            <v>74254774</v>
          </cell>
        </row>
        <row r="4772">
          <cell r="I4772">
            <v>834000690</v>
          </cell>
          <cell r="J4772" t="str">
            <v>INSTITUCION  EDUCATIVA  GUSTAVO  VILLA  DIAZ  S.G.P.  MUNICIPIO   ARAUCA</v>
          </cell>
          <cell r="K4772">
            <v>64836456</v>
          </cell>
        </row>
        <row r="4773">
          <cell r="I4773">
            <v>834000699</v>
          </cell>
          <cell r="J4773" t="str">
            <v>CEAR MONSERRATE</v>
          </cell>
          <cell r="K4773">
            <v>27921288</v>
          </cell>
        </row>
        <row r="4774">
          <cell r="I4774">
            <v>834000806</v>
          </cell>
          <cell r="J4774" t="str">
            <v>FSE - INST. EDUC. JUAN JACOBO ROUSSEAU - FSE - INST. EDUC. JAUN JACOBO ROSSEAU</v>
          </cell>
          <cell r="K4774">
            <v>81735680</v>
          </cell>
        </row>
        <row r="4775">
          <cell r="I4775">
            <v>834000848</v>
          </cell>
          <cell r="J4775" t="str">
            <v>INSTITUCION EDUCATIVA PARMENIO BONILLA PAREDES</v>
          </cell>
          <cell r="K4775">
            <v>48442572</v>
          </cell>
        </row>
        <row r="4776">
          <cell r="I4776">
            <v>834000850</v>
          </cell>
          <cell r="J4776" t="str">
            <v>FSE INST. EDUC. JOSE MARIA CARBONELL</v>
          </cell>
          <cell r="K4776">
            <v>104337516</v>
          </cell>
        </row>
        <row r="4777">
          <cell r="I4777">
            <v>834000890</v>
          </cell>
          <cell r="J4777" t="str">
            <v>INSTITUCION EDUCATIVA JOSE ODEL LIZARAZO</v>
          </cell>
          <cell r="K4777">
            <v>45865137</v>
          </cell>
        </row>
        <row r="4778">
          <cell r="I4778">
            <v>834000905</v>
          </cell>
          <cell r="J4778" t="str">
            <v>INSTITUCION EDUCATIVA JOEL SIERRA</v>
          </cell>
          <cell r="K4778">
            <v>38111534</v>
          </cell>
        </row>
        <row r="4779">
          <cell r="I4779">
            <v>834001030</v>
          </cell>
          <cell r="J4779" t="str">
            <v>INSTITUCION  EDUCATIVA   LICEO  DEL LLANO FONDO  DE  SERVICIOS  EDUCATIVOS</v>
          </cell>
          <cell r="K4779">
            <v>92364662</v>
          </cell>
        </row>
        <row r="4780">
          <cell r="I4780">
            <v>834001067</v>
          </cell>
          <cell r="J4780" t="str">
            <v>CENTRO   EDUCATIVO  INDIGENA GUAHIBO  BETOY</v>
          </cell>
          <cell r="K4780">
            <v>56542658</v>
          </cell>
        </row>
        <row r="4781">
          <cell r="I4781">
            <v>834001254</v>
          </cell>
          <cell r="J4781" t="str">
            <v>INST. EDUCATIVA AGUSTIN NIETO CABALLERO</v>
          </cell>
          <cell r="K4781">
            <v>87129292</v>
          </cell>
        </row>
        <row r="4782">
          <cell r="I4782">
            <v>834001342</v>
          </cell>
          <cell r="J4782" t="str">
            <v>FONDO  DE  SERVICIOS  EDUCATIVOS INSTITUCION  EDUCATIVA   GABRIEL  GARCIA  MARQUEZ</v>
          </cell>
          <cell r="K4782">
            <v>64694347</v>
          </cell>
        </row>
        <row r="4783">
          <cell r="I4783">
            <v>834001373</v>
          </cell>
          <cell r="J4783" t="str">
            <v>FONDO DE  SERVICIOS  EDUCATIVOS INSTITUCION  EDUCATIVA  PEDRO  NEL  JIMENEZ</v>
          </cell>
          <cell r="K4783">
            <v>66694810</v>
          </cell>
        </row>
        <row r="4784">
          <cell r="I4784">
            <v>834001394</v>
          </cell>
          <cell r="J4784" t="str">
            <v>FONDO  DE  SERVICIOS  EDUCATIVOS  INSTITUCION  EDUCATIVA  MATECANDELA</v>
          </cell>
          <cell r="K4784">
            <v>46819505</v>
          </cell>
        </row>
        <row r="4785">
          <cell r="I4785">
            <v>834001412</v>
          </cell>
          <cell r="J4785" t="str">
            <v>INST. EDUCATIVA JOSE ACEVEDO Y GOMEZ</v>
          </cell>
          <cell r="K4785">
            <v>41235562</v>
          </cell>
        </row>
        <row r="4786">
          <cell r="I4786">
            <v>834001419</v>
          </cell>
          <cell r="J4786" t="str">
            <v>CENTRO EDUCATIVO UWA TUTUKANA SINAIAKA</v>
          </cell>
          <cell r="K4786">
            <v>33564664</v>
          </cell>
        </row>
        <row r="4787">
          <cell r="I4787">
            <v>834001593</v>
          </cell>
          <cell r="J4787" t="str">
            <v>TRANFERENCIA  PARA  LA  APLICACIÓN  POLITICA GRATUIDAD DEPARTAMENTO CEIN SIKUANI PLAYEROS</v>
          </cell>
          <cell r="K4787">
            <v>29326480</v>
          </cell>
        </row>
        <row r="4788">
          <cell r="I4788">
            <v>834001738</v>
          </cell>
          <cell r="J4788" t="str">
            <v>INSTITUCION EDUCATIVA VILLA CECILIA</v>
          </cell>
          <cell r="K4788">
            <v>57397376</v>
          </cell>
        </row>
        <row r="4789">
          <cell r="I4789">
            <v>834001765</v>
          </cell>
          <cell r="J4789" t="str">
            <v>CENTRO  EDUCATIVO  INDIGENAS  GUAHIBO MAKAGUAN  TRANFERENCIA GRATUIDAD EDUCACION  DEPARTAMENTO</v>
          </cell>
          <cell r="K4789">
            <v>40990993</v>
          </cell>
        </row>
        <row r="4790">
          <cell r="I4790">
            <v>834001788</v>
          </cell>
          <cell r="J4790" t="str">
            <v>INSTITUCION EDUCATIVA SAN JOSE DE LA PESQUERA</v>
          </cell>
          <cell r="K4790">
            <v>40630644</v>
          </cell>
        </row>
        <row r="4791">
          <cell r="I4791">
            <v>835000292</v>
          </cell>
          <cell r="J4791" t="str">
            <v>INSTITUCION EDUCATIVA PASCUAL DE ANDAGOYA</v>
          </cell>
          <cell r="K4791">
            <v>133106981</v>
          </cell>
        </row>
        <row r="4792">
          <cell r="I4792">
            <v>835000308</v>
          </cell>
          <cell r="J4792" t="str">
            <v>INSTITUCION EDUCATIVA JOSE RAMON BEJARANO</v>
          </cell>
          <cell r="K4792">
            <v>147684158</v>
          </cell>
        </row>
        <row r="4793">
          <cell r="I4793">
            <v>835000496</v>
          </cell>
          <cell r="J4793" t="str">
            <v>INSTITUCION EDUCATIVA ANTONIO NARIÑO</v>
          </cell>
          <cell r="K4793">
            <v>74178711</v>
          </cell>
        </row>
        <row r="4794">
          <cell r="I4794">
            <v>835000505</v>
          </cell>
          <cell r="J4794" t="str">
            <v>INSTITUCION EDUCATIVA REPUBLICA DE VENEZUELA</v>
          </cell>
          <cell r="K4794">
            <v>74125138</v>
          </cell>
        </row>
        <row r="4795">
          <cell r="I4795">
            <v>835000547</v>
          </cell>
          <cell r="J4795" t="str">
            <v>INSTITUCION EDUCATIVA TERMARIT</v>
          </cell>
          <cell r="K4795">
            <v>134256843</v>
          </cell>
        </row>
        <row r="4796">
          <cell r="I4796">
            <v>835000578</v>
          </cell>
          <cell r="J4796" t="str">
            <v>INSTITUCION EDUCATIVA JUAN JOSE RONDON</v>
          </cell>
          <cell r="K4796">
            <v>121889159</v>
          </cell>
        </row>
        <row r="4797">
          <cell r="I4797">
            <v>835000586</v>
          </cell>
          <cell r="J4797" t="str">
            <v>INSTITUCION EDUCATIVA JOSE MARIA CABAL</v>
          </cell>
          <cell r="K4797">
            <v>143811287</v>
          </cell>
        </row>
        <row r="4798">
          <cell r="I4798">
            <v>835000659</v>
          </cell>
          <cell r="J4798" t="str">
            <v>INSTITUCION EDUCATIVA NESTOR URBANO TENORIO</v>
          </cell>
          <cell r="K4798">
            <v>88669780</v>
          </cell>
        </row>
        <row r="4799">
          <cell r="I4799">
            <v>835000703</v>
          </cell>
          <cell r="J4799" t="str">
            <v>INSTITUCION EDUCATIVA SAN RAFAEL</v>
          </cell>
          <cell r="K4799">
            <v>61290502</v>
          </cell>
        </row>
        <row r="4800">
          <cell r="I4800">
            <v>835000850</v>
          </cell>
          <cell r="J4800" t="str">
            <v>INSTITUCION EDUCATIVA FRANCISCO JOSE DE CALDAS</v>
          </cell>
          <cell r="K4800">
            <v>124194810</v>
          </cell>
        </row>
        <row r="4801">
          <cell r="I4801">
            <v>835000860</v>
          </cell>
          <cell r="J4801" t="str">
            <v>INSTITUCION EDUCATIVA TECNICO AGROPECUARIA PATRICIO OLAVE ANGULO</v>
          </cell>
          <cell r="K4801">
            <v>47987839</v>
          </cell>
        </row>
        <row r="4802">
          <cell r="I4802">
            <v>835001089</v>
          </cell>
          <cell r="J4802" t="str">
            <v>INSTITUCION EDUCATIVA JOSE MARIA CORDOBA</v>
          </cell>
          <cell r="K4802">
            <v>58154094</v>
          </cell>
        </row>
        <row r="4803">
          <cell r="I4803">
            <v>835001100</v>
          </cell>
          <cell r="J4803" t="str">
            <v>INSTITUCION EDUCATIVA JUANCHACO</v>
          </cell>
          <cell r="K4803">
            <v>42089236</v>
          </cell>
        </row>
        <row r="4804">
          <cell r="I4804">
            <v>835001132</v>
          </cell>
          <cell r="J4804" t="str">
            <v>INSTITUCION EDUCATIVA FRANCISCO JAVIER CISNEROS</v>
          </cell>
          <cell r="K4804">
            <v>66830694</v>
          </cell>
        </row>
        <row r="4805">
          <cell r="I4805">
            <v>835001644</v>
          </cell>
          <cell r="J4805" t="str">
            <v>INSTITUCION EDUCATIVA SANTA CECILIA</v>
          </cell>
          <cell r="K4805">
            <v>94556550</v>
          </cell>
        </row>
        <row r="4806">
          <cell r="I4806">
            <v>835001699</v>
          </cell>
          <cell r="J4806" t="str">
            <v>INSTITUCION EDUCATIVA ATANASIO GIRARDOT</v>
          </cell>
          <cell r="K4806">
            <v>94276158</v>
          </cell>
        </row>
        <row r="4807">
          <cell r="I4807">
            <v>835001703</v>
          </cell>
          <cell r="J4807" t="str">
            <v>INSTITUCION EDUCATIVAS LAS AMERICAS</v>
          </cell>
          <cell r="K4807">
            <v>196252141</v>
          </cell>
        </row>
        <row r="4808">
          <cell r="I4808">
            <v>835001711</v>
          </cell>
          <cell r="J4808" t="str">
            <v>INSTITUCION EDUCATIVA TECNICO AGROPECUARIA RAUL OREJUELA BUENO</v>
          </cell>
          <cell r="K4808">
            <v>72460768</v>
          </cell>
        </row>
        <row r="4809">
          <cell r="I4809">
            <v>835001767</v>
          </cell>
          <cell r="J4809" t="str">
            <v>INSTITUCION EDUCATIVA NIÑO JESUS DE PRAGA</v>
          </cell>
          <cell r="K4809">
            <v>95416752</v>
          </cell>
        </row>
        <row r="4810">
          <cell r="I4810">
            <v>835001793</v>
          </cell>
          <cell r="J4810" t="str">
            <v>INSTITUCION EDUCATIVA ANTONIO JOSE DE SUCRE</v>
          </cell>
          <cell r="K4810">
            <v>34752089</v>
          </cell>
        </row>
        <row r="4811">
          <cell r="I4811">
            <v>835001800</v>
          </cell>
          <cell r="J4811" t="str">
            <v>INSTITUCION EDUCATIVA ROSA ZARATE DE PENA No 33 D</v>
          </cell>
          <cell r="K4811">
            <v>33353175</v>
          </cell>
        </row>
        <row r="4812">
          <cell r="I4812">
            <v>835001816</v>
          </cell>
          <cell r="J4812" t="str">
            <v>INSTITUCION EDUCATIVA JOSE ACEVEDO Y GOMEZ</v>
          </cell>
          <cell r="K4812">
            <v>90479912</v>
          </cell>
        </row>
        <row r="4813">
          <cell r="I4813">
            <v>835001819</v>
          </cell>
          <cell r="J4813" t="str">
            <v>INSTITUCION EDUCATIVA ESTHER ETELVINA ARAMBURO</v>
          </cell>
          <cell r="K4813">
            <v>73132662</v>
          </cell>
        </row>
        <row r="4814">
          <cell r="I4814">
            <v>835001820</v>
          </cell>
          <cell r="J4814" t="str">
            <v>INSTITUCION EDUCATIVO PABLO EMILIO CARVAJAL</v>
          </cell>
          <cell r="K4814">
            <v>201343373</v>
          </cell>
        </row>
        <row r="4815">
          <cell r="I4815">
            <v>835001823</v>
          </cell>
          <cell r="J4815" t="str">
            <v>INSTITUCION EDUCATIVA SIMON BOLIVAR</v>
          </cell>
          <cell r="K4815">
            <v>182856051</v>
          </cell>
        </row>
        <row r="4816">
          <cell r="I4816">
            <v>835001857</v>
          </cell>
          <cell r="J4816" t="str">
            <v>INSTITUCION EDUCATIVA ALFREDO VASQUEZ COBO</v>
          </cell>
          <cell r="K4816">
            <v>13428000</v>
          </cell>
        </row>
        <row r="4817">
          <cell r="I4817">
            <v>835001866</v>
          </cell>
          <cell r="J4817" t="str">
            <v>INSTITUCION EDUCATIVA SAN PEDRO CLAVER</v>
          </cell>
          <cell r="K4817">
            <v>7537199</v>
          </cell>
        </row>
        <row r="4818">
          <cell r="I4818">
            <v>835001922</v>
          </cell>
          <cell r="J4818" t="str">
            <v>INSTITUCION EDUCATIVA NUESTRA SEÑORA  DEL PERPETUO SOCORRO</v>
          </cell>
          <cell r="K4818">
            <v>44331279</v>
          </cell>
        </row>
        <row r="4819">
          <cell r="I4819">
            <v>835001930</v>
          </cell>
          <cell r="J4819" t="str">
            <v>INSTITUCION EDUCATIVA NONAM</v>
          </cell>
          <cell r="K4819">
            <v>54806278</v>
          </cell>
        </row>
        <row r="4820">
          <cell r="I4820">
            <v>835001976</v>
          </cell>
          <cell r="J4820" t="str">
            <v>INSTITUCION EDUCATIVA JAIME ROOCK</v>
          </cell>
          <cell r="K4820">
            <v>47731334</v>
          </cell>
        </row>
        <row r="4821">
          <cell r="I4821">
            <v>836000050</v>
          </cell>
          <cell r="J4821" t="str">
            <v>INSTITUCION EDUCATIVA ANTONIO HOLGUIN GARCES</v>
          </cell>
          <cell r="K4821">
            <v>123090217</v>
          </cell>
        </row>
        <row r="4822">
          <cell r="I4822">
            <v>836000146</v>
          </cell>
          <cell r="J4822" t="str">
            <v>INSTITUCION EDUCATIVA CIUDAD DE CARTAGO</v>
          </cell>
          <cell r="K4822">
            <v>72854500</v>
          </cell>
        </row>
        <row r="4823">
          <cell r="I4823">
            <v>836000190</v>
          </cell>
          <cell r="J4823" t="str">
            <v>INSTITUCION EDUCATIVA MANUEL QUINTERO PENILLA</v>
          </cell>
          <cell r="K4823">
            <v>65198245</v>
          </cell>
        </row>
        <row r="4824">
          <cell r="I4824">
            <v>836000201</v>
          </cell>
          <cell r="J4824" t="str">
            <v>INSTITUCION EDUCATIVA RAMON MARTINEZ BENITEZ</v>
          </cell>
          <cell r="K4824">
            <v>107912553</v>
          </cell>
        </row>
        <row r="4825">
          <cell r="I4825">
            <v>836000210</v>
          </cell>
          <cell r="J4825" t="str">
            <v>INSTITUCION EDUCATIVA GABO</v>
          </cell>
          <cell r="K4825">
            <v>182939810</v>
          </cell>
        </row>
        <row r="4826">
          <cell r="I4826">
            <v>837000018</v>
          </cell>
          <cell r="J4826" t="str">
            <v>INSTITUCION EDUCATIVA COLEGIO AGROINDUSTRIAL LOS PASTOS</v>
          </cell>
          <cell r="K4826">
            <v>95332655</v>
          </cell>
        </row>
        <row r="4827">
          <cell r="I4827">
            <v>837000110</v>
          </cell>
          <cell r="J4827" t="str">
            <v>INSTITUCION EDUCATIVA COLEGIO GENARO LEON</v>
          </cell>
          <cell r="K4827">
            <v>129390769</v>
          </cell>
        </row>
        <row r="4828">
          <cell r="I4828">
            <v>837000127</v>
          </cell>
          <cell r="J4828" t="str">
            <v>INSTITUCION EDUCATIVA INMACULADA CONCEPCION DE TALLAMBI</v>
          </cell>
          <cell r="K4828">
            <v>26051422</v>
          </cell>
        </row>
        <row r="4829">
          <cell r="I4829">
            <v>837000197</v>
          </cell>
          <cell r="J4829" t="str">
            <v>INSTITUCION EDUCATIVA PUENES</v>
          </cell>
          <cell r="K4829">
            <v>47575355</v>
          </cell>
        </row>
        <row r="4830">
          <cell r="I4830">
            <v>837000199</v>
          </cell>
          <cell r="J4830" t="str">
            <v>FONDOS DE SERVICIOS EDUCATIVOS INST. TOMAS ARTURO SANCHEZ</v>
          </cell>
          <cell r="K4830">
            <v>108795777</v>
          </cell>
        </row>
        <row r="4831">
          <cell r="I4831">
            <v>837000212</v>
          </cell>
          <cell r="J4831" t="str">
            <v>INSTITUCION EDUCATIVA BARRIO OBRERO</v>
          </cell>
          <cell r="K4831">
            <v>56972517</v>
          </cell>
        </row>
        <row r="4832">
          <cell r="I4832">
            <v>837000325</v>
          </cell>
          <cell r="J4832" t="str">
            <v>INSTITUCION EDUCATIVA SAN JOSE DE CHILLANQUER FONDO DE SERVICIOS EDUCATIVOS</v>
          </cell>
          <cell r="K4832">
            <v>25039825</v>
          </cell>
        </row>
        <row r="4833">
          <cell r="I4833">
            <v>837000357</v>
          </cell>
          <cell r="J4833" t="str">
            <v>INSTITUCION EDUCATIVA LA VICTORIA - FONDOS COMUNES</v>
          </cell>
          <cell r="K4833">
            <v>54472182</v>
          </cell>
        </row>
        <row r="4834">
          <cell r="I4834">
            <v>837000436</v>
          </cell>
          <cell r="J4834" t="str">
            <v>INSTITUCION EDUCATIVA SAN LORENZO DE YARAMAL</v>
          </cell>
          <cell r="K4834">
            <v>63902842</v>
          </cell>
        </row>
        <row r="4835">
          <cell r="I4835">
            <v>837000643</v>
          </cell>
          <cell r="J4835" t="str">
            <v>INSTITUCION EDUCATIVA LAGUNA DE BACCA</v>
          </cell>
          <cell r="K4835">
            <v>34267130</v>
          </cell>
        </row>
        <row r="4836">
          <cell r="I4836">
            <v>837000808</v>
          </cell>
          <cell r="J4836" t="str">
            <v>INSTITUCION EDUCATIVA NAZARETH</v>
          </cell>
          <cell r="K4836">
            <v>49205090</v>
          </cell>
        </row>
        <row r="4837">
          <cell r="I4837">
            <v>837000935</v>
          </cell>
          <cell r="J4837" t="str">
            <v>INSTITUCION EDUCATIVA COLEGIO ALFONSO LOPEZ</v>
          </cell>
          <cell r="K4837">
            <v>16001564</v>
          </cell>
        </row>
        <row r="4838">
          <cell r="I4838">
            <v>838000047</v>
          </cell>
          <cell r="J4838" t="str">
            <v>ESCUELA NORMAL NACIONAL INTEGRADA</v>
          </cell>
          <cell r="K4838">
            <v>258915517</v>
          </cell>
        </row>
        <row r="4839">
          <cell r="I4839">
            <v>838000135</v>
          </cell>
          <cell r="J4839" t="str">
            <v>INSTITUCION EDUCATIVA JOSE CELESTINO MUTIS</v>
          </cell>
          <cell r="K4839">
            <v>65377860</v>
          </cell>
        </row>
        <row r="4840">
          <cell r="I4840">
            <v>838000271</v>
          </cell>
          <cell r="J4840" t="str">
            <v>INSTITUCION EDUCATIVA SAGRADO CORAZON DE JESUS</v>
          </cell>
          <cell r="K4840">
            <v>141438798</v>
          </cell>
        </row>
        <row r="4841">
          <cell r="I4841">
            <v>838000284</v>
          </cell>
          <cell r="J4841" t="str">
            <v>INSTITUCION EDUCATIVA INEM JOSE EUSTACIO RIVERA</v>
          </cell>
          <cell r="K4841">
            <v>143130035</v>
          </cell>
        </row>
        <row r="4842">
          <cell r="I4842">
            <v>838000337</v>
          </cell>
          <cell r="J4842" t="str">
            <v>INSTITUCION EDUCATIVA SAN JUAN BOSCO</v>
          </cell>
          <cell r="K4842">
            <v>88255543</v>
          </cell>
        </row>
        <row r="4843">
          <cell r="I4843">
            <v>839000100</v>
          </cell>
          <cell r="J4843" t="str">
            <v>INST EDUCATIVA N. 9</v>
          </cell>
          <cell r="K4843">
            <v>106245697</v>
          </cell>
        </row>
        <row r="4844">
          <cell r="I4844">
            <v>839000139</v>
          </cell>
          <cell r="J4844" t="str">
            <v>INSTITUCION EDUCATIVA NUMERO DOS</v>
          </cell>
          <cell r="K4844">
            <v>245067136</v>
          </cell>
        </row>
        <row r="4845">
          <cell r="I4845">
            <v>839000144</v>
          </cell>
          <cell r="J4845" t="str">
            <v>INSTITUCION EDUCATIVA N. 11</v>
          </cell>
          <cell r="K4845">
            <v>128755452</v>
          </cell>
        </row>
        <row r="4846">
          <cell r="I4846">
            <v>839000150</v>
          </cell>
          <cell r="J4846" t="str">
            <v>INSTITUCION EDUCATIVA NUMERO UNO</v>
          </cell>
          <cell r="K4846">
            <v>79016713</v>
          </cell>
        </row>
        <row r="4847">
          <cell r="I4847">
            <v>839000154</v>
          </cell>
          <cell r="J4847" t="str">
            <v>INSTITUCION EDUCATIVA NRO OCHO</v>
          </cell>
          <cell r="K4847">
            <v>135905922</v>
          </cell>
        </row>
        <row r="4848">
          <cell r="I4848">
            <v>839000161</v>
          </cell>
          <cell r="J4848" t="str">
            <v>INSTITUCION EDUCATIVA NUMERO SEIS</v>
          </cell>
          <cell r="K4848">
            <v>93318930</v>
          </cell>
        </row>
        <row r="4849">
          <cell r="I4849">
            <v>839000360</v>
          </cell>
          <cell r="J4849" t="str">
            <v>MUNICIPIO DE ALBANIA</v>
          </cell>
          <cell r="K4849">
            <v>406038731</v>
          </cell>
        </row>
        <row r="4850">
          <cell r="I4850">
            <v>839000491</v>
          </cell>
          <cell r="J4850" t="str">
            <v>INSTITUCION EDUCATIVA NUMERO SIETE</v>
          </cell>
          <cell r="K4850">
            <v>125190163</v>
          </cell>
        </row>
        <row r="4851">
          <cell r="I4851">
            <v>839000558</v>
          </cell>
          <cell r="J4851" t="str">
            <v>ESCUELA RURAL DE PARAGUACHON</v>
          </cell>
          <cell r="K4851">
            <v>68807765</v>
          </cell>
        </row>
        <row r="4852">
          <cell r="I4852">
            <v>839000605</v>
          </cell>
          <cell r="J4852" t="str">
            <v>INSTITUCION EDUCATIVA N 10</v>
          </cell>
          <cell r="K4852">
            <v>140087795</v>
          </cell>
        </row>
        <row r="4853">
          <cell r="I4853">
            <v>839000714</v>
          </cell>
          <cell r="J4853" t="str">
            <v>INSTITUCION EDUCATIVA N. 4</v>
          </cell>
          <cell r="K4853">
            <v>129333754</v>
          </cell>
        </row>
        <row r="4854">
          <cell r="I4854">
            <v>839000861</v>
          </cell>
          <cell r="J4854" t="str">
            <v>INSTITUCION EDUCATIVA RURAL N. 01</v>
          </cell>
          <cell r="K4854">
            <v>221673250</v>
          </cell>
        </row>
        <row r="4855">
          <cell r="I4855">
            <v>839000862</v>
          </cell>
          <cell r="J4855" t="str">
            <v>CENTRO EDUCATIVO INDIGENA N. 4</v>
          </cell>
          <cell r="K4855">
            <v>142698696</v>
          </cell>
        </row>
        <row r="4856">
          <cell r="I4856">
            <v>839000863</v>
          </cell>
          <cell r="J4856" t="str">
            <v>CENTRO EDUCATIVO RURAL CEIR NUMERO UNO</v>
          </cell>
          <cell r="K4856">
            <v>88546450</v>
          </cell>
        </row>
        <row r="4857">
          <cell r="I4857">
            <v>839000864</v>
          </cell>
          <cell r="J4857" t="str">
            <v>CENTRO EDUCVATIVO INDIGENA RURAL NUMERO DOS</v>
          </cell>
          <cell r="K4857">
            <v>130521371</v>
          </cell>
        </row>
        <row r="4858">
          <cell r="I4858">
            <v>839000865</v>
          </cell>
          <cell r="J4858" t="str">
            <v>CENTRO EDUCATIVO INDIGENA RURAL N. 7</v>
          </cell>
          <cell r="K4858">
            <v>151818760</v>
          </cell>
        </row>
        <row r="4859">
          <cell r="I4859">
            <v>839000866</v>
          </cell>
          <cell r="J4859" t="str">
            <v>CENTRO EDUCVATIVO INDIGENA RURAL N.3</v>
          </cell>
          <cell r="K4859">
            <v>43423167</v>
          </cell>
        </row>
        <row r="4860">
          <cell r="I4860">
            <v>839000903</v>
          </cell>
          <cell r="J4860" t="str">
            <v>CENTRO EDUCATIVO INDIGENA RURAL N. 8</v>
          </cell>
          <cell r="K4860">
            <v>103820772</v>
          </cell>
        </row>
        <row r="4861">
          <cell r="I4861">
            <v>840000008</v>
          </cell>
          <cell r="J4861" t="str">
            <v>INSTITUTO TECNICO INDUSTRIAL NACINAL</v>
          </cell>
          <cell r="K4861">
            <v>127891730</v>
          </cell>
        </row>
        <row r="4862">
          <cell r="I4862">
            <v>840000148</v>
          </cell>
          <cell r="J4862" t="str">
            <v>I.E. INSTITUTO TECNICO POPULAR DE LA COSTA</v>
          </cell>
          <cell r="K4862">
            <v>166757207</v>
          </cell>
        </row>
        <row r="4863">
          <cell r="I4863">
            <v>840000163</v>
          </cell>
          <cell r="J4863" t="str">
            <v>I.E. CIUDADELA TUMAC</v>
          </cell>
          <cell r="K4863">
            <v>87562864</v>
          </cell>
        </row>
        <row r="4864">
          <cell r="I4864">
            <v>840000167</v>
          </cell>
          <cell r="J4864" t="str">
            <v>INSTITUCION  EDUCATIVA  IBERIA FONDO  DE SERVICIOS  DOCENTES</v>
          </cell>
          <cell r="K4864">
            <v>182405449</v>
          </cell>
        </row>
        <row r="4865">
          <cell r="I4865">
            <v>840000174</v>
          </cell>
          <cell r="J4865" t="str">
            <v>I.E. ROBERT MARIO BISCHOF</v>
          </cell>
          <cell r="K4865">
            <v>147400888</v>
          </cell>
        </row>
        <row r="4866">
          <cell r="I4866">
            <v>840000177</v>
          </cell>
          <cell r="J4866" t="str">
            <v>I.E. NUEVA FLORIDA</v>
          </cell>
          <cell r="K4866">
            <v>104466217</v>
          </cell>
        </row>
        <row r="4867">
          <cell r="I4867">
            <v>840000181</v>
          </cell>
          <cell r="J4867" t="str">
            <v>I.E. GENERAL SANTANDER</v>
          </cell>
          <cell r="K4867">
            <v>72055257</v>
          </cell>
        </row>
        <row r="4868">
          <cell r="I4868">
            <v>840000185</v>
          </cell>
          <cell r="J4868" t="str">
            <v>F.S.E.  I.E. CIUDADELA MIXTA</v>
          </cell>
          <cell r="K4868">
            <v>113817114</v>
          </cell>
        </row>
        <row r="4869">
          <cell r="I4869">
            <v>840000229</v>
          </cell>
          <cell r="J4869" t="str">
            <v>INSTITUCION EDUCATIVA SAN JOSE</v>
          </cell>
          <cell r="K4869">
            <v>103459552</v>
          </cell>
        </row>
        <row r="4870">
          <cell r="I4870">
            <v>840000261</v>
          </cell>
          <cell r="J4870" t="str">
            <v>I.E. NUESTRA SEÑORA DEL CARMEN</v>
          </cell>
          <cell r="K4870">
            <v>52059979</v>
          </cell>
        </row>
        <row r="4871">
          <cell r="I4871">
            <v>840000286</v>
          </cell>
          <cell r="J4871" t="str">
            <v>I.E. INTEGRADA CHILVI</v>
          </cell>
          <cell r="K4871">
            <v>158428754</v>
          </cell>
        </row>
        <row r="4872">
          <cell r="I4872">
            <v>840000291</v>
          </cell>
          <cell r="J4872" t="str">
            <v>I.E. IMBILI CARRETERA</v>
          </cell>
          <cell r="K4872">
            <v>102505092</v>
          </cell>
        </row>
        <row r="4873">
          <cell r="I4873">
            <v>840000320</v>
          </cell>
          <cell r="J4873" t="str">
            <v>I.E. MISIONAL SANTA TERESITA</v>
          </cell>
          <cell r="K4873">
            <v>165860781</v>
          </cell>
        </row>
        <row r="4874">
          <cell r="I4874">
            <v>840000331</v>
          </cell>
          <cell r="J4874" t="str">
            <v>FONDO DE SERVICIOS  DOCENTES INSTITUCION  EDUCATIVA TANGAREAL</v>
          </cell>
          <cell r="K4874">
            <v>102691633</v>
          </cell>
        </row>
        <row r="4875">
          <cell r="I4875">
            <v>840000421</v>
          </cell>
          <cell r="J4875" t="str">
            <v>INSTITUCION EDUCATIVA  EL CANAL</v>
          </cell>
          <cell r="K4875">
            <v>31045284</v>
          </cell>
        </row>
        <row r="4876">
          <cell r="I4876">
            <v>840000423</v>
          </cell>
          <cell r="J4876" t="str">
            <v>FONDO DE SERVICIOS EDUCATIVOS INSTITUCION EDUCATIVA SOFONIAS YACUP</v>
          </cell>
          <cell r="K4876">
            <v>141188664</v>
          </cell>
        </row>
        <row r="4877">
          <cell r="I4877">
            <v>840000554</v>
          </cell>
          <cell r="J4877" t="str">
            <v>COLEGIO  NUESTRA SEÑORA  DE  FATIMA</v>
          </cell>
          <cell r="K4877">
            <v>158268524</v>
          </cell>
        </row>
        <row r="4878">
          <cell r="I4878">
            <v>840000565</v>
          </cell>
          <cell r="J4878" t="str">
            <v>I.E. SAN JUAN EVANGELISTA</v>
          </cell>
          <cell r="K4878">
            <v>32989940</v>
          </cell>
        </row>
        <row r="4879">
          <cell r="I4879">
            <v>840000788</v>
          </cell>
          <cell r="J4879" t="str">
            <v>FONDO EDUCATIVO LICEO DEL PACIFICO</v>
          </cell>
          <cell r="K4879">
            <v>165750014</v>
          </cell>
        </row>
        <row r="4880">
          <cell r="I4880">
            <v>840000882</v>
          </cell>
          <cell r="J4880" t="str">
            <v>INSTITUCION EDUCATIVA EL DIVISO</v>
          </cell>
          <cell r="K4880">
            <v>49126549</v>
          </cell>
        </row>
        <row r="4881">
          <cell r="I4881">
            <v>840000935</v>
          </cell>
          <cell r="J4881" t="str">
            <v>INSTITUCION MIXTA LA INMACULADA</v>
          </cell>
          <cell r="K4881">
            <v>147162805</v>
          </cell>
        </row>
        <row r="4882">
          <cell r="I4882">
            <v>840000975</v>
          </cell>
          <cell r="J4882" t="str">
            <v>I.E. INMACULADA CONCEPCION</v>
          </cell>
          <cell r="K4882">
            <v>73349507</v>
          </cell>
        </row>
        <row r="4883">
          <cell r="I4883">
            <v>840001014</v>
          </cell>
          <cell r="J4883" t="str">
            <v>INSTITUCION EDUCATIVA SAN JUAN BAUTISTA</v>
          </cell>
          <cell r="K4883">
            <v>81807410</v>
          </cell>
        </row>
        <row r="4884">
          <cell r="I4884">
            <v>840001018</v>
          </cell>
          <cell r="J4884" t="str">
            <v>INSTITUCION EDUCATIVA RIO TAPAJE FONDO SERVICIOS EDUCATIVOS</v>
          </cell>
          <cell r="K4884">
            <v>68122794</v>
          </cell>
        </row>
        <row r="4885">
          <cell r="I4885">
            <v>840001019</v>
          </cell>
          <cell r="J4885" t="str">
            <v>INSTITUCION EDUCATIVA ELISEO PAYAN</v>
          </cell>
          <cell r="K4885">
            <v>197263000</v>
          </cell>
        </row>
        <row r="4886">
          <cell r="I4886">
            <v>840001021</v>
          </cell>
          <cell r="J4886" t="str">
            <v>IINSTITUCION  EDUCATIVA  MIXTA  DOS   QUEBRADAS</v>
          </cell>
          <cell r="K4886">
            <v>98754742</v>
          </cell>
        </row>
        <row r="4887">
          <cell r="I4887">
            <v>840001040</v>
          </cell>
          <cell r="J4887" t="str">
            <v>I.E. MANUEL BENITEZ DUCKLERG</v>
          </cell>
          <cell r="K4887">
            <v>22060536</v>
          </cell>
        </row>
        <row r="4888">
          <cell r="I4888">
            <v>840001058</v>
          </cell>
          <cell r="J4888" t="str">
            <v>FONDOS  DEOCENTES  COLEGIO   SANTA  TERESITA</v>
          </cell>
          <cell r="K4888">
            <v>123138652</v>
          </cell>
        </row>
        <row r="4889">
          <cell r="I4889">
            <v>840001059</v>
          </cell>
          <cell r="J4889" t="str">
            <v>INSTITUCION EDUCATIVA POLICARPA BOCAS DE TELEMBI</v>
          </cell>
          <cell r="K4889">
            <v>185744180</v>
          </cell>
        </row>
        <row r="4890">
          <cell r="I4890">
            <v>840001065</v>
          </cell>
          <cell r="J4890" t="str">
            <v>INST EDCU EL HOR FSE</v>
          </cell>
          <cell r="K4890">
            <v>58195111</v>
          </cell>
        </row>
        <row r="4891">
          <cell r="I4891">
            <v>840001070</v>
          </cell>
          <cell r="J4891" t="str">
            <v>I.E. SAN JOSE DE CAUNAPI</v>
          </cell>
          <cell r="K4891">
            <v>83919038</v>
          </cell>
        </row>
        <row r="4892">
          <cell r="I4892">
            <v>840001138</v>
          </cell>
          <cell r="J4892" t="str">
            <v>INSTITUCION EDUCATIVA BASICA SAN JOSE DEL TAPAJE</v>
          </cell>
          <cell r="K4892">
            <v>121721793</v>
          </cell>
        </row>
        <row r="4893">
          <cell r="I4893">
            <v>841000421</v>
          </cell>
          <cell r="J4893" t="str">
            <v>IER SIETE VUELTAS - San Juan de Urabá</v>
          </cell>
          <cell r="K4893">
            <v>43271530</v>
          </cell>
        </row>
        <row r="4894">
          <cell r="I4894">
            <v>841000471</v>
          </cell>
          <cell r="J4894" t="str">
            <v>Institucion Educativa 29 Noviembre</v>
          </cell>
          <cell r="K4894">
            <v>97972131</v>
          </cell>
        </row>
        <row r="4895">
          <cell r="I4895">
            <v>841000510</v>
          </cell>
          <cell r="J4895" t="str">
            <v>Institucion Educativa Central</v>
          </cell>
          <cell r="K4895">
            <v>170963339</v>
          </cell>
        </row>
        <row r="4896">
          <cell r="I4896">
            <v>841000512</v>
          </cell>
          <cell r="J4896" t="str">
            <v>Institucion Educativa Francisco Luis Valderrama</v>
          </cell>
          <cell r="K4896">
            <v>147241448</v>
          </cell>
        </row>
        <row r="4897">
          <cell r="I4897">
            <v>841000514</v>
          </cell>
          <cell r="J4897" t="str">
            <v>Institucion Educativa Nueva Colonia</v>
          </cell>
          <cell r="K4897">
            <v>158685171</v>
          </cell>
        </row>
        <row r="4898">
          <cell r="I4898">
            <v>841000515</v>
          </cell>
          <cell r="J4898" t="str">
            <v>Institucion Educativa veinticuatro de Diciembre</v>
          </cell>
          <cell r="K4898">
            <v>101503626</v>
          </cell>
        </row>
        <row r="4899">
          <cell r="I4899">
            <v>841000516</v>
          </cell>
          <cell r="J4899" t="str">
            <v>Institucion Educativa Santa Fe</v>
          </cell>
          <cell r="K4899">
            <v>92150650</v>
          </cell>
        </row>
        <row r="4900">
          <cell r="I4900">
            <v>841000518</v>
          </cell>
          <cell r="J4900" t="str">
            <v>Institucion Educativa Piedrecitas</v>
          </cell>
          <cell r="K4900">
            <v>60848613</v>
          </cell>
        </row>
        <row r="4901">
          <cell r="I4901">
            <v>841000523</v>
          </cell>
          <cell r="J4901" t="str">
            <v>Institucion Educativa Normal Superior de Uraba</v>
          </cell>
          <cell r="K4901">
            <v>105660675</v>
          </cell>
        </row>
        <row r="4902">
          <cell r="I4902">
            <v>841000530</v>
          </cell>
          <cell r="J4902" t="str">
            <v>Institucion Educativa Turbo</v>
          </cell>
          <cell r="K4902">
            <v>108516409</v>
          </cell>
        </row>
        <row r="4903">
          <cell r="I4903">
            <v>841000531</v>
          </cell>
          <cell r="J4903" t="str">
            <v>Institucion Educativa El Dos</v>
          </cell>
          <cell r="K4903">
            <v>92998330</v>
          </cell>
        </row>
        <row r="4904">
          <cell r="I4904">
            <v>841000532</v>
          </cell>
          <cell r="J4904" t="str">
            <v>Institucion Educativa Angel Milan Perea</v>
          </cell>
          <cell r="K4904">
            <v>100759955</v>
          </cell>
        </row>
        <row r="4905">
          <cell r="I4905">
            <v>841000537</v>
          </cell>
          <cell r="J4905" t="str">
            <v>Institucion Educativa Villa Maria</v>
          </cell>
          <cell r="K4905">
            <v>62913193</v>
          </cell>
        </row>
        <row r="4906">
          <cell r="I4906">
            <v>841000538</v>
          </cell>
          <cell r="J4906" t="str">
            <v>Institucion Educativa Pueblo Bello</v>
          </cell>
          <cell r="K4906">
            <v>76560960</v>
          </cell>
        </row>
        <row r="4907">
          <cell r="I4907">
            <v>841000539</v>
          </cell>
          <cell r="J4907" t="str">
            <v>Institucion Educativa Comunal San Jorge</v>
          </cell>
          <cell r="K4907">
            <v>98540112</v>
          </cell>
        </row>
        <row r="4908">
          <cell r="I4908">
            <v>841000541</v>
          </cell>
          <cell r="J4908" t="str">
            <v>Institucion Educativa De Desarrollo Rural</v>
          </cell>
          <cell r="K4908">
            <v>102452750</v>
          </cell>
        </row>
        <row r="4909">
          <cell r="I4909">
            <v>841000542</v>
          </cell>
          <cell r="J4909" t="str">
            <v>Institucion Educativa el Tres</v>
          </cell>
          <cell r="K4909">
            <v>129143233</v>
          </cell>
        </row>
        <row r="4910">
          <cell r="I4910">
            <v>841000544</v>
          </cell>
          <cell r="J4910" t="str">
            <v>Institucion Educativa Riogrande</v>
          </cell>
          <cell r="K4910">
            <v>99702217</v>
          </cell>
        </row>
        <row r="4911">
          <cell r="I4911">
            <v>841000547</v>
          </cell>
          <cell r="J4911" t="str">
            <v>Centro Educativo Monteverde</v>
          </cell>
          <cell r="K4911">
            <v>72199974</v>
          </cell>
        </row>
        <row r="4912">
          <cell r="I4912">
            <v>841000555</v>
          </cell>
          <cell r="J4912" t="str">
            <v>Institucion Educativa 27 de Diciembre</v>
          </cell>
          <cell r="K4912">
            <v>54883460</v>
          </cell>
        </row>
        <row r="4913">
          <cell r="I4913">
            <v>841000584</v>
          </cell>
          <cell r="J4913" t="str">
            <v>Institucion Educativa Coldesa</v>
          </cell>
          <cell r="K4913">
            <v>52122999</v>
          </cell>
        </row>
        <row r="4914">
          <cell r="I4914">
            <v>841000602</v>
          </cell>
          <cell r="J4914" t="str">
            <v>Centro Educativo Puerto Cesar</v>
          </cell>
          <cell r="K4914">
            <v>44059088</v>
          </cell>
        </row>
        <row r="4915">
          <cell r="I4915">
            <v>841000609</v>
          </cell>
          <cell r="J4915" t="str">
            <v>F.S.E. Centro Educativo El Volcan</v>
          </cell>
          <cell r="K4915">
            <v>31585107</v>
          </cell>
        </row>
        <row r="4916">
          <cell r="I4916">
            <v>841000612</v>
          </cell>
          <cell r="J4916" t="str">
            <v>Institucion Educativa San Vicente del Congo</v>
          </cell>
          <cell r="K4916">
            <v>87955040</v>
          </cell>
        </row>
        <row r="4917">
          <cell r="I4917">
            <v>841000613</v>
          </cell>
          <cell r="J4917" t="str">
            <v>Institucion Educativa San Jose de Mulatos</v>
          </cell>
          <cell r="K4917">
            <v>39856542</v>
          </cell>
        </row>
        <row r="4918">
          <cell r="I4918">
            <v>841000614</v>
          </cell>
          <cell r="J4918" t="str">
            <v>Centro Educativo Puya del Medio</v>
          </cell>
          <cell r="K4918">
            <v>30203209</v>
          </cell>
        </row>
        <row r="4919">
          <cell r="I4919">
            <v>841000615</v>
          </cell>
          <cell r="J4919" t="str">
            <v>F.S.E. Centro Educativo la Pita</v>
          </cell>
          <cell r="K4919">
            <v>24307613</v>
          </cell>
        </row>
        <row r="4920">
          <cell r="I4920">
            <v>841000676</v>
          </cell>
          <cell r="J4920" t="str">
            <v>Institucion Educativa Blanquicet</v>
          </cell>
          <cell r="K4920">
            <v>45438724</v>
          </cell>
        </row>
        <row r="4921">
          <cell r="I4921">
            <v>841000702</v>
          </cell>
          <cell r="J4921" t="str">
            <v>Centro Educativo Nuevo Oriente</v>
          </cell>
          <cell r="K4921">
            <v>34715919</v>
          </cell>
        </row>
        <row r="4922">
          <cell r="I4922">
            <v>842000007</v>
          </cell>
          <cell r="J4922" t="str">
            <v>ESCUELA NORMAL SUPERIOR FEDERICO LLERAS ACOSTA</v>
          </cell>
          <cell r="K4922">
            <v>112415290</v>
          </cell>
        </row>
        <row r="4923">
          <cell r="I4923">
            <v>842000008</v>
          </cell>
          <cell r="J4923" t="str">
            <v>COLEGIO INDUSTRIAL CAMILO TORRES DE SANTA ROSALIA VICHADA</v>
          </cell>
          <cell r="K4923">
            <v>82524740</v>
          </cell>
        </row>
        <row r="4924">
          <cell r="I4924">
            <v>842000009</v>
          </cell>
          <cell r="J4924" t="str">
            <v>ESC MARIA INMACULADA</v>
          </cell>
          <cell r="K4924">
            <v>86158524</v>
          </cell>
        </row>
        <row r="4925">
          <cell r="I4925">
            <v>842000017</v>
          </cell>
          <cell r="J4925" t="str">
            <v>MUNICIPIO DE CUMARIBO</v>
          </cell>
          <cell r="K4925">
            <v>892544275</v>
          </cell>
        </row>
        <row r="4926">
          <cell r="I4926">
            <v>842000019</v>
          </cell>
          <cell r="J4926" t="str">
            <v>COLEGIO TECNICO FRANCISCO DE PAULA SANTANDER</v>
          </cell>
          <cell r="K4926">
            <v>93063809</v>
          </cell>
        </row>
        <row r="4927">
          <cell r="I4927">
            <v>842000022</v>
          </cell>
          <cell r="J4927" t="str">
            <v>COLEGIO AGROPECUARIO SILVINO CARO HEREDIA</v>
          </cell>
          <cell r="K4927">
            <v>42836943</v>
          </cell>
        </row>
        <row r="4928">
          <cell r="I4928">
            <v>842000067</v>
          </cell>
          <cell r="J4928" t="str">
            <v>INSTITUCION EDUCATIVA EDUARDO CARRANZA</v>
          </cell>
          <cell r="K4928">
            <v>111914449</v>
          </cell>
        </row>
        <row r="4929">
          <cell r="I4929">
            <v>842000200</v>
          </cell>
          <cell r="J4929" t="str">
            <v>COLEGIO ANTONIA SANTOS</v>
          </cell>
          <cell r="K4929">
            <v>37868374</v>
          </cell>
        </row>
        <row r="4930">
          <cell r="I4930">
            <v>843000018</v>
          </cell>
          <cell r="J4930" t="str">
            <v>INSTITUTO INTEGRADO CUSTODIO GARCIA ROVIRA</v>
          </cell>
          <cell r="K4930">
            <v>323499980</v>
          </cell>
        </row>
        <row r="4931">
          <cell r="I4931">
            <v>843000045</v>
          </cell>
          <cell r="J4931" t="str">
            <v>COLEGIO LUIS CARLOS GALAN SARMIENTO</v>
          </cell>
          <cell r="K4931">
            <v>261867529</v>
          </cell>
        </row>
        <row r="4932">
          <cell r="I4932">
            <v>844000083</v>
          </cell>
          <cell r="J4932" t="str">
            <v>ESCUELA NORMAL SUPERIOR DE MONTERREY</v>
          </cell>
          <cell r="K4932">
            <v>109530147</v>
          </cell>
        </row>
        <row r="4933">
          <cell r="I4933">
            <v>844000098</v>
          </cell>
          <cell r="J4933" t="str">
            <v>FSE IE LUIS CARLOS GALAN SARMIENTO SGP-CONPES GRATUIDAD</v>
          </cell>
          <cell r="K4933">
            <v>54818131</v>
          </cell>
        </row>
        <row r="4934">
          <cell r="I4934">
            <v>844000100</v>
          </cell>
          <cell r="J4934" t="str">
            <v>INSTITUTO TECNICO INTEGRADO</v>
          </cell>
          <cell r="K4934">
            <v>142623315</v>
          </cell>
        </row>
        <row r="4935">
          <cell r="I4935">
            <v>844000177</v>
          </cell>
          <cell r="J4935" t="str">
            <v>COLEGIO MANUEL ELKIN PATARROYO</v>
          </cell>
          <cell r="K4935">
            <v>20498286</v>
          </cell>
        </row>
        <row r="4936">
          <cell r="I4936">
            <v>844000194</v>
          </cell>
          <cell r="J4936" t="str">
            <v>Rafael Uribe Uribe</v>
          </cell>
          <cell r="K4936">
            <v>122471279</v>
          </cell>
        </row>
        <row r="4937">
          <cell r="I4937">
            <v>844000325</v>
          </cell>
          <cell r="J4937" t="str">
            <v>Institucion Educativa Jose Antonio Galan</v>
          </cell>
          <cell r="K4937">
            <v>28037469</v>
          </cell>
        </row>
        <row r="4938">
          <cell r="I4938">
            <v>844000328</v>
          </cell>
          <cell r="J4938" t="str">
            <v>Colegio Luis Maria Jimenez</v>
          </cell>
          <cell r="K4938">
            <v>61936028</v>
          </cell>
        </row>
        <row r="4939">
          <cell r="I4939">
            <v>844000381</v>
          </cell>
          <cell r="J4939" t="str">
            <v>Colegio Nacionalizado Leon de Greiff</v>
          </cell>
          <cell r="K4939">
            <v>18432033</v>
          </cell>
        </row>
        <row r="4940">
          <cell r="I4940">
            <v>844000502</v>
          </cell>
          <cell r="J4940" t="str">
            <v>INSTITUTO EDUCATIVO JORGE ELIECER GAITAN - RECURSOS CONPES</v>
          </cell>
          <cell r="K4940">
            <v>91281627</v>
          </cell>
        </row>
        <row r="4941">
          <cell r="I4941">
            <v>844000601</v>
          </cell>
          <cell r="J4941" t="str">
            <v>INSTITUTO EDUCATIVO LUIS HERNANDEZ VARGAS</v>
          </cell>
          <cell r="K4941">
            <v>212266441</v>
          </cell>
        </row>
        <row r="4942">
          <cell r="I4942">
            <v>844000631</v>
          </cell>
          <cell r="J4942" t="str">
            <v>INST TEC MICROEMPRESARIAL FERNANDO RODRIGUEZ</v>
          </cell>
          <cell r="K4942">
            <v>15330475</v>
          </cell>
        </row>
        <row r="4943">
          <cell r="I4943">
            <v>844000818</v>
          </cell>
          <cell r="J4943" t="str">
            <v>INSTITUTO EDUCATIVO EL PARAISO - FSE</v>
          </cell>
          <cell r="K4943">
            <v>102037822</v>
          </cell>
        </row>
        <row r="4944">
          <cell r="I4944">
            <v>844000865</v>
          </cell>
          <cell r="J4944" t="str">
            <v>INSTITUCION EDUCATIVA LUIS FELIPE CASTILLO - FSE</v>
          </cell>
          <cell r="K4944">
            <v>24627917</v>
          </cell>
        </row>
        <row r="4945">
          <cell r="I4945">
            <v>844000881</v>
          </cell>
          <cell r="J4945" t="str">
            <v>Instituto Educativo La Turua</v>
          </cell>
          <cell r="K4945">
            <v>28582579</v>
          </cell>
        </row>
        <row r="4946">
          <cell r="I4946">
            <v>844001050</v>
          </cell>
          <cell r="J4946" t="str">
            <v>IE EL TABLON DE TAMARA</v>
          </cell>
          <cell r="K4946">
            <v>20561931</v>
          </cell>
        </row>
        <row r="4947">
          <cell r="I4947">
            <v>844001135</v>
          </cell>
          <cell r="J4947" t="str">
            <v>FSE Instituto Técnico El Palmar SGP - Gratuidad</v>
          </cell>
          <cell r="K4947">
            <v>104332587</v>
          </cell>
        </row>
        <row r="4948">
          <cell r="I4948">
            <v>844001370</v>
          </cell>
          <cell r="J4948" t="str">
            <v>Instituto Técnico Empresarial del Norte de Casanare</v>
          </cell>
          <cell r="K4948">
            <v>52597880</v>
          </cell>
        </row>
        <row r="4949">
          <cell r="I4949">
            <v>844001381</v>
          </cell>
          <cell r="J4949" t="str">
            <v>Fondo de Servicios Educativos compes gratuidad</v>
          </cell>
          <cell r="K4949">
            <v>86591548</v>
          </cell>
        </row>
        <row r="4950">
          <cell r="I4950">
            <v>844001396</v>
          </cell>
          <cell r="J4950" t="str">
            <v>IE FRANCISCO JOSE DE CALDAS</v>
          </cell>
          <cell r="K4950">
            <v>67028776</v>
          </cell>
        </row>
        <row r="4951">
          <cell r="I4951">
            <v>844001419</v>
          </cell>
          <cell r="J4951" t="str">
            <v>Institucion Educativ Nuestra Señora de Manare</v>
          </cell>
          <cell r="K4951">
            <v>72795127</v>
          </cell>
        </row>
        <row r="4952">
          <cell r="I4952">
            <v>844001450</v>
          </cell>
          <cell r="J4952" t="str">
            <v>INSTITUCION EDUCATIVA MANUELA BELTRAN</v>
          </cell>
          <cell r="K4952">
            <v>105757442</v>
          </cell>
        </row>
        <row r="4953">
          <cell r="I4953">
            <v>844001484</v>
          </cell>
          <cell r="J4953" t="str">
            <v>Colegio Simon Bolívar Montañas del Totumo</v>
          </cell>
          <cell r="K4953">
            <v>47532393</v>
          </cell>
        </row>
        <row r="4954">
          <cell r="I4954">
            <v>844001493</v>
          </cell>
          <cell r="J4954" t="str">
            <v>Colegio Nuestra Señora de los Dolores de Manare Vi</v>
          </cell>
          <cell r="K4954">
            <v>152205532</v>
          </cell>
        </row>
        <row r="4955">
          <cell r="I4955">
            <v>844001550</v>
          </cell>
          <cell r="J4955" t="str">
            <v>COLEGIO LA CAMPIÑA</v>
          </cell>
          <cell r="K4955">
            <v>88152306</v>
          </cell>
        </row>
        <row r="4956">
          <cell r="I4956">
            <v>844001559</v>
          </cell>
          <cell r="J4956" t="str">
            <v>Colegio Jorge Eliecer Gaitan Aguazul</v>
          </cell>
          <cell r="K4956">
            <v>118897595</v>
          </cell>
        </row>
        <row r="4957">
          <cell r="I4957">
            <v>844001576</v>
          </cell>
          <cell r="J4957" t="str">
            <v>Colegio Técnico Comercial Rafael Garcia Herreros</v>
          </cell>
          <cell r="K4957">
            <v>15528676</v>
          </cell>
        </row>
        <row r="4958">
          <cell r="I4958">
            <v>844001675</v>
          </cell>
          <cell r="J4958" t="str">
            <v>INSTITUTO EDUCATIVO EL ALGARROBO</v>
          </cell>
          <cell r="K4958">
            <v>40787130</v>
          </cell>
        </row>
        <row r="4959">
          <cell r="I4959">
            <v>844001746</v>
          </cell>
          <cell r="J4959" t="str">
            <v>INSTITUCION EDUCATIVA LUCILA PIRAGAUTA - FSE</v>
          </cell>
          <cell r="K4959">
            <v>116199532</v>
          </cell>
        </row>
        <row r="4960">
          <cell r="I4960">
            <v>844001974</v>
          </cell>
          <cell r="J4960" t="str">
            <v>Institución Educativa San Agustin Fondo de Servicios E</v>
          </cell>
          <cell r="K4960">
            <v>135362441</v>
          </cell>
        </row>
        <row r="4961">
          <cell r="I4961">
            <v>844002174</v>
          </cell>
          <cell r="J4961" t="str">
            <v>Colegio Antonio Nariño Inspección Rural Vereda La Plata Municipio de Pore</v>
          </cell>
          <cell r="K4961">
            <v>38858192</v>
          </cell>
        </row>
        <row r="4962">
          <cell r="I4962">
            <v>844002253</v>
          </cell>
          <cell r="J4962" t="str">
            <v>IE JESUS BERNAL PINZON</v>
          </cell>
          <cell r="K4962">
            <v>138174068</v>
          </cell>
        </row>
        <row r="4963">
          <cell r="I4963">
            <v>844002296</v>
          </cell>
          <cell r="J4963" t="str">
            <v>INSTITUTO EDUCATIVO CARLOS LLERAS RESTREPO</v>
          </cell>
          <cell r="K4963">
            <v>110425833</v>
          </cell>
        </row>
        <row r="4964">
          <cell r="I4964">
            <v>844002298</v>
          </cell>
          <cell r="J4964" t="str">
            <v>INSTITUCION EDUCATIVA LA INMACULADA DE TILODIRAN- SERVICIOS EDUCATIVOS</v>
          </cell>
          <cell r="K4964">
            <v>49622081</v>
          </cell>
        </row>
        <row r="4965">
          <cell r="I4965">
            <v>844002343</v>
          </cell>
          <cell r="J4965" t="str">
            <v>COLEGIO LUIS CARLOS SARMIENTO DE OROCUE</v>
          </cell>
          <cell r="K4965">
            <v>70494096</v>
          </cell>
        </row>
        <row r="4966">
          <cell r="I4966">
            <v>844002408</v>
          </cell>
          <cell r="J4966" t="str">
            <v>R.E. COLEGIO SALVADOR CAMACHO ROLDAN DE NUCHIA</v>
          </cell>
          <cell r="K4966">
            <v>71010962</v>
          </cell>
        </row>
        <row r="4967">
          <cell r="I4967">
            <v>844002424</v>
          </cell>
          <cell r="J4967" t="str">
            <v>COLEGIO ANTONIO MARTINEZ DELGADO DE HATO COROZAL</v>
          </cell>
          <cell r="K4967">
            <v>68043271</v>
          </cell>
        </row>
        <row r="4968">
          <cell r="I4968">
            <v>844002430</v>
          </cell>
          <cell r="J4968" t="str">
            <v>Inst Educatvo La Presentacion Mpio San Luis d Pale</v>
          </cell>
          <cell r="K4968">
            <v>115180134</v>
          </cell>
        </row>
        <row r="4969">
          <cell r="I4969">
            <v>844002440</v>
          </cell>
          <cell r="J4969" t="str">
            <v>COLEGIO GABRIELA MISTRAL</v>
          </cell>
          <cell r="K4969">
            <v>27212924</v>
          </cell>
        </row>
        <row r="4970">
          <cell r="I4970">
            <v>844002620</v>
          </cell>
          <cell r="J4970" t="str">
            <v>Colegio Técnico La Presentación de Tamara</v>
          </cell>
          <cell r="K4970">
            <v>96460972</v>
          </cell>
        </row>
        <row r="4971">
          <cell r="I4971">
            <v>844002670</v>
          </cell>
          <cell r="J4971" t="str">
            <v>Institución Educativa Colegio El Banco</v>
          </cell>
          <cell r="K4971">
            <v>29812570</v>
          </cell>
        </row>
        <row r="4972">
          <cell r="I4972">
            <v>844002722</v>
          </cell>
          <cell r="J4972" t="str">
            <v>Instituto Educativo El Cusiana</v>
          </cell>
          <cell r="K4972">
            <v>42014009</v>
          </cell>
        </row>
        <row r="4973">
          <cell r="I4973">
            <v>844002735</v>
          </cell>
          <cell r="J4973" t="str">
            <v>Instituto Educativo Siglo XXI</v>
          </cell>
          <cell r="K4973">
            <v>34413968</v>
          </cell>
        </row>
        <row r="4974">
          <cell r="I4974">
            <v>844002989</v>
          </cell>
          <cell r="J4974" t="str">
            <v>IE CRIEET</v>
          </cell>
          <cell r="K4974">
            <v>36797190</v>
          </cell>
        </row>
        <row r="4975">
          <cell r="I4975">
            <v>844003001</v>
          </cell>
          <cell r="J4975" t="str">
            <v>Institu Educa Rural El Pozo Petrolero</v>
          </cell>
          <cell r="K4975">
            <v>32859876</v>
          </cell>
        </row>
        <row r="4976">
          <cell r="I4976">
            <v>844003177</v>
          </cell>
          <cell r="J4976" t="str">
            <v>FOSE ANTONIO NARIÑO - GRATUIDAD CONPES</v>
          </cell>
          <cell r="K4976">
            <v>62869989</v>
          </cell>
        </row>
        <row r="4977">
          <cell r="I4977">
            <v>844003248</v>
          </cell>
          <cell r="J4977" t="str">
            <v>INSTITUCION EDUCATIVA EL TRIUNFO</v>
          </cell>
          <cell r="K4977">
            <v>37225099</v>
          </cell>
        </row>
        <row r="4978">
          <cell r="I4978">
            <v>844003463</v>
          </cell>
          <cell r="J4978" t="str">
            <v>Institucion Educativa La Inmaculada</v>
          </cell>
          <cell r="K4978">
            <v>46846001</v>
          </cell>
        </row>
        <row r="4979">
          <cell r="I4979">
            <v>844003490</v>
          </cell>
          <cell r="J4979" t="str">
            <v>IE POLICARPA SALAVARRIETA - SGP GRATUIDAD</v>
          </cell>
          <cell r="K4979">
            <v>81919336</v>
          </cell>
        </row>
        <row r="4980">
          <cell r="I4980">
            <v>844003496</v>
          </cell>
          <cell r="J4980" t="str">
            <v>El Instituto Educativo Cupiagua</v>
          </cell>
          <cell r="K4980">
            <v>42032895</v>
          </cell>
        </row>
        <row r="4981">
          <cell r="I4981">
            <v>844003507</v>
          </cell>
          <cell r="J4981" t="str">
            <v>IE LUIS HERNANDEZ VARGAS</v>
          </cell>
          <cell r="K4981">
            <v>59172106</v>
          </cell>
        </row>
        <row r="4982">
          <cell r="I4982">
            <v>844003527</v>
          </cell>
          <cell r="J4982" t="str">
            <v>IE TEC ANTONIO NARIO</v>
          </cell>
          <cell r="K4982">
            <v>19569551</v>
          </cell>
        </row>
        <row r="4983">
          <cell r="I4983">
            <v>844003538</v>
          </cell>
          <cell r="J4983" t="str">
            <v>Colegio Basico Rural San Agustin</v>
          </cell>
          <cell r="K4983">
            <v>22042423</v>
          </cell>
        </row>
        <row r="4984">
          <cell r="I4984">
            <v>844003616</v>
          </cell>
          <cell r="J4984" t="str">
            <v>CENTRO EDUCATIVO TERESA DE CALCUTA</v>
          </cell>
          <cell r="K4984">
            <v>29431555</v>
          </cell>
        </row>
        <row r="4985">
          <cell r="I4985">
            <v>844003623</v>
          </cell>
          <cell r="J4985" t="str">
            <v>Instituto Técnico Agropecuario Jorge Eliecer Gaitan</v>
          </cell>
          <cell r="K4985">
            <v>22018404</v>
          </cell>
        </row>
        <row r="4986">
          <cell r="I4986">
            <v>844003717</v>
          </cell>
          <cell r="J4986" t="str">
            <v>IE PROMOCION INDIG IEA PUDI</v>
          </cell>
          <cell r="K4986">
            <v>38757405</v>
          </cell>
        </row>
        <row r="4987">
          <cell r="I4987">
            <v>844003840</v>
          </cell>
          <cell r="J4987" t="str">
            <v>Instituto Educativo Imon Bolívar Mpio. Hato Corozal</v>
          </cell>
          <cell r="K4987">
            <v>16994982</v>
          </cell>
        </row>
        <row r="4988">
          <cell r="I4988">
            <v>844004109</v>
          </cell>
          <cell r="J4988" t="str">
            <v>FONDO DE SERVICIOS EDUCATIVOS CENTRO SOCIAL LA PRESENTACION</v>
          </cell>
          <cell r="K4988">
            <v>139512009</v>
          </cell>
        </row>
        <row r="4989">
          <cell r="I4989">
            <v>844004244</v>
          </cell>
          <cell r="J4989" t="str">
            <v>Instituto Educativo Camilo Torres Restrepo</v>
          </cell>
          <cell r="K4989">
            <v>18295437</v>
          </cell>
        </row>
        <row r="4990">
          <cell r="I4990">
            <v>844004354</v>
          </cell>
          <cell r="J4990" t="str">
            <v>IE  EL CONVENTO</v>
          </cell>
          <cell r="K4990">
            <v>40357090</v>
          </cell>
        </row>
        <row r="4991">
          <cell r="I4991">
            <v>844004400</v>
          </cell>
          <cell r="J4991" t="str">
            <v>Centro Educativo Miralindo</v>
          </cell>
          <cell r="K4991">
            <v>12175211</v>
          </cell>
        </row>
        <row r="4992">
          <cell r="I4992">
            <v>844004440</v>
          </cell>
          <cell r="J4992" t="str">
            <v>Institucion Educativa Murewom Wayuri</v>
          </cell>
          <cell r="K4992">
            <v>26326496</v>
          </cell>
        </row>
        <row r="4993">
          <cell r="I4993">
            <v>844004442</v>
          </cell>
          <cell r="J4993" t="str">
            <v>Colegio Indigena Alegaxu Mpio Hato Corozal</v>
          </cell>
          <cell r="K4993">
            <v>13654700</v>
          </cell>
        </row>
        <row r="4994">
          <cell r="I4994">
            <v>844004443</v>
          </cell>
          <cell r="J4994" t="str">
            <v>Instituto Educativo Simon Bolívar municipio de Hato Corozal</v>
          </cell>
          <cell r="K4994">
            <v>27642185</v>
          </cell>
        </row>
        <row r="4995">
          <cell r="I4995">
            <v>844004470</v>
          </cell>
          <cell r="J4995" t="str">
            <v>IE LUIS HERNANDEZ VARGAS (PUERTO COLOMBIA)</v>
          </cell>
          <cell r="K4995">
            <v>20351575</v>
          </cell>
        </row>
        <row r="4996">
          <cell r="I4996">
            <v>844004490</v>
          </cell>
          <cell r="J4996" t="str">
            <v>Centro Educativo Lisa Maneni</v>
          </cell>
          <cell r="K4996">
            <v>13681834</v>
          </cell>
        </row>
        <row r="4997">
          <cell r="I4997">
            <v>844004509</v>
          </cell>
          <cell r="J4997" t="str">
            <v>Centro Educativo Carlos Lleras Restrepo</v>
          </cell>
          <cell r="K4997">
            <v>15506584</v>
          </cell>
        </row>
        <row r="4998">
          <cell r="I4998">
            <v>844004510</v>
          </cell>
          <cell r="J4998" t="str">
            <v>Institucion Educativa Bonifacio Gutierrez</v>
          </cell>
          <cell r="K4998">
            <v>14301339</v>
          </cell>
        </row>
        <row r="4999">
          <cell r="I4999">
            <v>844004594</v>
          </cell>
          <cell r="J4999" t="str">
            <v>IE EL PRETEXTO</v>
          </cell>
          <cell r="K4999">
            <v>20116270</v>
          </cell>
        </row>
        <row r="5000">
          <cell r="I5000">
            <v>844004735</v>
          </cell>
          <cell r="J5000" t="str">
            <v>IE SANTA IRENE</v>
          </cell>
          <cell r="K5000">
            <v>13510889</v>
          </cell>
        </row>
        <row r="5001">
          <cell r="I5001">
            <v>844004799</v>
          </cell>
          <cell r="J5001" t="str">
            <v>CE LA ESMERALDA</v>
          </cell>
          <cell r="K5001">
            <v>9858545</v>
          </cell>
        </row>
        <row r="5002">
          <cell r="I5002">
            <v>844004959</v>
          </cell>
          <cell r="J5002" t="str">
            <v>CENTRO EDUCATIVO SANTA TERESA - FSE</v>
          </cell>
          <cell r="K5002">
            <v>16075402</v>
          </cell>
        </row>
        <row r="5003">
          <cell r="I5003">
            <v>845000021</v>
          </cell>
          <cell r="J5003" t="str">
            <v>DEPARTAMENTO DEL VAUPES</v>
          </cell>
          <cell r="K5003">
            <v>21689531080</v>
          </cell>
        </row>
        <row r="5004">
          <cell r="I5004">
            <v>845000032</v>
          </cell>
          <cell r="J5004" t="str">
            <v>Institucion Educativa Integrada Jose Eustasio Rivera</v>
          </cell>
          <cell r="K5004">
            <v>70278119</v>
          </cell>
        </row>
        <row r="5005">
          <cell r="I5005">
            <v>845000052</v>
          </cell>
          <cell r="J5005" t="str">
            <v>Escuela Normal Superior Indigena Maria Reina</v>
          </cell>
          <cell r="K5005">
            <v>81445696</v>
          </cell>
        </row>
        <row r="5006">
          <cell r="I5006">
            <v>845000059</v>
          </cell>
          <cell r="J5006" t="str">
            <v>Colegio Inaya Fondos de Servicios Educativos</v>
          </cell>
          <cell r="K5006">
            <v>69135750</v>
          </cell>
        </row>
        <row r="5007">
          <cell r="I5007">
            <v>846000050</v>
          </cell>
          <cell r="J5007" t="str">
            <v>FONDO DE SERVICIOS EDUCATIVOS IE SAN FRANCISCO DE ASIS</v>
          </cell>
          <cell r="K5007">
            <v>130835540</v>
          </cell>
        </row>
        <row r="5008">
          <cell r="I5008">
            <v>846000066</v>
          </cell>
          <cell r="J5008" t="str">
            <v>IE COMERCIAL SAN AGUSTIN</v>
          </cell>
          <cell r="K5008">
            <v>55126938</v>
          </cell>
        </row>
        <row r="5009">
          <cell r="I5009">
            <v>846000077</v>
          </cell>
          <cell r="J5009" t="str">
            <v>INSTITUCION EDUCATIVA RURAL LA CONCORDIA</v>
          </cell>
          <cell r="K5009">
            <v>22911976</v>
          </cell>
        </row>
        <row r="5010">
          <cell r="I5010">
            <v>846000081</v>
          </cell>
          <cell r="J5010" t="str">
            <v>RERV. EDUC.IE CIUDAD PTO LIMON</v>
          </cell>
          <cell r="K5010">
            <v>34411517</v>
          </cell>
        </row>
        <row r="5011">
          <cell r="I5011">
            <v>846000088</v>
          </cell>
          <cell r="J5011" t="str">
            <v>IE TEC CIAL LA DORADA</v>
          </cell>
          <cell r="K5011">
            <v>73008910</v>
          </cell>
        </row>
        <row r="5012">
          <cell r="I5012">
            <v>846000096</v>
          </cell>
          <cell r="J5012" t="str">
            <v>IE CHAMPAGNAT</v>
          </cell>
          <cell r="K5012">
            <v>60251396</v>
          </cell>
        </row>
        <row r="5013">
          <cell r="I5013">
            <v>846000133</v>
          </cell>
          <cell r="J5013" t="str">
            <v>FONDO SERVICIOS EDUCATIVOS CIUDAD MOCOA</v>
          </cell>
          <cell r="K5013">
            <v>72319030</v>
          </cell>
        </row>
        <row r="5014">
          <cell r="I5014">
            <v>846000149</v>
          </cell>
          <cell r="J5014" t="str">
            <v>FONDO SERV EDUCATIVOS IE RUR ECOLOGICO EL CUEMBI</v>
          </cell>
          <cell r="K5014">
            <v>66041985</v>
          </cell>
        </row>
        <row r="5015">
          <cell r="I5015">
            <v>846000162</v>
          </cell>
          <cell r="J5015" t="str">
            <v>INSTITUCION EDUCATIVA SANTA TERESA</v>
          </cell>
          <cell r="K5015">
            <v>176371996</v>
          </cell>
        </row>
        <row r="5016">
          <cell r="I5016">
            <v>846000166</v>
          </cell>
          <cell r="J5016" t="str">
            <v>IE RUR PUERTO COLON</v>
          </cell>
          <cell r="K5016">
            <v>43781096</v>
          </cell>
        </row>
        <row r="5017">
          <cell r="I5017">
            <v>846000217</v>
          </cell>
          <cell r="J5017" t="str">
            <v>IE LUIS CARLOS GALAN</v>
          </cell>
          <cell r="K5017">
            <v>76951401</v>
          </cell>
        </row>
        <row r="5018">
          <cell r="I5018">
            <v>846000229</v>
          </cell>
          <cell r="J5018" t="str">
            <v>INSTITUCION EDUCATIVA  FRAY BARTOLOME DE IGUALADA</v>
          </cell>
          <cell r="K5018">
            <v>48423062</v>
          </cell>
        </row>
        <row r="5019">
          <cell r="I5019">
            <v>846000243</v>
          </cell>
          <cell r="J5019" t="str">
            <v>IE EDUCATIVA AMAZONICA</v>
          </cell>
          <cell r="K5019">
            <v>87104548</v>
          </cell>
        </row>
        <row r="5020">
          <cell r="I5020">
            <v>846000256</v>
          </cell>
          <cell r="J5020" t="str">
            <v>COLEGIO SANTA MARIA GORETTI</v>
          </cell>
          <cell r="K5020">
            <v>108368070</v>
          </cell>
        </row>
        <row r="5021">
          <cell r="I5021">
            <v>846000257</v>
          </cell>
          <cell r="J5021" t="str">
            <v>IE CIUDAD DE ASIS</v>
          </cell>
          <cell r="K5021">
            <v>148387776</v>
          </cell>
        </row>
        <row r="5022">
          <cell r="I5022">
            <v>846000340</v>
          </cell>
          <cell r="J5022" t="str">
            <v>IE GABRIELA MISTRAL</v>
          </cell>
          <cell r="K5022">
            <v>55041070</v>
          </cell>
        </row>
        <row r="5023">
          <cell r="I5023">
            <v>846000373</v>
          </cell>
          <cell r="J5023" t="str">
            <v>IE RUR SIMON BOLIVAR</v>
          </cell>
          <cell r="K5023">
            <v>52193385</v>
          </cell>
        </row>
        <row r="5024">
          <cell r="I5024">
            <v>846000376</v>
          </cell>
          <cell r="J5024" t="str">
            <v>IE SEMINARIO MISIONAL FONDO DE SERVICIOS EDUCATIVOS</v>
          </cell>
          <cell r="K5024">
            <v>36974546</v>
          </cell>
        </row>
        <row r="5025">
          <cell r="I5025">
            <v>846000443</v>
          </cell>
          <cell r="J5025" t="str">
            <v>FONDO DE SERVICIOS EDUCATIVOSINSTITUCION EDUCATIVA FIDEL DE MONTCLARK</v>
          </cell>
          <cell r="K5025">
            <v>38580000</v>
          </cell>
        </row>
        <row r="5026">
          <cell r="I5026">
            <v>846000466</v>
          </cell>
          <cell r="J5026" t="str">
            <v>INSTITUCION EDUCATIVA NUESTRA SEÑORA DEL PILAR</v>
          </cell>
          <cell r="K5026">
            <v>56857274</v>
          </cell>
        </row>
        <row r="5027">
          <cell r="I5027">
            <v>846000522</v>
          </cell>
          <cell r="J5027" t="str">
            <v>INSTITUCION EDUCATIVA FRAY PLACIDO</v>
          </cell>
          <cell r="K5027">
            <v>114669979</v>
          </cell>
        </row>
        <row r="5028">
          <cell r="I5028">
            <v>846000592</v>
          </cell>
          <cell r="J5028" t="str">
            <v>IE RUR LEONIDAS NORZAGARAY</v>
          </cell>
          <cell r="K5028">
            <v>27425864</v>
          </cell>
        </row>
        <row r="5029">
          <cell r="I5029">
            <v>846001152</v>
          </cell>
          <cell r="J5029" t="str">
            <v>IE CANDIDO LEGUIZAMO</v>
          </cell>
          <cell r="K5029">
            <v>93029049</v>
          </cell>
        </row>
        <row r="5030">
          <cell r="I5030">
            <v>846001678</v>
          </cell>
          <cell r="J5030" t="str">
            <v>COLEGIO ABORIGENES DE COLOMBIA</v>
          </cell>
          <cell r="K5030">
            <v>21972419</v>
          </cell>
        </row>
        <row r="5031">
          <cell r="I5031">
            <v>846001779</v>
          </cell>
          <cell r="J5031" t="str">
            <v>INSTITUCION EDUCATIVA SANTA JULIANA</v>
          </cell>
          <cell r="K5031">
            <v>21094331</v>
          </cell>
        </row>
        <row r="5032">
          <cell r="I5032">
            <v>846002090</v>
          </cell>
          <cell r="J5032" t="str">
            <v>IE RUR JORGE ELIECER GAITAN</v>
          </cell>
          <cell r="K5032">
            <v>50243664</v>
          </cell>
        </row>
        <row r="5033">
          <cell r="I5033">
            <v>846002238</v>
          </cell>
          <cell r="J5033" t="str">
            <v>INSTITUCION EDUCATIVA RURAL ALBERTO LEON ROJAS</v>
          </cell>
          <cell r="K5033">
            <v>18023767</v>
          </cell>
        </row>
        <row r="5034">
          <cell r="I5034">
            <v>846002319</v>
          </cell>
          <cell r="J5034" t="str">
            <v>CENT EDUC RUR JUAN XXIII</v>
          </cell>
          <cell r="K5034">
            <v>9899457</v>
          </cell>
        </row>
        <row r="5035">
          <cell r="I5035">
            <v>846002466</v>
          </cell>
          <cell r="J5035" t="str">
            <v>CENTRO EDUCATIVO RURAL LA ISLA</v>
          </cell>
          <cell r="K5035">
            <v>12758568</v>
          </cell>
        </row>
        <row r="5036">
          <cell r="I5036">
            <v>846002699</v>
          </cell>
          <cell r="J5036" t="str">
            <v>IE JORGE ELIECER GAITAN</v>
          </cell>
          <cell r="K5036">
            <v>99378536</v>
          </cell>
        </row>
        <row r="5037">
          <cell r="I5037">
            <v>846002754</v>
          </cell>
          <cell r="J5037" t="str">
            <v>INSTITUCION EDUCATIVA RAFAEL REYES</v>
          </cell>
          <cell r="K5037">
            <v>56456268</v>
          </cell>
        </row>
        <row r="5038">
          <cell r="I5038">
            <v>846003293</v>
          </cell>
          <cell r="J5038" t="str">
            <v>IE JOSE ANTONIO GALAN</v>
          </cell>
          <cell r="K5038">
            <v>80829711</v>
          </cell>
        </row>
        <row r="5039">
          <cell r="I5039">
            <v>846003301</v>
          </cell>
          <cell r="J5039" t="str">
            <v>CENTRO EDUCATIVO RURAL INTERCULTURAL MADRE LAURA</v>
          </cell>
          <cell r="K5039">
            <v>29381741</v>
          </cell>
        </row>
        <row r="5040">
          <cell r="I5040">
            <v>846003361</v>
          </cell>
          <cell r="J5040" t="str">
            <v>IE RUR CIUDAD SANTANA</v>
          </cell>
          <cell r="K5040">
            <v>63365018</v>
          </cell>
        </row>
        <row r="5041">
          <cell r="I5041">
            <v>846003384</v>
          </cell>
          <cell r="J5041" t="str">
            <v>CENT EDUC RUR VILLAFLOR</v>
          </cell>
          <cell r="K5041">
            <v>11611849</v>
          </cell>
        </row>
        <row r="5042">
          <cell r="I5042">
            <v>846003398</v>
          </cell>
          <cell r="J5042" t="str">
            <v>CENT EDUC RUR PUEBLO VIEJO</v>
          </cell>
          <cell r="K5042">
            <v>10187640</v>
          </cell>
        </row>
        <row r="5043">
          <cell r="I5043">
            <v>846003406</v>
          </cell>
          <cell r="J5043" t="str">
            <v>INSTITUCION EDUCATIVA RURAL EL CAIRO</v>
          </cell>
          <cell r="K5043">
            <v>28259227</v>
          </cell>
        </row>
        <row r="5044">
          <cell r="I5044">
            <v>846003411</v>
          </cell>
          <cell r="J5044" t="str">
            <v>FONDO SERV. EDUCATIVOS INSTI. EDUCATIVA JOSE MARIA</v>
          </cell>
          <cell r="K5044">
            <v>27484357</v>
          </cell>
        </row>
        <row r="5045">
          <cell r="I5045">
            <v>846003423</v>
          </cell>
          <cell r="J5045" t="str">
            <v>IE RUR LUIS VIDALES DEL PI?U?A NEGRO</v>
          </cell>
          <cell r="K5045">
            <v>9817609</v>
          </cell>
        </row>
        <row r="5046">
          <cell r="I5046">
            <v>846003436</v>
          </cell>
          <cell r="J5046" t="str">
            <v>INSTITUCION EDUCATIVA RURAL DIVINO NIÑO</v>
          </cell>
          <cell r="K5046">
            <v>24860704</v>
          </cell>
        </row>
        <row r="5047">
          <cell r="I5047">
            <v>846003487</v>
          </cell>
          <cell r="J5047" t="str">
            <v>INSTITUCION   EDUCATIVA RURAL NUEVA  GRANADA</v>
          </cell>
          <cell r="K5047">
            <v>24409155</v>
          </cell>
        </row>
        <row r="5048">
          <cell r="I5048">
            <v>846003494</v>
          </cell>
          <cell r="J5048" t="str">
            <v>INSTITUCION EDUCATIVA RURAL SAN LUIS</v>
          </cell>
          <cell r="K5048">
            <v>13159449</v>
          </cell>
        </row>
        <row r="5049">
          <cell r="I5049">
            <v>846003497</v>
          </cell>
          <cell r="J5049" t="str">
            <v>CENT EDUC RUR CONDAGUA</v>
          </cell>
          <cell r="K5049">
            <v>9966413</v>
          </cell>
        </row>
        <row r="5050">
          <cell r="I5050">
            <v>846003498</v>
          </cell>
          <cell r="J5050" t="str">
            <v>CENT EDUC RUR CALIYACO</v>
          </cell>
          <cell r="K5050">
            <v>26926629</v>
          </cell>
        </row>
        <row r="5051">
          <cell r="I5051">
            <v>846003505</v>
          </cell>
          <cell r="J5051" t="str">
            <v>CENTRO EDUCATIVO RURAL VILLA VICTORIA</v>
          </cell>
          <cell r="K5051">
            <v>12501772</v>
          </cell>
        </row>
        <row r="5052">
          <cell r="I5052">
            <v>846003506</v>
          </cell>
          <cell r="J5052" t="str">
            <v>CENT ETNOEDUC RUR PUERTO RICO</v>
          </cell>
          <cell r="K5052">
            <v>32452961</v>
          </cell>
        </row>
        <row r="5053">
          <cell r="I5053">
            <v>846003513</v>
          </cell>
          <cell r="J5053" t="str">
            <v>INSTITUCION EDUCATIVA RURAL LA LIBERTAD</v>
          </cell>
          <cell r="K5053">
            <v>41302556</v>
          </cell>
        </row>
        <row r="5054">
          <cell r="I5054">
            <v>846003515</v>
          </cell>
          <cell r="J5054" t="str">
            <v>CENT EDUC RUR ALTO AFAN</v>
          </cell>
          <cell r="K5054">
            <v>40647911</v>
          </cell>
        </row>
        <row r="5055">
          <cell r="I5055">
            <v>846003519</v>
          </cell>
          <cell r="J5055" t="str">
            <v>CENTRO DE DUCACION BASICA PUERTO ROSARIO</v>
          </cell>
          <cell r="K5055">
            <v>18419193</v>
          </cell>
        </row>
        <row r="5056">
          <cell r="I5056">
            <v>846003536</v>
          </cell>
          <cell r="J5056" t="str">
            <v>CENTRO EDUCATIVO RURAL EL CEDRO</v>
          </cell>
          <cell r="K5056">
            <v>22519005</v>
          </cell>
        </row>
        <row r="5057">
          <cell r="I5057">
            <v>846003538</v>
          </cell>
          <cell r="J5057" t="str">
            <v>CENT ETNOEDUCATIVO RURAL SAN SILVESTRE</v>
          </cell>
          <cell r="K5057">
            <v>7614600</v>
          </cell>
        </row>
        <row r="5058">
          <cell r="I5058">
            <v>846003541</v>
          </cell>
          <cell r="J5058" t="str">
            <v>FONDO DE SERVICIOS EDUCATIVOS CENT EDUC RUR SAN ANTONIO DEL POROTOYACO</v>
          </cell>
          <cell r="K5058">
            <v>9876735</v>
          </cell>
        </row>
        <row r="5059">
          <cell r="I5059">
            <v>846003562</v>
          </cell>
          <cell r="J5059" t="str">
            <v>IE RUR FRANCISCO JOSE DE CALDAS</v>
          </cell>
          <cell r="K5059">
            <v>52870389</v>
          </cell>
        </row>
        <row r="5060">
          <cell r="I5060">
            <v>846003563</v>
          </cell>
          <cell r="J5060" t="str">
            <v>CER LA PAILA</v>
          </cell>
          <cell r="K5060">
            <v>13498772</v>
          </cell>
        </row>
        <row r="5061">
          <cell r="I5061">
            <v>846003580</v>
          </cell>
          <cell r="J5061" t="str">
            <v>CENT EDUC RUR BRISAS DEL RUMIYACO</v>
          </cell>
          <cell r="K5061">
            <v>14478964</v>
          </cell>
        </row>
        <row r="5062">
          <cell r="I5062">
            <v>846003582</v>
          </cell>
          <cell r="J5062" t="str">
            <v>CENTRO EDUCATIVO RURAL LUCIANITA</v>
          </cell>
          <cell r="K5062">
            <v>15865770</v>
          </cell>
        </row>
        <row r="5063">
          <cell r="I5063">
            <v>846003583</v>
          </cell>
          <cell r="J5063" t="str">
            <v>CENTRO EDUCATIVO EL EMPALME</v>
          </cell>
          <cell r="K5063">
            <v>54022070</v>
          </cell>
        </row>
        <row r="5064">
          <cell r="I5064">
            <v>846003585</v>
          </cell>
          <cell r="J5064" t="str">
            <v>CENT EDUC RUR SAN JUAN VIDES</v>
          </cell>
          <cell r="K5064">
            <v>18570999</v>
          </cell>
        </row>
        <row r="5065">
          <cell r="I5065">
            <v>846003586</v>
          </cell>
          <cell r="J5065" t="str">
            <v>CENTRO EDUCATIVO LA CEIBA</v>
          </cell>
          <cell r="K5065">
            <v>32777342</v>
          </cell>
        </row>
        <row r="5066">
          <cell r="I5066">
            <v>846003588</v>
          </cell>
          <cell r="J5066" t="str">
            <v>CENTRO EDUCATIVO RURAL MIXTO GALLINAZO</v>
          </cell>
          <cell r="K5066">
            <v>21730071</v>
          </cell>
        </row>
        <row r="5067">
          <cell r="I5067">
            <v>846003592</v>
          </cell>
          <cell r="J5067" t="str">
            <v>CENTRO EDUCATIVO RURAL QUINAPEJO</v>
          </cell>
          <cell r="K5067">
            <v>22524804</v>
          </cell>
        </row>
        <row r="5068">
          <cell r="I5068">
            <v>846003593</v>
          </cell>
          <cell r="J5068" t="str">
            <v>CENT EDUC RUR TESALIA</v>
          </cell>
          <cell r="K5068">
            <v>34432162</v>
          </cell>
        </row>
        <row r="5069">
          <cell r="I5069">
            <v>846003594</v>
          </cell>
          <cell r="J5069" t="str">
            <v>IE RUR ELYARUMO</v>
          </cell>
          <cell r="K5069">
            <v>46493924</v>
          </cell>
        </row>
        <row r="5070">
          <cell r="I5070">
            <v>846003597</v>
          </cell>
          <cell r="J5070" t="str">
            <v>IE RUR NUEVA BENGALA</v>
          </cell>
          <cell r="K5070">
            <v>24669674</v>
          </cell>
        </row>
        <row r="5071">
          <cell r="I5071">
            <v>846003598</v>
          </cell>
          <cell r="J5071" t="str">
            <v>CENT EDUC RUR NUEVA SILVANIA</v>
          </cell>
          <cell r="K5071">
            <v>27929038</v>
          </cell>
        </row>
        <row r="5072">
          <cell r="I5072">
            <v>846003599</v>
          </cell>
          <cell r="J5072" t="str">
            <v>CENTRO EDUCATIVO RURAL ALTAMIRA</v>
          </cell>
          <cell r="K5072">
            <v>12433452</v>
          </cell>
        </row>
        <row r="5073">
          <cell r="I5073">
            <v>846003600</v>
          </cell>
          <cell r="J5073" t="str">
            <v>CENT EDUC RUR SINAI</v>
          </cell>
          <cell r="K5073">
            <v>13839489</v>
          </cell>
        </row>
        <row r="5074">
          <cell r="I5074">
            <v>846003605</v>
          </cell>
          <cell r="J5074" t="str">
            <v>CENTRO EDUCATIVO RURAL PUERTO BELLO</v>
          </cell>
          <cell r="K5074">
            <v>24965278</v>
          </cell>
        </row>
        <row r="5075">
          <cell r="I5075">
            <v>846003607</v>
          </cell>
          <cell r="J5075" t="str">
            <v>CENT EDUC RUR SAN JOSE</v>
          </cell>
          <cell r="K5075">
            <v>18842316</v>
          </cell>
        </row>
        <row r="5076">
          <cell r="I5076">
            <v>846003608</v>
          </cell>
          <cell r="J5076" t="str">
            <v>CENTRO E  RUR JORDAN GUISIA</v>
          </cell>
          <cell r="K5076">
            <v>32395953</v>
          </cell>
        </row>
        <row r="5077">
          <cell r="I5077">
            <v>846003609</v>
          </cell>
          <cell r="J5077" t="str">
            <v>INSTITUCION EDUCATIVA SAN CARLOS</v>
          </cell>
          <cell r="K5077">
            <v>27902415</v>
          </cell>
        </row>
        <row r="5078">
          <cell r="I5078">
            <v>846003610</v>
          </cell>
          <cell r="J5078" t="str">
            <v>CENT. EDUC RUR EL AFILADOR</v>
          </cell>
          <cell r="K5078">
            <v>19261105</v>
          </cell>
        </row>
        <row r="5079">
          <cell r="I5079">
            <v>846003621</v>
          </cell>
          <cell r="J5079" t="str">
            <v>CENT EDUC RUR MIRAVALLE</v>
          </cell>
          <cell r="K5079">
            <v>13416886</v>
          </cell>
        </row>
        <row r="5080">
          <cell r="I5080">
            <v>846003647</v>
          </cell>
          <cell r="J5080" t="str">
            <v>CENTRO EDUCATIVO RURAL BAJO LORENZO</v>
          </cell>
          <cell r="K5080">
            <v>11385232</v>
          </cell>
        </row>
        <row r="5081">
          <cell r="I5081">
            <v>846003648</v>
          </cell>
          <cell r="J5081" t="str">
            <v>CENTRO EDUCATIVO RURAL EL TETEYE</v>
          </cell>
          <cell r="K5081">
            <v>16994615</v>
          </cell>
        </row>
        <row r="5082">
          <cell r="I5082">
            <v>846003658</v>
          </cell>
          <cell r="J5082" t="str">
            <v>CENTRO EDUCATIVO RURAL MAYOYOQUE</v>
          </cell>
          <cell r="K5082">
            <v>46698264</v>
          </cell>
        </row>
        <row r="5083">
          <cell r="I5083">
            <v>846003674</v>
          </cell>
          <cell r="J5083" t="str">
            <v>CENT EDUC RUR AGUA CLARA</v>
          </cell>
          <cell r="K5083">
            <v>34942524</v>
          </cell>
        </row>
        <row r="5084">
          <cell r="I5084">
            <v>846003679</v>
          </cell>
          <cell r="J5084" t="str">
            <v>CENTRO EDUCATIVO RURAL EL ROSAL</v>
          </cell>
          <cell r="K5084">
            <v>19904812</v>
          </cell>
        </row>
        <row r="5085">
          <cell r="I5085">
            <v>846003704</v>
          </cell>
          <cell r="J5085" t="str">
            <v>CENTRO EDUCATIVO RURAL BUENA VISTA</v>
          </cell>
          <cell r="K5085">
            <v>16331584</v>
          </cell>
        </row>
        <row r="5086">
          <cell r="I5086">
            <v>846003711</v>
          </cell>
          <cell r="J5086" t="str">
            <v>IE RUR ANTONIO NARI?O</v>
          </cell>
          <cell r="K5086">
            <v>19179762</v>
          </cell>
        </row>
        <row r="5087">
          <cell r="I5087">
            <v>846003751</v>
          </cell>
          <cell r="J5087" t="str">
            <v>CENTRO EDUCATIVO RURAL LAS PERLAS</v>
          </cell>
          <cell r="K5087">
            <v>27710617</v>
          </cell>
        </row>
        <row r="5088">
          <cell r="I5088">
            <v>846003752</v>
          </cell>
          <cell r="J5088" t="str">
            <v>CENTRO EDUCATIVO RURAL LAS MALVINAS</v>
          </cell>
          <cell r="K5088">
            <v>9217544</v>
          </cell>
        </row>
        <row r="5089">
          <cell r="I5089">
            <v>846003761</v>
          </cell>
          <cell r="J5089" t="str">
            <v>CENT EDUC RUR EL SABALO</v>
          </cell>
          <cell r="K5089">
            <v>28942449</v>
          </cell>
        </row>
        <row r="5090">
          <cell r="I5090">
            <v>846003762</v>
          </cell>
          <cell r="J5090" t="str">
            <v>CENT EDUC RUR PUERTO EL SOL</v>
          </cell>
          <cell r="K5090">
            <v>28349937</v>
          </cell>
        </row>
        <row r="5091">
          <cell r="I5091">
            <v>846003873</v>
          </cell>
          <cell r="J5091" t="str">
            <v>INSTITUCION EDUCATIVA RURAL SANTA ISABEL</v>
          </cell>
          <cell r="K5091">
            <v>29504491</v>
          </cell>
        </row>
        <row r="5092">
          <cell r="I5092">
            <v>846003947</v>
          </cell>
          <cell r="J5092" t="str">
            <v>CENTRO ETNOEDUCATIVO UMADA WARRARA</v>
          </cell>
          <cell r="K5092">
            <v>20719529</v>
          </cell>
        </row>
        <row r="5093">
          <cell r="I5093">
            <v>846003966</v>
          </cell>
          <cell r="J5093" t="str">
            <v>CENTRO EDUCATIVO RURAL PUERTO VEGA</v>
          </cell>
          <cell r="K5093">
            <v>53356816</v>
          </cell>
        </row>
        <row r="5094">
          <cell r="I5094">
            <v>846003968</v>
          </cell>
          <cell r="J5094" t="str">
            <v>CENTRO EDUCATIVO RURAL DANUVIO</v>
          </cell>
          <cell r="K5094">
            <v>20088665</v>
          </cell>
        </row>
        <row r="5095">
          <cell r="I5095">
            <v>846003989</v>
          </cell>
          <cell r="J5095" t="str">
            <v>INSTITUTO DE EDUCACION BASICA JOSE ASUNCION SILVA</v>
          </cell>
          <cell r="K5095">
            <v>50513059</v>
          </cell>
        </row>
        <row r="5096">
          <cell r="I5096">
            <v>846003991</v>
          </cell>
          <cell r="J5096" t="str">
            <v>CENTRO EDUCATIVO RURAL PALMERAS</v>
          </cell>
          <cell r="K5096">
            <v>14823394</v>
          </cell>
        </row>
        <row r="5097">
          <cell r="I5097">
            <v>846004005</v>
          </cell>
          <cell r="J5097" t="str">
            <v>CENTRO EDUCATIVO RURAL COCAYA</v>
          </cell>
          <cell r="K5097">
            <v>23622283</v>
          </cell>
        </row>
        <row r="5098">
          <cell r="I5098">
            <v>846004007</v>
          </cell>
          <cell r="J5098" t="str">
            <v>CENTRO EDUCATIVO RURAL CAUCACIA</v>
          </cell>
          <cell r="K5098">
            <v>25254772</v>
          </cell>
        </row>
        <row r="5099">
          <cell r="I5099">
            <v>846004021</v>
          </cell>
          <cell r="J5099" t="str">
            <v>CENTRO  EDUCATIVO  RURAL   RIO  BLANCO</v>
          </cell>
          <cell r="K5099">
            <v>6668667</v>
          </cell>
        </row>
        <row r="5100">
          <cell r="I5100">
            <v>846004027</v>
          </cell>
          <cell r="J5100" t="str">
            <v>CENTRO EDUCATIVO RURAL ALBANIA</v>
          </cell>
          <cell r="K5100">
            <v>14732223</v>
          </cell>
        </row>
        <row r="5101">
          <cell r="I5101">
            <v>846004054</v>
          </cell>
          <cell r="J5101" t="str">
            <v>CENTRO ETNOEDUCATIVO INGA ATUN ÑAMBI</v>
          </cell>
          <cell r="K5101">
            <v>14870322</v>
          </cell>
        </row>
        <row r="5102">
          <cell r="I5102">
            <v>846004064</v>
          </cell>
          <cell r="J5102" t="str">
            <v>CENT EDUC RUR ISLANDIA</v>
          </cell>
          <cell r="K5102">
            <v>9017417</v>
          </cell>
        </row>
        <row r="5103">
          <cell r="I5103">
            <v>846004131</v>
          </cell>
          <cell r="J5103" t="str">
            <v>CENTRO EDUCATIVO EL VENADO</v>
          </cell>
          <cell r="K5103">
            <v>13748107</v>
          </cell>
        </row>
        <row r="5104">
          <cell r="I5104">
            <v>846004140</v>
          </cell>
          <cell r="J5104" t="str">
            <v>INSTITUCION EDUCATIVA RURAL EL TIGRE</v>
          </cell>
          <cell r="K5104">
            <v>42827278</v>
          </cell>
        </row>
        <row r="5105">
          <cell r="I5105">
            <v>846004149</v>
          </cell>
          <cell r="J5105" t="str">
            <v>CENT EDUC RUR MARACAIBO</v>
          </cell>
          <cell r="K5105">
            <v>14078220</v>
          </cell>
        </row>
        <row r="5106">
          <cell r="I5106">
            <v>846004233</v>
          </cell>
          <cell r="J5106" t="str">
            <v>SGP GRATU-CENTRO EDUCATIVO RURAL SAUDITA</v>
          </cell>
          <cell r="K5106">
            <v>12245418</v>
          </cell>
        </row>
        <row r="5107">
          <cell r="I5107">
            <v>846004244</v>
          </cell>
          <cell r="J5107" t="str">
            <v>CENTRO EDUCATIVO RURAL MIXTO LA BRASILERA</v>
          </cell>
          <cell r="K5107">
            <v>11951017</v>
          </cell>
        </row>
        <row r="5108">
          <cell r="I5108">
            <v>846004257</v>
          </cell>
          <cell r="J5108" t="str">
            <v>CENTRO EDUCATIVO RURAL JORDAN ORTIZ</v>
          </cell>
          <cell r="K5108">
            <v>20517183</v>
          </cell>
        </row>
        <row r="5109">
          <cell r="I5109">
            <v>860022663</v>
          </cell>
          <cell r="J5109" t="str">
            <v>INSTITUCION EDUCATIVA DEPARTAMENTAL SANTA MARIA</v>
          </cell>
          <cell r="K5109">
            <v>142198608</v>
          </cell>
        </row>
        <row r="5110">
          <cell r="I5110">
            <v>860022901</v>
          </cell>
          <cell r="J5110" t="str">
            <v>COLEGIO LICEO FEMENINO MERCEDES NARIÑO</v>
          </cell>
          <cell r="K5110">
            <v>347719386</v>
          </cell>
        </row>
        <row r="5111">
          <cell r="I5111">
            <v>860026409</v>
          </cell>
          <cell r="J5111" t="str">
            <v>IED TECNICO COMERCIAL MARIANO OSPINA RODRIGUEZ</v>
          </cell>
          <cell r="K5111">
            <v>84485012</v>
          </cell>
        </row>
        <row r="5112">
          <cell r="I5112">
            <v>860027251</v>
          </cell>
          <cell r="J5112" t="str">
            <v>COLEGIO DEPARTAMENTAL NACIONALIZADO ALONSO DE OLALLA</v>
          </cell>
          <cell r="K5112">
            <v>125820621</v>
          </cell>
        </row>
        <row r="5113">
          <cell r="I5113">
            <v>860029158</v>
          </cell>
          <cell r="J5113" t="str">
            <v>EL COLEGIO NACIONAL EMILIO CIFUENTES</v>
          </cell>
          <cell r="K5113">
            <v>157929168</v>
          </cell>
        </row>
        <row r="5114">
          <cell r="I5114">
            <v>860029250</v>
          </cell>
          <cell r="J5114" t="str">
            <v>IED NORMAL SUPERIOR MARIA AUXILIADORA</v>
          </cell>
          <cell r="K5114">
            <v>214326354</v>
          </cell>
        </row>
        <row r="5115">
          <cell r="I5115">
            <v>860029941</v>
          </cell>
          <cell r="J5115" t="str">
            <v>INSTITUCION EDUCATIVA DEPARTAMENTAL BOLIVAR</v>
          </cell>
          <cell r="K5115">
            <v>133455166</v>
          </cell>
        </row>
        <row r="5116">
          <cell r="I5116">
            <v>860029990</v>
          </cell>
          <cell r="J5116" t="str">
            <v>INSTITUCION EDUCATIVA DEPARTAMENTAL MARIANO SANTA</v>
          </cell>
          <cell r="K5116">
            <v>93543776</v>
          </cell>
        </row>
        <row r="5117">
          <cell r="I5117">
            <v>860030318</v>
          </cell>
          <cell r="J5117" t="str">
            <v>IED NORMAL SUPERIOR</v>
          </cell>
          <cell r="K5117">
            <v>144488002</v>
          </cell>
        </row>
        <row r="5118">
          <cell r="I5118">
            <v>860030389</v>
          </cell>
          <cell r="J5118" t="str">
            <v>INSTITUCION EDUCATIVA MUNICIPAL CUNDINAMARCA (FONDO DE SERVICIOS EDUCATIVOS)</v>
          </cell>
          <cell r="K5118">
            <v>145100673</v>
          </cell>
        </row>
        <row r="5119">
          <cell r="I5119">
            <v>860033556</v>
          </cell>
          <cell r="J5119" t="str">
            <v>INSTITUCION EDUCATIVA DEPARTAMENTAL CARLOS GIRALDO</v>
          </cell>
          <cell r="K5119">
            <v>57708946</v>
          </cell>
        </row>
        <row r="5120">
          <cell r="I5120">
            <v>860035906</v>
          </cell>
          <cell r="J5120" t="str">
            <v>FONDO DE SERICIO EDUCATIVOS</v>
          </cell>
          <cell r="K5120">
            <v>84643103</v>
          </cell>
        </row>
        <row r="5121">
          <cell r="I5121">
            <v>860045414</v>
          </cell>
          <cell r="J5121" t="str">
            <v>IED INSTITUTO NACIONAL DE PROMOCION SOCIAL</v>
          </cell>
          <cell r="K5121">
            <v>120804437</v>
          </cell>
        </row>
        <row r="5122">
          <cell r="I5122">
            <v>860066763</v>
          </cell>
          <cell r="J5122" t="str">
            <v>COLEGIO SILVERIA ESPINOSA DE RENDON IED</v>
          </cell>
          <cell r="K5122">
            <v>144873477</v>
          </cell>
        </row>
        <row r="5123">
          <cell r="I5123">
            <v>860506975</v>
          </cell>
          <cell r="J5123" t="str">
            <v>COL. DIVINO SALVADOR</v>
          </cell>
          <cell r="K5123">
            <v>64369162</v>
          </cell>
        </row>
        <row r="5124">
          <cell r="I5124">
            <v>860509887</v>
          </cell>
          <cell r="J5124" t="str">
            <v>Fondo de Servicios Educativos Institucion Educativa Eugenio Diaz Castro</v>
          </cell>
          <cell r="K5124">
            <v>78615796</v>
          </cell>
        </row>
        <row r="5125">
          <cell r="I5125">
            <v>860530771</v>
          </cell>
          <cell r="J5125" t="str">
            <v>INSTITUCION EDUCATIVA DEPARTAMENTAL VICTOR MANUEL LONDOÑO</v>
          </cell>
          <cell r="K5125">
            <v>58840565</v>
          </cell>
        </row>
        <row r="5126">
          <cell r="I5126">
            <v>860531643</v>
          </cell>
          <cell r="J5126" t="str">
            <v>INSTITUCION EDUCATIVA DISTRITAL UNION COLOMBIA</v>
          </cell>
          <cell r="K5126">
            <v>98831764</v>
          </cell>
        </row>
        <row r="5127">
          <cell r="I5127">
            <v>860532230</v>
          </cell>
          <cell r="J5127" t="str">
            <v>INSTITUCION EDUCATIVA DISTRITAL CRISTOBAL COLON</v>
          </cell>
          <cell r="K5127">
            <v>92399653</v>
          </cell>
        </row>
        <row r="5128">
          <cell r="I5128">
            <v>860532235</v>
          </cell>
          <cell r="J5128" t="str">
            <v>INSTITUCION EDUCATIVA DISTRITAL  REPUBLICA DE ECUADOR</v>
          </cell>
          <cell r="K5128">
            <v>51779518</v>
          </cell>
        </row>
        <row r="5129">
          <cell r="I5129">
            <v>860532248</v>
          </cell>
          <cell r="J5129" t="str">
            <v>INSTITUCION EDUCATIVA DISTRITAL RODRIGO LARA BONILLA</v>
          </cell>
          <cell r="K5129">
            <v>230036086</v>
          </cell>
        </row>
        <row r="5130">
          <cell r="I5130">
            <v>860532281</v>
          </cell>
          <cell r="J5130" t="str">
            <v>COLEGIO TECNICO BENJAMIN HERRERA I.E.D.</v>
          </cell>
          <cell r="K5130">
            <v>173943931</v>
          </cell>
        </row>
        <row r="5131">
          <cell r="I5131">
            <v>860532316</v>
          </cell>
          <cell r="J5131" t="str">
            <v>FONDO DE SERVICIOS EDUCATIVOS  I.E.D TECNICO MENORAH</v>
          </cell>
          <cell r="K5131">
            <v>133582787</v>
          </cell>
        </row>
        <row r="5132">
          <cell r="I5132">
            <v>860532317</v>
          </cell>
          <cell r="J5132" t="str">
            <v>COLEG. ESCUELA NORMAL SUPERIOR DIST. MARIA MONTESSORI</v>
          </cell>
          <cell r="K5132">
            <v>212450179</v>
          </cell>
        </row>
        <row r="5133">
          <cell r="I5133">
            <v>860532330</v>
          </cell>
          <cell r="J5133" t="str">
            <v>COLEGIO DISTRITAL REPUBLICA DE COLOMBIA</v>
          </cell>
          <cell r="K5133">
            <v>185461730</v>
          </cell>
        </row>
        <row r="5134">
          <cell r="I5134">
            <v>860532337</v>
          </cell>
          <cell r="J5134" t="str">
            <v>INSTITUCION EDUCATIVA DISTRITAL FERNANDO MAZUERA VILLEGAS</v>
          </cell>
          <cell r="K5134">
            <v>359823532</v>
          </cell>
        </row>
        <row r="5135">
          <cell r="I5135">
            <v>860532342</v>
          </cell>
          <cell r="J5135" t="str">
            <v>COLEGIO JOSE MANUEL RESTREPO IED</v>
          </cell>
          <cell r="K5135">
            <v>95402272</v>
          </cell>
        </row>
        <row r="5136">
          <cell r="I5136">
            <v>860532363</v>
          </cell>
          <cell r="J5136" t="str">
            <v>institucion educativa distrital venecia</v>
          </cell>
          <cell r="K5136">
            <v>298408152</v>
          </cell>
        </row>
        <row r="5137">
          <cell r="I5137">
            <v>860532364</v>
          </cell>
          <cell r="J5137" t="str">
            <v>COLEGIO LAS AMERICAS IED</v>
          </cell>
          <cell r="K5137">
            <v>171388879</v>
          </cell>
        </row>
        <row r="5138">
          <cell r="I5138">
            <v>860532366</v>
          </cell>
          <cell r="J5138" t="str">
            <v>I.E.D GUILLERMO LEON VALENCIA</v>
          </cell>
          <cell r="K5138">
            <v>129007904</v>
          </cell>
        </row>
        <row r="5139">
          <cell r="I5139">
            <v>860532389</v>
          </cell>
          <cell r="J5139" t="str">
            <v>INSTITUCION EDUCATIVA DISTRITAL ANIBAL FERNANDEZ DE SOTO</v>
          </cell>
          <cell r="K5139">
            <v>98179909</v>
          </cell>
        </row>
        <row r="5140">
          <cell r="I5140">
            <v>860532402</v>
          </cell>
          <cell r="J5140" t="str">
            <v>FSE</v>
          </cell>
          <cell r="K5140">
            <v>76353094</v>
          </cell>
        </row>
        <row r="5141">
          <cell r="I5141">
            <v>860532406</v>
          </cell>
          <cell r="J5141" t="str">
            <v>INSTITUTO TECNICO DISTRITAL REPUBLICA DE GUATEMALA</v>
          </cell>
          <cell r="K5141">
            <v>93685098</v>
          </cell>
        </row>
        <row r="5142">
          <cell r="I5142">
            <v>860532407</v>
          </cell>
          <cell r="J5142" t="str">
            <v>INSTITUCION EDUCATIVA DISTRITAL MANUELA BELTRAN</v>
          </cell>
          <cell r="K5142">
            <v>145694242</v>
          </cell>
        </row>
        <row r="5143">
          <cell r="I5143">
            <v>860532408</v>
          </cell>
          <cell r="J5143" t="str">
            <v>i.e.d.san jose de castilla</v>
          </cell>
          <cell r="K5143">
            <v>210454470</v>
          </cell>
        </row>
        <row r="5144">
          <cell r="I5144">
            <v>860532412</v>
          </cell>
          <cell r="J5144" t="str">
            <v>FONDO DE SERVICIOS EDUCATIVOS I.E.D LEON DE GREIFF</v>
          </cell>
          <cell r="K5144">
            <v>100607025</v>
          </cell>
        </row>
        <row r="5145">
          <cell r="I5145">
            <v>860532413</v>
          </cell>
          <cell r="J5145" t="str">
            <v>INSTITUCION EDUCATIVA DISTRITAL RAFAEL BERNAL JIMENEZ</v>
          </cell>
          <cell r="K5145">
            <v>107982115</v>
          </cell>
        </row>
        <row r="5146">
          <cell r="I5146">
            <v>860532414</v>
          </cell>
          <cell r="J5146" t="str">
            <v>colegio distrital kennedy</v>
          </cell>
          <cell r="K5146">
            <v>192256548</v>
          </cell>
        </row>
        <row r="5147">
          <cell r="I5147">
            <v>860532422</v>
          </cell>
          <cell r="J5147" t="str">
            <v>INSTITUCION EDUCATIVA DISTRITAL BRAVO PAEZ</v>
          </cell>
          <cell r="K5147">
            <v>145699652</v>
          </cell>
        </row>
        <row r="5148">
          <cell r="I5148">
            <v>860532427</v>
          </cell>
          <cell r="J5148" t="str">
            <v>INSTITUCION EDUCATIVA DISTRITAL JUAN FRANCISCO BERBEO</v>
          </cell>
          <cell r="K5148">
            <v>99794074</v>
          </cell>
        </row>
        <row r="5149">
          <cell r="I5149">
            <v>860532442</v>
          </cell>
          <cell r="J5149" t="str">
            <v>INSTITUCION EDUCATIVA DISTRITAL REPUBLICA DE PANAMA</v>
          </cell>
          <cell r="K5149">
            <v>67637358</v>
          </cell>
        </row>
        <row r="5150">
          <cell r="I5150">
            <v>860532444</v>
          </cell>
          <cell r="J5150" t="str">
            <v>COLEGIO DISTRITAL GERARDO PAREDES</v>
          </cell>
          <cell r="K5150">
            <v>226841431</v>
          </cell>
        </row>
        <row r="5151">
          <cell r="I5151">
            <v>860532445</v>
          </cell>
          <cell r="J5151" t="str">
            <v>IED GENERAL SANTANDER</v>
          </cell>
          <cell r="K5151">
            <v>64920799</v>
          </cell>
        </row>
        <row r="5152">
          <cell r="I5152">
            <v>860532456</v>
          </cell>
          <cell r="J5152" t="str">
            <v>INSTITUCION EDUCATIVA DISTRITAL SIMON BOLIVAR</v>
          </cell>
          <cell r="K5152">
            <v>104881521</v>
          </cell>
        </row>
        <row r="5153">
          <cell r="I5153">
            <v>860532458</v>
          </cell>
          <cell r="J5153" t="str">
            <v>INSTITUCION EDUCATIVA DISTRITAL LA MERCED</v>
          </cell>
          <cell r="K5153">
            <v>257528900</v>
          </cell>
        </row>
        <row r="5154">
          <cell r="I5154">
            <v>860532476</v>
          </cell>
          <cell r="J5154" t="str">
            <v>INSTITUCION EDUCATIVA DISTRITAL JOSE ASUNCION SILVA</v>
          </cell>
          <cell r="K5154">
            <v>80091948</v>
          </cell>
        </row>
        <row r="5155">
          <cell r="I5155">
            <v>860532489</v>
          </cell>
          <cell r="J5155" t="str">
            <v>CENTRO EDUCATIVO DISTRITAL MANUEL ELKIN PATARROYO</v>
          </cell>
          <cell r="K5155">
            <v>33160291</v>
          </cell>
        </row>
        <row r="5156">
          <cell r="I5156">
            <v>860532493</v>
          </cell>
          <cell r="J5156" t="str">
            <v>INSTITUCION EDUCATIVA DISTRITAL ATANASIO GIRARDOT</v>
          </cell>
          <cell r="K5156">
            <v>164659625</v>
          </cell>
        </row>
        <row r="5157">
          <cell r="I5157">
            <v>860532516</v>
          </cell>
          <cell r="J5157" t="str">
            <v>FONSED IED JOSE FELIX RESTREPO</v>
          </cell>
          <cell r="K5157">
            <v>174693845</v>
          </cell>
        </row>
        <row r="5158">
          <cell r="I5158">
            <v>860532518</v>
          </cell>
          <cell r="J5158" t="str">
            <v>COLEGIO MANUELITA SAENZ IED</v>
          </cell>
          <cell r="K5158">
            <v>242212176</v>
          </cell>
        </row>
        <row r="5159">
          <cell r="I5159">
            <v>860532521</v>
          </cell>
          <cell r="J5159" t="str">
            <v>FSE IED FRANCISCO JOSE DE CALDAS</v>
          </cell>
          <cell r="K5159">
            <v>316954639</v>
          </cell>
        </row>
        <row r="5160">
          <cell r="I5160">
            <v>860532530</v>
          </cell>
          <cell r="J5160" t="str">
            <v>INSTITUCION EDUCATIVA DISTRITAL RAFAEL URIBE URIBE</v>
          </cell>
          <cell r="K5160">
            <v>211726806</v>
          </cell>
        </row>
        <row r="5161">
          <cell r="I5161">
            <v>860532531</v>
          </cell>
          <cell r="J5161" t="str">
            <v>INSTITUCION EDUCATIVA DISTRITAL FRANCISCO ANTONIO ZEA DE USME</v>
          </cell>
          <cell r="K5161">
            <v>135965049</v>
          </cell>
        </row>
        <row r="5162">
          <cell r="I5162">
            <v>860532532</v>
          </cell>
          <cell r="J5162" t="str">
            <v>FONDO DE SERVICIOS EDUCATIVOS I.E.D  FABIO LOZANO SIMONELLI</v>
          </cell>
          <cell r="K5162">
            <v>180919465</v>
          </cell>
        </row>
        <row r="5163">
          <cell r="I5163">
            <v>860532533</v>
          </cell>
          <cell r="J5163" t="str">
            <v>COLEGIO DISTRITAL ALMIRANTE PADILLA</v>
          </cell>
          <cell r="K5163">
            <v>138044800</v>
          </cell>
        </row>
        <row r="5164">
          <cell r="I5164">
            <v>860532537</v>
          </cell>
          <cell r="J5164" t="str">
            <v>COLEGIO DISTRITAL JORGE SOTO DEL CORRAL</v>
          </cell>
          <cell r="K5164">
            <v>70790632</v>
          </cell>
        </row>
        <row r="5165">
          <cell r="I5165">
            <v>860532538</v>
          </cell>
          <cell r="J5165" t="str">
            <v>COLEGIO FERNANDO SOTO APARICIO INSTITUCION EDUCATIVA DISTRITAL</v>
          </cell>
          <cell r="K5165">
            <v>176849750</v>
          </cell>
        </row>
        <row r="5166">
          <cell r="I5166">
            <v>860532539</v>
          </cell>
          <cell r="J5166" t="str">
            <v>IED UNIDAD BASICA MARCO FIDEL SUAREZ</v>
          </cell>
          <cell r="K5166">
            <v>193230966</v>
          </cell>
        </row>
        <row r="5167">
          <cell r="I5167">
            <v>860532542</v>
          </cell>
          <cell r="J5167" t="str">
            <v>fondo de servicios educativos colegio simon rodriguez</v>
          </cell>
          <cell r="K5167">
            <v>70117040</v>
          </cell>
        </row>
        <row r="5168">
          <cell r="I5168">
            <v>860532555</v>
          </cell>
          <cell r="J5168" t="str">
            <v>inst.distr.tecnico domingo faustino sarmiento</v>
          </cell>
          <cell r="K5168">
            <v>112591354</v>
          </cell>
        </row>
        <row r="5169">
          <cell r="I5169">
            <v>860532556</v>
          </cell>
          <cell r="J5169" t="str">
            <v>INSTITUCION EDUCATIVA DISTRITAL TOMAS CARRASQUILLA</v>
          </cell>
          <cell r="K5169">
            <v>169897048</v>
          </cell>
        </row>
        <row r="5170">
          <cell r="I5170">
            <v>860532576</v>
          </cell>
          <cell r="J5170" t="str">
            <v>Institución Educativa Distrital La Amistad</v>
          </cell>
          <cell r="K5170">
            <v>193419009</v>
          </cell>
        </row>
        <row r="5171">
          <cell r="I5171">
            <v>860532631</v>
          </cell>
          <cell r="J5171" t="str">
            <v>INSTITUCION EDUCATIVA DISTRITAL ANTONIO JOSE URIBE</v>
          </cell>
          <cell r="K5171">
            <v>78042650</v>
          </cell>
        </row>
        <row r="5172">
          <cell r="I5172">
            <v>860533131</v>
          </cell>
          <cell r="J5172" t="str">
            <v>INSTITUCION EDUCATIVA DISTRITAL JUAN LOZANO Y LOZANO</v>
          </cell>
          <cell r="K5172">
            <v>210598776</v>
          </cell>
        </row>
        <row r="5173">
          <cell r="I5173">
            <v>860582589</v>
          </cell>
          <cell r="J5173" t="str">
            <v>INSTITUCION EDUCATIVA DISTRITAL GUSTAVO RESTREPO</v>
          </cell>
          <cell r="K5173">
            <v>168723006</v>
          </cell>
        </row>
        <row r="5174">
          <cell r="I5174">
            <v>881900892</v>
          </cell>
          <cell r="J5174" t="str">
            <v>INSTITUCION EDUCATIVA MANUEL ANTONIO BONILLA</v>
          </cell>
          <cell r="K5174">
            <v>69914727</v>
          </cell>
        </row>
        <row r="5175">
          <cell r="I5175">
            <v>882009006</v>
          </cell>
          <cell r="J5175" t="str">
            <v>Unidad Educativa de Puerto Lleras</v>
          </cell>
          <cell r="K5175">
            <v>67439493</v>
          </cell>
        </row>
        <row r="5176">
          <cell r="I5176">
            <v>890000441</v>
          </cell>
          <cell r="J5176" t="str">
            <v>MUNICIPIO DE CALARCA</v>
          </cell>
          <cell r="K5176">
            <v>669662126</v>
          </cell>
        </row>
        <row r="5177">
          <cell r="I5177">
            <v>890000464</v>
          </cell>
          <cell r="J5177" t="str">
            <v>MUNICIPIO DE ARMENIA</v>
          </cell>
          <cell r="K5177">
            <v>65660398708</v>
          </cell>
        </row>
        <row r="5178">
          <cell r="I5178">
            <v>890000564</v>
          </cell>
          <cell r="J5178" t="str">
            <v>MUNICIPIO DE LA TEBAIDA</v>
          </cell>
          <cell r="K5178">
            <v>334013260</v>
          </cell>
        </row>
        <row r="5179">
          <cell r="I5179">
            <v>890000594</v>
          </cell>
          <cell r="J5179" t="str">
            <v>FONDOS DE SERVICIOS EDUCATIVOS INSTITUCION EDUCATIVA SANTA TERESA DE JESUS</v>
          </cell>
          <cell r="K5179">
            <v>92200788</v>
          </cell>
        </row>
        <row r="5180">
          <cell r="I5180">
            <v>890000613</v>
          </cell>
          <cell r="J5180" t="str">
            <v>MUNICIPIO DE QUIMBAYA</v>
          </cell>
          <cell r="K5180">
            <v>320067678</v>
          </cell>
        </row>
        <row r="5181">
          <cell r="I5181">
            <v>890000710</v>
          </cell>
          <cell r="J5181" t="str">
            <v>COLEGIO BOLIVARIANO CAICEDONIA VALLE</v>
          </cell>
          <cell r="K5181">
            <v>113211324</v>
          </cell>
        </row>
        <row r="5182">
          <cell r="I5182">
            <v>890000711</v>
          </cell>
          <cell r="J5182" t="str">
            <v>INSTITUCION EDUCATIVA SUPERIOR MARIA INMACULADA</v>
          </cell>
          <cell r="K5182">
            <v>105091141</v>
          </cell>
        </row>
        <row r="5183">
          <cell r="I5183">
            <v>890000718</v>
          </cell>
          <cell r="J5183" t="str">
            <v>INSTITUCION EDUCATIVA RAFAEL URIVE URIBE</v>
          </cell>
          <cell r="K5183">
            <v>40897226</v>
          </cell>
        </row>
        <row r="5184">
          <cell r="I5184">
            <v>890000858</v>
          </cell>
          <cell r="J5184" t="str">
            <v>MUNICIPIO DE MONTENEGRO</v>
          </cell>
          <cell r="K5184">
            <v>385122206</v>
          </cell>
        </row>
        <row r="5185">
          <cell r="I5185">
            <v>890000864</v>
          </cell>
          <cell r="J5185" t="str">
            <v>MUNICIPIO DE GENOVA</v>
          </cell>
          <cell r="K5185">
            <v>81904116</v>
          </cell>
        </row>
        <row r="5186">
          <cell r="I5186">
            <v>890000891</v>
          </cell>
          <cell r="J5186" t="str">
            <v>FONDO DE SERVICIOS EDUCATIVOS CIUDADELA EDUCATIVA SAN BERNARDO</v>
          </cell>
          <cell r="K5186">
            <v>115897845</v>
          </cell>
        </row>
        <row r="5187">
          <cell r="I5187">
            <v>890001044</v>
          </cell>
          <cell r="J5187" t="str">
            <v>MUNICIPIO DE CIRCASIA</v>
          </cell>
          <cell r="K5187">
            <v>241104717</v>
          </cell>
        </row>
        <row r="5188">
          <cell r="I5188">
            <v>890001061</v>
          </cell>
          <cell r="J5188" t="str">
            <v>MUNICIPIO DE CORDOBA</v>
          </cell>
          <cell r="K5188">
            <v>55015576</v>
          </cell>
        </row>
        <row r="5189">
          <cell r="I5189">
            <v>890001092</v>
          </cell>
          <cell r="J5189" t="str">
            <v>INSTITUCION EDUCATIVAINSTITUTO PIJAO</v>
          </cell>
          <cell r="K5189">
            <v>27984798</v>
          </cell>
        </row>
        <row r="5190">
          <cell r="I5190">
            <v>890001127</v>
          </cell>
          <cell r="J5190" t="str">
            <v>MUNICIPIO DE SALENTO</v>
          </cell>
          <cell r="K5190">
            <v>71183994</v>
          </cell>
        </row>
        <row r="5191">
          <cell r="I5191">
            <v>890001181</v>
          </cell>
          <cell r="J5191" t="str">
            <v>MUNICIPIO DE PIJAO</v>
          </cell>
          <cell r="K5191">
            <v>107432843</v>
          </cell>
        </row>
        <row r="5192">
          <cell r="I5192">
            <v>890001339</v>
          </cell>
          <cell r="J5192" t="str">
            <v>MUNICIPIO DE FILANDIA</v>
          </cell>
          <cell r="K5192">
            <v>123314163</v>
          </cell>
        </row>
        <row r="5193">
          <cell r="I5193">
            <v>890001639</v>
          </cell>
          <cell r="J5193" t="str">
            <v>DEPARTAMENTO DEL QUINDIO</v>
          </cell>
          <cell r="K5193">
            <v>75910334779</v>
          </cell>
        </row>
        <row r="5194">
          <cell r="I5194">
            <v>890001879</v>
          </cell>
          <cell r="J5194" t="str">
            <v>MUNICIPIO DE BUENAVISTA</v>
          </cell>
          <cell r="K5194">
            <v>33032790</v>
          </cell>
        </row>
        <row r="5195">
          <cell r="I5195">
            <v>890002054</v>
          </cell>
          <cell r="J5195" t="str">
            <v>ESCUELA NORMAL SUPERIOR DEL QUINDIO</v>
          </cell>
          <cell r="K5195">
            <v>218780890</v>
          </cell>
        </row>
        <row r="5196">
          <cell r="I5196">
            <v>890003582</v>
          </cell>
          <cell r="J5196" t="str">
            <v>FONDO DE SERVICIOS EDUCATIVOS INSTITUCION EDUCATIVA SANTA TERESITA</v>
          </cell>
          <cell r="K5196">
            <v>97600879</v>
          </cell>
        </row>
        <row r="5197">
          <cell r="I5197">
            <v>890003775</v>
          </cell>
          <cell r="J5197" t="str">
            <v>INSTITUCION EDUCATIVA DE MERCADOTECNIA MARIA INMACULADA</v>
          </cell>
          <cell r="K5197">
            <v>91986682</v>
          </cell>
        </row>
        <row r="5198">
          <cell r="I5198">
            <v>890003779</v>
          </cell>
          <cell r="J5198" t="str">
            <v>INSTITUCION EDUCATIVA INSTIRUTO QUIMBAYA</v>
          </cell>
          <cell r="K5198">
            <v>60569791</v>
          </cell>
        </row>
        <row r="5199">
          <cell r="I5199">
            <v>890003799</v>
          </cell>
          <cell r="J5199" t="str">
            <v>INSTITUCION EDUCATIVA NARANJAL</v>
          </cell>
          <cell r="K5199">
            <v>24778186</v>
          </cell>
        </row>
        <row r="5200">
          <cell r="I5200">
            <v>890003810</v>
          </cell>
          <cell r="J5200" t="str">
            <v>instituto genova fondo de servicio educativo</v>
          </cell>
          <cell r="K5200">
            <v>60591772</v>
          </cell>
        </row>
        <row r="5201">
          <cell r="I5201">
            <v>890003817</v>
          </cell>
          <cell r="J5201" t="str">
            <v>FONDO SERVICIOS EDUCATIVOS INSTITUCION EDUCATIVA SAN JOSE</v>
          </cell>
          <cell r="K5201">
            <v>72950661</v>
          </cell>
        </row>
        <row r="5202">
          <cell r="I5202">
            <v>890003829</v>
          </cell>
          <cell r="J5202" t="str">
            <v>INSTITUCION EDUCATIVA ANTONIO NARIÑO</v>
          </cell>
          <cell r="K5202">
            <v>84386139</v>
          </cell>
        </row>
        <row r="5203">
          <cell r="I5203">
            <v>890003844</v>
          </cell>
          <cell r="J5203" t="str">
            <v>INSTITUCION EDUCATIVA FRANCISCO MIRANDA FONDO DE SERVICIOS EDUCATIVOS</v>
          </cell>
          <cell r="K5203">
            <v>23675719</v>
          </cell>
        </row>
        <row r="5204">
          <cell r="I5204">
            <v>890003855</v>
          </cell>
          <cell r="J5204" t="str">
            <v>INSTITUCION EDUCATIVA LICEO ANDINO DE LA SANTISIMATRINIDAD</v>
          </cell>
          <cell r="K5204">
            <v>42601727</v>
          </cell>
        </row>
        <row r="5205">
          <cell r="I5205">
            <v>890003889</v>
          </cell>
          <cell r="J5205" t="str">
            <v>FONDOS DE SERVICIOS EDUCATIVOS  RUFINO JOSE CUERVO SUR</v>
          </cell>
          <cell r="K5205">
            <v>137819345</v>
          </cell>
        </row>
        <row r="5206">
          <cell r="I5206">
            <v>890072044</v>
          </cell>
          <cell r="J5206" t="str">
            <v>MUNICIPIO SANTA ISABEL</v>
          </cell>
          <cell r="K5206">
            <v>73073959</v>
          </cell>
        </row>
        <row r="5207">
          <cell r="I5207">
            <v>890102006</v>
          </cell>
          <cell r="J5207" t="str">
            <v>DEPARTAMENTO DEL ATLANTICO</v>
          </cell>
          <cell r="K5207">
            <v>162818723585</v>
          </cell>
        </row>
        <row r="5208">
          <cell r="I5208">
            <v>890102018</v>
          </cell>
          <cell r="J5208" t="str">
            <v>DISTRITO ESPECIAL INDUSTRIAL Y PORTUARIO DE BARRANQUILLA</v>
          </cell>
          <cell r="K5208">
            <v>260769755905</v>
          </cell>
        </row>
        <row r="5209">
          <cell r="I5209">
            <v>890102265</v>
          </cell>
          <cell r="J5209" t="str">
            <v>ESCUELA NORMAL SUPERIOR LA HACIENDA</v>
          </cell>
          <cell r="K5209">
            <v>273736476</v>
          </cell>
        </row>
        <row r="5210">
          <cell r="I5210">
            <v>890102267</v>
          </cell>
          <cell r="J5210" t="str">
            <v>COLEGIO DISTRITAL JOSE EUSEBIO</v>
          </cell>
          <cell r="K5210">
            <v>83547913</v>
          </cell>
        </row>
        <row r="5211">
          <cell r="I5211">
            <v>890102472</v>
          </cell>
          <cell r="J5211" t="str">
            <v>MUNICIPIO DE GALAPA</v>
          </cell>
          <cell r="K5211">
            <v>399734160</v>
          </cell>
        </row>
        <row r="5212">
          <cell r="I5212">
            <v>890103003</v>
          </cell>
          <cell r="J5212" t="str">
            <v>MUNICIPIO DE LURUACO</v>
          </cell>
          <cell r="K5212">
            <v>358698109</v>
          </cell>
        </row>
        <row r="5213">
          <cell r="I5213">
            <v>890103008</v>
          </cell>
          <cell r="J5213" t="str">
            <v>INSTITUCION EDUCATIVA INOBASOL DE SOLEDAD</v>
          </cell>
          <cell r="K5213">
            <v>164651480</v>
          </cell>
        </row>
        <row r="5214">
          <cell r="I5214">
            <v>890103018</v>
          </cell>
          <cell r="J5214" t="str">
            <v>COLEGIO DE BACHILLERATO TECNICO COMERCIAL HELENA DE CHAUVIN</v>
          </cell>
          <cell r="K5214">
            <v>72541649</v>
          </cell>
        </row>
        <row r="5215">
          <cell r="I5215">
            <v>890103022</v>
          </cell>
          <cell r="J5215" t="str">
            <v>instituto educativa jose david montezuma recuero</v>
          </cell>
          <cell r="K5215">
            <v>132018328</v>
          </cell>
        </row>
        <row r="5216">
          <cell r="I5216">
            <v>890103024</v>
          </cell>
          <cell r="J5216" t="str">
            <v>colegio nacional de bachillerato campo de la cruz</v>
          </cell>
          <cell r="K5216">
            <v>103813056</v>
          </cell>
        </row>
        <row r="5217">
          <cell r="I5217">
            <v>890103027</v>
          </cell>
          <cell r="J5217" t="str">
            <v>INSTITUCION EDUCATIVA TECNICO INDUSTRIAL DEL  ATLANTICO</v>
          </cell>
          <cell r="K5217">
            <v>271555614</v>
          </cell>
        </row>
        <row r="5218">
          <cell r="I5218">
            <v>890103028</v>
          </cell>
          <cell r="J5218" t="str">
            <v>INSTITUCION EDUCATIVA DOLORES MARIA UCROS</v>
          </cell>
          <cell r="K5218">
            <v>250210931</v>
          </cell>
        </row>
        <row r="5219">
          <cell r="I5219">
            <v>890103032</v>
          </cell>
          <cell r="J5219" t="str">
            <v>inst educativa francisco javier cisneros</v>
          </cell>
          <cell r="K5219">
            <v>122549009</v>
          </cell>
        </row>
        <row r="5220">
          <cell r="I5220">
            <v>890103036</v>
          </cell>
          <cell r="J5220" t="str">
            <v>institucion educativa tecnica oriental</v>
          </cell>
          <cell r="K5220">
            <v>178563352</v>
          </cell>
        </row>
        <row r="5221">
          <cell r="I5221">
            <v>890103051</v>
          </cell>
          <cell r="J5221" t="str">
            <v>INSITUCION EDUCATIVA FRANCISCO JOSE DE CALDAS</v>
          </cell>
          <cell r="K5221">
            <v>291393359</v>
          </cell>
        </row>
        <row r="5222">
          <cell r="I5222">
            <v>890103077</v>
          </cell>
          <cell r="J5222" t="str">
            <v>INSTITUCION EDUCATIVA DISTRITAL CARLOS MEISEL</v>
          </cell>
          <cell r="K5222">
            <v>166955305</v>
          </cell>
        </row>
        <row r="5223">
          <cell r="I5223">
            <v>890103091</v>
          </cell>
          <cell r="J5223" t="str">
            <v>INSTITUTO TECNICO NACIONAL DE COMERCIO</v>
          </cell>
          <cell r="K5223">
            <v>175606050</v>
          </cell>
        </row>
        <row r="5224">
          <cell r="I5224">
            <v>890103217</v>
          </cell>
          <cell r="J5224" t="str">
            <v>FONDO DE SERVICIOS EDUCATIVOS INEM</v>
          </cell>
          <cell r="K5224">
            <v>190855223</v>
          </cell>
        </row>
        <row r="5225">
          <cell r="I5225">
            <v>890103745</v>
          </cell>
          <cell r="J5225" t="str">
            <v>fondo de servicio docente del instituto educativo san luis beltran</v>
          </cell>
          <cell r="K5225">
            <v>143940340</v>
          </cell>
        </row>
        <row r="5226">
          <cell r="I5226">
            <v>890103812</v>
          </cell>
          <cell r="J5226" t="str">
            <v>COLEGIO DE BARRANQUILLA CODEBA FONDO DE SERVICIOS EDUCATIVOS</v>
          </cell>
          <cell r="K5226">
            <v>118381051</v>
          </cell>
        </row>
        <row r="5227">
          <cell r="I5227">
            <v>890103839</v>
          </cell>
          <cell r="J5227" t="str">
            <v>institucion educativa normal superior de manati</v>
          </cell>
          <cell r="K5227">
            <v>135200904</v>
          </cell>
        </row>
        <row r="5228">
          <cell r="I5228">
            <v>890103848</v>
          </cell>
          <cell r="J5228" t="str">
            <v>INSTITUCION EDUCATIVA TECNICA JUAN XXIII</v>
          </cell>
          <cell r="K5228">
            <v>134538778</v>
          </cell>
        </row>
        <row r="5229">
          <cell r="I5229">
            <v>890103854</v>
          </cell>
          <cell r="J5229" t="str">
            <v>INSTITUCION EDUCATIVA DISTRITAL SIMON BOLIVAR</v>
          </cell>
          <cell r="K5229">
            <v>81358497</v>
          </cell>
        </row>
        <row r="5230">
          <cell r="I5230">
            <v>890103863</v>
          </cell>
          <cell r="J5230" t="str">
            <v>institucion educativa tecnica francisco cartusciello</v>
          </cell>
          <cell r="K5230">
            <v>229148245</v>
          </cell>
        </row>
        <row r="5231">
          <cell r="I5231">
            <v>890103962</v>
          </cell>
          <cell r="J5231" t="str">
            <v>MUNICIPIO DE REPELON</v>
          </cell>
          <cell r="K5231">
            <v>343876771</v>
          </cell>
        </row>
        <row r="5232">
          <cell r="I5232">
            <v>890103991</v>
          </cell>
          <cell r="J5232" t="str">
            <v>institucion educativa tecnica san pablo de polo nuevo</v>
          </cell>
          <cell r="K5232">
            <v>184554295</v>
          </cell>
        </row>
        <row r="5233">
          <cell r="I5233">
            <v>890103999</v>
          </cell>
          <cell r="J5233" t="str">
            <v>INSTITUCION EDUCATIVA DE BARANOA JULIO PANTOJA MALDONADO</v>
          </cell>
          <cell r="K5233">
            <v>122315751</v>
          </cell>
        </row>
        <row r="5234">
          <cell r="I5234">
            <v>890105087</v>
          </cell>
          <cell r="J5234" t="str">
            <v>INSTITUCION EDUCATIVA TECNICA  COMCERCIAL DE PALMAR DE VARELA MUNICIPIO PALMAR DE VARELA DEPARTAMENTO ATLANTICO</v>
          </cell>
          <cell r="K5234">
            <v>286660649</v>
          </cell>
        </row>
        <row r="5235">
          <cell r="I5235">
            <v>890105167</v>
          </cell>
          <cell r="J5235" t="str">
            <v>institucion educativa tecnica juan v padilla</v>
          </cell>
          <cell r="K5235">
            <v>184027470</v>
          </cell>
        </row>
        <row r="5236">
          <cell r="I5236">
            <v>890106291</v>
          </cell>
          <cell r="J5236" t="str">
            <v>MUNICIPIO DE SOLEDAD</v>
          </cell>
          <cell r="K5236">
            <v>98336338842</v>
          </cell>
        </row>
        <row r="5237">
          <cell r="I5237">
            <v>890106369</v>
          </cell>
          <cell r="J5237" t="str">
            <v>COLEGIO MARCO FIDEL SUAREZ</v>
          </cell>
          <cell r="K5237">
            <v>157606471</v>
          </cell>
        </row>
        <row r="5238">
          <cell r="I5238">
            <v>890106787</v>
          </cell>
          <cell r="J5238" t="str">
            <v>ESCUELA NORMAL SUPERIOR DEL DISTRITO DE BARRANQUILLA</v>
          </cell>
          <cell r="K5238">
            <v>171644200</v>
          </cell>
        </row>
        <row r="5239">
          <cell r="I5239">
            <v>890107177</v>
          </cell>
          <cell r="J5239" t="str">
            <v>fondos de servicios educativos insitucion educativa de sabanalarga</v>
          </cell>
          <cell r="K5239">
            <v>262202651</v>
          </cell>
        </row>
        <row r="5240">
          <cell r="I5240">
            <v>890107266</v>
          </cell>
          <cell r="J5240" t="str">
            <v>FONDO DE SERVICIOS EDUCATIVO COLEGIO MAYOR DE BARRANQUILLA</v>
          </cell>
          <cell r="K5240">
            <v>81036086</v>
          </cell>
        </row>
        <row r="5241">
          <cell r="I5241">
            <v>890107327</v>
          </cell>
          <cell r="J5241" t="str">
            <v>INSTITUTO EDUCATIVO SOFIA CAMARGO DE LLERAS</v>
          </cell>
          <cell r="K5241">
            <v>145588002</v>
          </cell>
        </row>
        <row r="5242">
          <cell r="I5242">
            <v>890107378</v>
          </cell>
          <cell r="J5242" t="str">
            <v>INSTITUCION EDUCATIVA POLITECNICO DE SOLEDAD</v>
          </cell>
          <cell r="K5242">
            <v>258102306</v>
          </cell>
        </row>
        <row r="5243">
          <cell r="I5243">
            <v>890108028</v>
          </cell>
          <cell r="J5243" t="str">
            <v>institucion educativa san antonio</v>
          </cell>
          <cell r="K5243">
            <v>54665813</v>
          </cell>
        </row>
        <row r="5244">
          <cell r="I5244">
            <v>890110805</v>
          </cell>
          <cell r="J5244" t="str">
            <v>INSTITUCION EDUCATIVA DISTRITAL JAVIER SANCHEZ</v>
          </cell>
          <cell r="K5244">
            <v>88477118</v>
          </cell>
        </row>
        <row r="5245">
          <cell r="I5245">
            <v>890112233</v>
          </cell>
          <cell r="J5245" t="str">
            <v>INSTITUCION EDUCATIVA DISTRITAL ANTONIO JOSE DE SUCRE</v>
          </cell>
          <cell r="K5245">
            <v>50219930</v>
          </cell>
        </row>
        <row r="5246">
          <cell r="I5246">
            <v>890112371</v>
          </cell>
          <cell r="J5246" t="str">
            <v>MUNICIPIO DE BARANOA</v>
          </cell>
          <cell r="K5246">
            <v>508149117</v>
          </cell>
        </row>
        <row r="5247">
          <cell r="I5247">
            <v>890112437</v>
          </cell>
          <cell r="J5247" t="str">
            <v>INSTITUCION EDUCATIVA DISTRITAL JORGE NICOLAS ABELLO</v>
          </cell>
          <cell r="K5247">
            <v>110753482</v>
          </cell>
        </row>
        <row r="5248">
          <cell r="I5248">
            <v>890114156</v>
          </cell>
          <cell r="J5248" t="str">
            <v>INSTITUTO TECNICO DE COMERCIO BARRANQUILLA</v>
          </cell>
          <cell r="K5248">
            <v>147959635</v>
          </cell>
        </row>
        <row r="5249">
          <cell r="I5249">
            <v>890114335</v>
          </cell>
          <cell r="J5249" t="str">
            <v>MUNICIPIO DE MALAMBO</v>
          </cell>
          <cell r="K5249">
            <v>25438170709</v>
          </cell>
        </row>
        <row r="5250">
          <cell r="I5250">
            <v>890115982</v>
          </cell>
          <cell r="J5250" t="str">
            <v>MUNICIPIO DE SABANAGRANDE</v>
          </cell>
          <cell r="K5250">
            <v>293168540</v>
          </cell>
        </row>
        <row r="5251">
          <cell r="I5251">
            <v>890116159</v>
          </cell>
          <cell r="J5251" t="str">
            <v>MUNICIPIO DE SUAN</v>
          </cell>
          <cell r="K5251">
            <v>137522280</v>
          </cell>
        </row>
        <row r="5252">
          <cell r="I5252">
            <v>890116278</v>
          </cell>
          <cell r="J5252" t="str">
            <v>MUNICIPIO DE PONEDERA</v>
          </cell>
          <cell r="K5252">
            <v>295230789</v>
          </cell>
        </row>
        <row r="5253">
          <cell r="I5253">
            <v>890201190</v>
          </cell>
          <cell r="J5253" t="str">
            <v>MUNICIPIO DE PUERTO WILCHES</v>
          </cell>
          <cell r="K5253">
            <v>402417771</v>
          </cell>
        </row>
        <row r="5254">
          <cell r="I5254">
            <v>890201212</v>
          </cell>
          <cell r="J5254" t="str">
            <v>ESCUELA NORMAL SUPERIOR SISTEMA GENERAL DE PARTICIPACIONES</v>
          </cell>
          <cell r="K5254">
            <v>279449599</v>
          </cell>
        </row>
        <row r="5255">
          <cell r="I5255">
            <v>890201222</v>
          </cell>
          <cell r="J5255" t="str">
            <v>MUNICIPIO DE BUCARAMANGA</v>
          </cell>
          <cell r="K5255">
            <v>102299896466</v>
          </cell>
        </row>
        <row r="5256">
          <cell r="I5256">
            <v>890201235</v>
          </cell>
          <cell r="J5256" t="str">
            <v>DEPARTAMENTO DE SANTANDER</v>
          </cell>
          <cell r="K5256">
            <v>290211176736</v>
          </cell>
        </row>
        <row r="5257">
          <cell r="I5257">
            <v>890201286</v>
          </cell>
          <cell r="J5257" t="str">
            <v>INSTITUTO TECNICO NACIONAL DE COMERCIO</v>
          </cell>
          <cell r="K5257">
            <v>147339864</v>
          </cell>
        </row>
        <row r="5258">
          <cell r="I5258">
            <v>890201433</v>
          </cell>
          <cell r="J5258" t="str">
            <v>COLEGIO SAN JOSE DE GUANENTA</v>
          </cell>
          <cell r="K5258">
            <v>201030588</v>
          </cell>
        </row>
        <row r="5259">
          <cell r="I5259">
            <v>890201610</v>
          </cell>
          <cell r="J5259" t="str">
            <v>INSITUCION EDUCATIVA NUESTRA SEÑORA DEL PILAR</v>
          </cell>
          <cell r="K5259">
            <v>321419549</v>
          </cell>
        </row>
        <row r="5260">
          <cell r="I5260">
            <v>890201900</v>
          </cell>
          <cell r="J5260" t="str">
            <v>MUNICIPIO DE BARRANCABERMEJA</v>
          </cell>
          <cell r="K5260">
            <v>55188071639</v>
          </cell>
        </row>
        <row r="5261">
          <cell r="I5261">
            <v>890203250</v>
          </cell>
          <cell r="J5261" t="str">
            <v>FONDO DE SERVICIOS EDUCATIVOS</v>
          </cell>
          <cell r="K5261">
            <v>60866335</v>
          </cell>
        </row>
        <row r="5262">
          <cell r="I5262">
            <v>890203688</v>
          </cell>
          <cell r="J5262" t="str">
            <v>MUNICIPIO DEL SOCORRO</v>
          </cell>
          <cell r="K5262">
            <v>244368852</v>
          </cell>
        </row>
        <row r="5263">
          <cell r="I5263">
            <v>890203882</v>
          </cell>
          <cell r="J5263" t="str">
            <v>INSITUTO SANTA MARIA GORETTI</v>
          </cell>
          <cell r="K5263">
            <v>138301249</v>
          </cell>
        </row>
        <row r="5264">
          <cell r="I5264">
            <v>890204138</v>
          </cell>
          <cell r="J5264" t="str">
            <v>MUNICIPIO DE ZAPATOCA</v>
          </cell>
          <cell r="K5264">
            <v>69414100</v>
          </cell>
        </row>
        <row r="5265">
          <cell r="I5265">
            <v>890204265</v>
          </cell>
          <cell r="J5265" t="str">
            <v>MUNICIPIO DE PINCHOTE</v>
          </cell>
          <cell r="K5265">
            <v>34546778</v>
          </cell>
        </row>
        <row r="5266">
          <cell r="I5266">
            <v>890204300</v>
          </cell>
          <cell r="J5266" t="str">
            <v>INSTITUTO TECNICO INDUSTRIAL MONSEÑOR CARLOS ARDILA GARCIA</v>
          </cell>
          <cell r="K5266">
            <v>72714926</v>
          </cell>
        </row>
        <row r="5267">
          <cell r="I5267">
            <v>890204537</v>
          </cell>
          <cell r="J5267" t="str">
            <v>MUNICIPIO DE LOS SANTOS</v>
          </cell>
          <cell r="K5267">
            <v>141725248</v>
          </cell>
        </row>
        <row r="5268">
          <cell r="I5268">
            <v>890204565</v>
          </cell>
          <cell r="J5268" t="str">
            <v>FONDO DE SERVICIOS EDUCATIVOS</v>
          </cell>
          <cell r="K5268">
            <v>35164313</v>
          </cell>
        </row>
        <row r="5269">
          <cell r="I5269">
            <v>890204616</v>
          </cell>
          <cell r="J5269" t="str">
            <v>CONCENTRACION DE DESARROLLO RURAL VALLE DE SAN JOSE</v>
          </cell>
          <cell r="K5269">
            <v>37768919</v>
          </cell>
        </row>
        <row r="5270">
          <cell r="I5270">
            <v>890204643</v>
          </cell>
          <cell r="J5270" t="str">
            <v>MUNICIPIO DE SABANA DE TORRES</v>
          </cell>
          <cell r="K5270">
            <v>279562073</v>
          </cell>
        </row>
        <row r="5271">
          <cell r="I5271">
            <v>890204646</v>
          </cell>
          <cell r="J5271" t="str">
            <v>MUNICIPIO DE RIONEGRO</v>
          </cell>
          <cell r="K5271">
            <v>275384564</v>
          </cell>
        </row>
        <row r="5272">
          <cell r="I5272">
            <v>890204679</v>
          </cell>
          <cell r="J5272" t="str">
            <v>FONDO DE SERVICIOS EDUCATIVOS</v>
          </cell>
          <cell r="K5272">
            <v>36372128</v>
          </cell>
        </row>
        <row r="5273">
          <cell r="I5273">
            <v>890204699</v>
          </cell>
          <cell r="J5273" t="str">
            <v>MUNICIPIO DE CEPITA</v>
          </cell>
          <cell r="K5273">
            <v>19052789</v>
          </cell>
        </row>
        <row r="5274">
          <cell r="I5274">
            <v>890204802</v>
          </cell>
          <cell r="J5274" t="str">
            <v>MUNICIPIO  DE GIRON</v>
          </cell>
          <cell r="K5274">
            <v>32284040762</v>
          </cell>
        </row>
        <row r="5275">
          <cell r="I5275">
            <v>890204890</v>
          </cell>
          <cell r="J5275" t="str">
            <v>MUNICIPIO DE SAN JOSE DE MIRANDA</v>
          </cell>
          <cell r="K5275">
            <v>40646816</v>
          </cell>
        </row>
        <row r="5276">
          <cell r="I5276">
            <v>890204907</v>
          </cell>
          <cell r="J5276" t="str">
            <v>FONDO DE SERVICIOS EDUCATIVOS</v>
          </cell>
          <cell r="K5276">
            <v>66950877</v>
          </cell>
        </row>
        <row r="5277">
          <cell r="I5277">
            <v>890204972</v>
          </cell>
          <cell r="J5277" t="str">
            <v>FONDO DE SERVICIOS EDUCATIVOS</v>
          </cell>
          <cell r="K5277">
            <v>70653327</v>
          </cell>
        </row>
        <row r="5278">
          <cell r="I5278">
            <v>890204979</v>
          </cell>
          <cell r="J5278" t="str">
            <v>MUNICIPIO DE GUAPOTA</v>
          </cell>
          <cell r="K5278">
            <v>22414595</v>
          </cell>
        </row>
        <row r="5279">
          <cell r="I5279">
            <v>890204985</v>
          </cell>
          <cell r="J5279" t="str">
            <v>MUNICIPIO DE SUAITA</v>
          </cell>
          <cell r="K5279">
            <v>92445584</v>
          </cell>
        </row>
        <row r="5280">
          <cell r="I5280">
            <v>890204999</v>
          </cell>
          <cell r="J5280" t="str">
            <v>FONDO DE SERVICIOS EDUCATIVOS</v>
          </cell>
          <cell r="K5280">
            <v>45096878</v>
          </cell>
        </row>
        <row r="5281">
          <cell r="I5281">
            <v>890205051</v>
          </cell>
          <cell r="J5281" t="str">
            <v>MUNICIPIO DE SURATA</v>
          </cell>
          <cell r="K5281">
            <v>33190395</v>
          </cell>
        </row>
        <row r="5282">
          <cell r="I5282">
            <v>890205058</v>
          </cell>
          <cell r="J5282" t="str">
            <v>MUNICIPIO DE COROMORO</v>
          </cell>
          <cell r="K5282">
            <v>52197103</v>
          </cell>
        </row>
        <row r="5283">
          <cell r="I5283">
            <v>890205063</v>
          </cell>
          <cell r="J5283" t="str">
            <v>MUNICIPIO DE CHARALA</v>
          </cell>
          <cell r="K5283">
            <v>125648579</v>
          </cell>
        </row>
        <row r="5284">
          <cell r="I5284">
            <v>890205072</v>
          </cell>
          <cell r="J5284" t="str">
            <v>FONDO DE SERVICIOS EDUCATIVOS</v>
          </cell>
          <cell r="K5284">
            <v>82330806</v>
          </cell>
        </row>
        <row r="5285">
          <cell r="I5285">
            <v>890205114</v>
          </cell>
          <cell r="J5285" t="str">
            <v>MUNICIPIO DE ENCINO</v>
          </cell>
          <cell r="K5285">
            <v>25205068</v>
          </cell>
        </row>
        <row r="5286">
          <cell r="I5286">
            <v>890205119</v>
          </cell>
          <cell r="J5286" t="str">
            <v>MUNICIPIO DE CAPITANEJO</v>
          </cell>
          <cell r="K5286">
            <v>60330718</v>
          </cell>
        </row>
        <row r="5287">
          <cell r="I5287">
            <v>890205124</v>
          </cell>
          <cell r="J5287" t="str">
            <v>MUNICIPIO DE OCAMONTE</v>
          </cell>
          <cell r="K5287">
            <v>39381748</v>
          </cell>
        </row>
        <row r="5288">
          <cell r="I5288">
            <v>890205140</v>
          </cell>
          <cell r="J5288" t="str">
            <v>FONDO DE SERVICIOS EDUCATIVOS</v>
          </cell>
          <cell r="K5288">
            <v>43007055</v>
          </cell>
        </row>
        <row r="5289">
          <cell r="I5289">
            <v>890205176</v>
          </cell>
          <cell r="J5289" t="str">
            <v>MUNICIPIO DE FLORIDABLANCA</v>
          </cell>
          <cell r="K5289">
            <v>42451344542</v>
          </cell>
        </row>
        <row r="5290">
          <cell r="I5290">
            <v>890205199</v>
          </cell>
          <cell r="J5290" t="str">
            <v>FONDO DE SERVICIOS EDUCATIVOS</v>
          </cell>
          <cell r="K5290">
            <v>47636897</v>
          </cell>
        </row>
        <row r="5291">
          <cell r="I5291">
            <v>890205229</v>
          </cell>
          <cell r="J5291" t="str">
            <v>MUNICIPIO DE MALAGA</v>
          </cell>
          <cell r="K5291">
            <v>207982565</v>
          </cell>
        </row>
        <row r="5292">
          <cell r="I5292">
            <v>890205308</v>
          </cell>
          <cell r="J5292" t="str">
            <v>MUNICIPIO DE LA PAZ</v>
          </cell>
          <cell r="K5292">
            <v>40391939</v>
          </cell>
        </row>
        <row r="5293">
          <cell r="I5293">
            <v>890205326</v>
          </cell>
          <cell r="J5293" t="str">
            <v>MUNICIPIO DE MOLAGAVITA</v>
          </cell>
          <cell r="K5293">
            <v>38529169</v>
          </cell>
        </row>
        <row r="5294">
          <cell r="I5294">
            <v>890205334</v>
          </cell>
          <cell r="J5294" t="str">
            <v>MUNICIPIO DE ARATOCA</v>
          </cell>
          <cell r="K5294">
            <v>92627395</v>
          </cell>
        </row>
        <row r="5295">
          <cell r="I5295">
            <v>890205383</v>
          </cell>
          <cell r="J5295" t="str">
            <v>MUNICIPIO DE PIEDECUESTA</v>
          </cell>
          <cell r="K5295">
            <v>40955946937</v>
          </cell>
        </row>
        <row r="5296">
          <cell r="I5296">
            <v>890205439</v>
          </cell>
          <cell r="J5296" t="str">
            <v>MUNICIPIO DE EL GUACAMAYO</v>
          </cell>
          <cell r="K5296">
            <v>20515712</v>
          </cell>
        </row>
        <row r="5297">
          <cell r="I5297">
            <v>890205446</v>
          </cell>
          <cell r="J5297" t="str">
            <v>COLEGIO INTEGRADO CAMILO TORRES</v>
          </cell>
          <cell r="K5297">
            <v>103603791</v>
          </cell>
        </row>
        <row r="5298">
          <cell r="I5298">
            <v>890205460</v>
          </cell>
          <cell r="J5298" t="str">
            <v>MUNICIPIO VALLE DE SAN JOSE</v>
          </cell>
          <cell r="K5298">
            <v>40744438</v>
          </cell>
        </row>
        <row r="5299">
          <cell r="I5299">
            <v>890205525</v>
          </cell>
          <cell r="J5299" t="str">
            <v>INSTITUTO TECNICO INDUSTRIAL AQUILEO PARRA</v>
          </cell>
          <cell r="K5299">
            <v>68325198</v>
          </cell>
        </row>
        <row r="5300">
          <cell r="I5300">
            <v>890205575</v>
          </cell>
          <cell r="J5300" t="str">
            <v>MUNICIPIO DE CABRERA</v>
          </cell>
          <cell r="K5300">
            <v>15263227</v>
          </cell>
        </row>
        <row r="5301">
          <cell r="I5301">
            <v>890205581</v>
          </cell>
          <cell r="J5301" t="str">
            <v>MUNICIPIO DE TONA</v>
          </cell>
          <cell r="K5301">
            <v>51738001</v>
          </cell>
        </row>
        <row r="5302">
          <cell r="I5302">
            <v>890205599</v>
          </cell>
          <cell r="J5302" t="str">
            <v>FONDO DE SERVICIOS EDUCATIVOS COLEGIO BALBINO GARCIA</v>
          </cell>
          <cell r="K5302">
            <v>160902415</v>
          </cell>
        </row>
        <row r="5303">
          <cell r="I5303">
            <v>890205632</v>
          </cell>
          <cell r="J5303" t="str">
            <v>MUNICIPIO DE MOGOTES</v>
          </cell>
          <cell r="K5303">
            <v>119957026</v>
          </cell>
        </row>
        <row r="5304">
          <cell r="I5304">
            <v>890205677</v>
          </cell>
          <cell r="J5304" t="str">
            <v xml:space="preserve"> MUNICIPIO DE VELEZ</v>
          </cell>
          <cell r="K5304">
            <v>186097828</v>
          </cell>
        </row>
        <row r="5305">
          <cell r="I5305">
            <v>890205792</v>
          </cell>
          <cell r="J5305" t="str">
            <v>INSTITUTO POLITECNICO FEMENINO</v>
          </cell>
          <cell r="K5305">
            <v>151250211</v>
          </cell>
        </row>
        <row r="5306">
          <cell r="I5306">
            <v>890205973</v>
          </cell>
          <cell r="J5306" t="str">
            <v>MUNICIPIO DE SANTA BARBARA</v>
          </cell>
          <cell r="K5306">
            <v>20585348</v>
          </cell>
        </row>
        <row r="5307">
          <cell r="I5307">
            <v>890206033</v>
          </cell>
          <cell r="J5307" t="str">
            <v>MUNICIPIO DE BARBOSA</v>
          </cell>
          <cell r="K5307">
            <v>193112717</v>
          </cell>
        </row>
        <row r="5308">
          <cell r="I5308">
            <v>890206058</v>
          </cell>
          <cell r="J5308" t="str">
            <v>MUNICIPIO DE CONTRATACION</v>
          </cell>
          <cell r="K5308">
            <v>38963757</v>
          </cell>
        </row>
        <row r="5309">
          <cell r="I5309">
            <v>890206110</v>
          </cell>
          <cell r="J5309" t="str">
            <v>MUNICIPIO DE LEBRIJA</v>
          </cell>
          <cell r="K5309">
            <v>254774681</v>
          </cell>
        </row>
        <row r="5310">
          <cell r="I5310">
            <v>890206250</v>
          </cell>
          <cell r="J5310" t="str">
            <v>MUNICIPIO DE VILLANUEVA</v>
          </cell>
          <cell r="K5310">
            <v>50791405</v>
          </cell>
        </row>
        <row r="5311">
          <cell r="I5311">
            <v>890206290</v>
          </cell>
          <cell r="J5311" t="str">
            <v>MUNICIPIO DE CHIMA</v>
          </cell>
          <cell r="K5311">
            <v>26806122</v>
          </cell>
        </row>
        <row r="5312">
          <cell r="I5312">
            <v>890206679</v>
          </cell>
          <cell r="J5312" t="str">
            <v>FONDO DE SERVICIOS EDUCATIVOS</v>
          </cell>
          <cell r="K5312">
            <v>79694686</v>
          </cell>
        </row>
        <row r="5313">
          <cell r="I5313">
            <v>890206696</v>
          </cell>
          <cell r="J5313" t="str">
            <v>MUNICIPIO DE MATANZA</v>
          </cell>
          <cell r="K5313">
            <v>53824169</v>
          </cell>
        </row>
        <row r="5314">
          <cell r="I5314">
            <v>890206722</v>
          </cell>
          <cell r="J5314" t="str">
            <v>MUNICIPIO DE GALAN</v>
          </cell>
          <cell r="K5314">
            <v>29175447</v>
          </cell>
        </row>
        <row r="5315">
          <cell r="I5315">
            <v>890206724</v>
          </cell>
          <cell r="J5315" t="str">
            <v>MUNICIPIO DE CHARTA</v>
          </cell>
          <cell r="K5315">
            <v>20069917</v>
          </cell>
        </row>
        <row r="5316">
          <cell r="I5316">
            <v>890207022</v>
          </cell>
          <cell r="J5316" t="str">
            <v>MUNICIPIO DE SAN ANDRES</v>
          </cell>
          <cell r="K5316">
            <v>95158560</v>
          </cell>
        </row>
        <row r="5317">
          <cell r="I5317">
            <v>890207201</v>
          </cell>
          <cell r="J5317" t="str">
            <v>INSTITUTO DE PROBLEMAS DE APREIZAJE IPA</v>
          </cell>
          <cell r="K5317">
            <v>33325330</v>
          </cell>
        </row>
        <row r="5318">
          <cell r="I5318">
            <v>890207620</v>
          </cell>
          <cell r="J5318" t="str">
            <v>Colegio Técnico Vicente Azuero</v>
          </cell>
          <cell r="K5318">
            <v>235655031</v>
          </cell>
        </row>
        <row r="5319">
          <cell r="I5319">
            <v>890207726</v>
          </cell>
          <cell r="J5319" t="str">
            <v>COLEGIO NACIONAL UNIVERSITARIO DE VELEZ</v>
          </cell>
          <cell r="K5319">
            <v>99032200</v>
          </cell>
        </row>
        <row r="5320">
          <cell r="I5320">
            <v>890207790</v>
          </cell>
          <cell r="J5320" t="str">
            <v>MUNICIPIO DE GUEPSA</v>
          </cell>
          <cell r="K5320">
            <v>40814088</v>
          </cell>
        </row>
        <row r="5321">
          <cell r="I5321">
            <v>890208051</v>
          </cell>
          <cell r="J5321" t="str">
            <v>ESCUELA NORMAL SUPERIOR</v>
          </cell>
          <cell r="K5321">
            <v>57103427</v>
          </cell>
        </row>
        <row r="5322">
          <cell r="I5322">
            <v>890208068</v>
          </cell>
          <cell r="J5322" t="str">
            <v>NUESTRA SEÑORA DE LA PRESENTACION</v>
          </cell>
          <cell r="K5322">
            <v>186543359</v>
          </cell>
        </row>
        <row r="5323">
          <cell r="I5323">
            <v>890208098</v>
          </cell>
          <cell r="J5323" t="str">
            <v>MUNICIPIO DE CHIPATA</v>
          </cell>
          <cell r="K5323">
            <v>37754080</v>
          </cell>
        </row>
        <row r="5324">
          <cell r="I5324">
            <v>890208119</v>
          </cell>
          <cell r="J5324" t="str">
            <v>MUNICIPIO DE BETULIA</v>
          </cell>
          <cell r="K5324">
            <v>63277319</v>
          </cell>
        </row>
        <row r="5325">
          <cell r="I5325">
            <v>890208148</v>
          </cell>
          <cell r="J5325" t="str">
            <v>MUNICIPIO DE ONZAGA</v>
          </cell>
          <cell r="K5325">
            <v>44587473</v>
          </cell>
        </row>
        <row r="5326">
          <cell r="I5326">
            <v>890208199</v>
          </cell>
          <cell r="J5326" t="str">
            <v>MUNICIPIO DE EL PLAYON</v>
          </cell>
          <cell r="K5326">
            <v>130587114</v>
          </cell>
        </row>
        <row r="5327">
          <cell r="I5327">
            <v>890208224</v>
          </cell>
          <cell r="J5327" t="str">
            <v>TESORO NACIONAL ESCUELA INDUSTRIAL OIBA</v>
          </cell>
          <cell r="K5327">
            <v>65917456</v>
          </cell>
        </row>
        <row r="5328">
          <cell r="I5328">
            <v>890208262</v>
          </cell>
          <cell r="J5328" t="str">
            <v>FONDO DE SERVICIOS EDUCATIVOS UNICO COLEGIO SAN JUAN DE GIRON</v>
          </cell>
          <cell r="K5328">
            <v>158558573</v>
          </cell>
        </row>
        <row r="5329">
          <cell r="I5329">
            <v>890208360</v>
          </cell>
          <cell r="J5329" t="str">
            <v>MUNICIPIO DE GUACA</v>
          </cell>
          <cell r="K5329">
            <v>55209084</v>
          </cell>
        </row>
        <row r="5330">
          <cell r="I5330">
            <v>890208363</v>
          </cell>
          <cell r="J5330" t="str">
            <v>MUNICIPIO DE CIMITARRA</v>
          </cell>
          <cell r="K5330">
            <v>379081864</v>
          </cell>
        </row>
        <row r="5331">
          <cell r="I5331">
            <v>890208374</v>
          </cell>
          <cell r="J5331" t="str">
            <v>COLEGIO INTEGRADO "DIVINO NIÑO"</v>
          </cell>
          <cell r="K5331">
            <v>61226868</v>
          </cell>
        </row>
        <row r="5332">
          <cell r="I5332">
            <v>890208676</v>
          </cell>
          <cell r="J5332" t="str">
            <v>MUNICIPIO DE SAN JOAQUIN</v>
          </cell>
          <cell r="K5332">
            <v>24036040</v>
          </cell>
        </row>
        <row r="5333">
          <cell r="I5333">
            <v>890208807</v>
          </cell>
          <cell r="J5333" t="str">
            <v>MUNICIPIO DE SIMACOTA</v>
          </cell>
          <cell r="K5333">
            <v>94949694</v>
          </cell>
        </row>
        <row r="5334">
          <cell r="I5334">
            <v>890208939</v>
          </cell>
          <cell r="J5334" t="str">
            <v>FONDO DE SERVICIOS EDUCATIVOS</v>
          </cell>
          <cell r="K5334">
            <v>41250033</v>
          </cell>
        </row>
        <row r="5335">
          <cell r="I5335">
            <v>890208947</v>
          </cell>
          <cell r="J5335" t="str">
            <v>MUNICIPIO DE CONFINES</v>
          </cell>
          <cell r="K5335">
            <v>19888834</v>
          </cell>
        </row>
        <row r="5336">
          <cell r="I5336">
            <v>890209299</v>
          </cell>
          <cell r="J5336" t="str">
            <v>MUNICIPIO DE PUENTE NACIONAL</v>
          </cell>
          <cell r="K5336">
            <v>168336924</v>
          </cell>
        </row>
        <row r="5337">
          <cell r="I5337">
            <v>890209640</v>
          </cell>
          <cell r="J5337" t="str">
            <v>MUNICIPIO DE FLORIAN</v>
          </cell>
          <cell r="K5337">
            <v>68296144</v>
          </cell>
        </row>
        <row r="5338">
          <cell r="I5338">
            <v>890209666</v>
          </cell>
          <cell r="J5338" t="str">
            <v>MUNICIPIO  DE  ENCISO</v>
          </cell>
          <cell r="K5338">
            <v>39942595</v>
          </cell>
        </row>
        <row r="5339">
          <cell r="I5339">
            <v>890209889</v>
          </cell>
          <cell r="J5339" t="str">
            <v>MUNICIPIO DE EL CERRITO</v>
          </cell>
          <cell r="K5339">
            <v>62441407</v>
          </cell>
        </row>
        <row r="5340">
          <cell r="I5340">
            <v>890210013</v>
          </cell>
          <cell r="J5340" t="str">
            <v>COLEGIO INTEGRADO PEDRO SANTOS DE PINCHOTE</v>
          </cell>
          <cell r="K5340">
            <v>53751077</v>
          </cell>
        </row>
        <row r="5341">
          <cell r="I5341">
            <v>890210216</v>
          </cell>
          <cell r="J5341" t="str">
            <v>INSTITUTO TECNICO SUPERIOR DAMASO ZAPATA</v>
          </cell>
          <cell r="K5341">
            <v>368878400</v>
          </cell>
        </row>
        <row r="5342">
          <cell r="I5342">
            <v>890210227</v>
          </cell>
          <cell r="J5342" t="str">
            <v>MUNICIPIO DE SAN BENITO</v>
          </cell>
          <cell r="K5342">
            <v>26908294</v>
          </cell>
        </row>
        <row r="5343">
          <cell r="I5343">
            <v>890210438</v>
          </cell>
          <cell r="J5343" t="str">
            <v>MUNICIPIO DE HATO</v>
          </cell>
          <cell r="K5343">
            <v>20881875</v>
          </cell>
        </row>
        <row r="5344">
          <cell r="I5344">
            <v>890210575</v>
          </cell>
          <cell r="J5344" t="str">
            <v>FONDO DE SERVICIOS EDUCATIVOS</v>
          </cell>
          <cell r="K5344">
            <v>28974303</v>
          </cell>
        </row>
        <row r="5345">
          <cell r="I5345">
            <v>890210617</v>
          </cell>
          <cell r="J5345" t="str">
            <v>MUNICIPIO DE LA BELLEZA</v>
          </cell>
          <cell r="K5345">
            <v>64390627</v>
          </cell>
        </row>
        <row r="5346">
          <cell r="I5346">
            <v>890210704</v>
          </cell>
          <cell r="J5346" t="str">
            <v>MUNICIPIO DE LANDAZURI</v>
          </cell>
          <cell r="K5346">
            <v>119062699</v>
          </cell>
        </row>
        <row r="5347">
          <cell r="I5347">
            <v>890210883</v>
          </cell>
          <cell r="J5347" t="str">
            <v>MUNICIPIO DE SUCRE</v>
          </cell>
          <cell r="K5347">
            <v>76322904</v>
          </cell>
        </row>
        <row r="5348">
          <cell r="I5348">
            <v>890210890</v>
          </cell>
          <cell r="J5348" t="str">
            <v>MUNICIPIO DE BOLIVAR</v>
          </cell>
          <cell r="K5348">
            <v>138975732</v>
          </cell>
        </row>
        <row r="5349">
          <cell r="I5349">
            <v>890210932</v>
          </cell>
          <cell r="J5349" t="str">
            <v>MUNICIPIO DE BARICHARA</v>
          </cell>
          <cell r="K5349">
            <v>59959424</v>
          </cell>
        </row>
        <row r="5350">
          <cell r="I5350">
            <v>890210933</v>
          </cell>
          <cell r="J5350" t="str">
            <v>MUNICIPIO DE CARCASI</v>
          </cell>
          <cell r="K5350">
            <v>62056078</v>
          </cell>
        </row>
        <row r="5351">
          <cell r="I5351">
            <v>890210945</v>
          </cell>
          <cell r="J5351" t="str">
            <v>MUNICIPIO DE GUAVATA</v>
          </cell>
          <cell r="K5351">
            <v>33972358</v>
          </cell>
        </row>
        <row r="5352">
          <cell r="I5352">
            <v>890210946</v>
          </cell>
          <cell r="J5352" t="str">
            <v>MUNICIPIO DE JESUS MARIA</v>
          </cell>
          <cell r="K5352">
            <v>37544423</v>
          </cell>
        </row>
        <row r="5353">
          <cell r="I5353">
            <v>890210947</v>
          </cell>
          <cell r="J5353" t="str">
            <v>MUNICIPIO MACARAVITA</v>
          </cell>
          <cell r="K5353">
            <v>29900633</v>
          </cell>
        </row>
        <row r="5354">
          <cell r="I5354">
            <v>890210948</v>
          </cell>
          <cell r="J5354" t="str">
            <v>MUNICIPIO DE OIBA</v>
          </cell>
          <cell r="K5354">
            <v>108410421</v>
          </cell>
        </row>
        <row r="5355">
          <cell r="I5355">
            <v>890210950</v>
          </cell>
          <cell r="J5355" t="str">
            <v>MUNICIPIO DE SAN MIGUEL</v>
          </cell>
          <cell r="K5355">
            <v>32555516</v>
          </cell>
        </row>
        <row r="5356">
          <cell r="I5356">
            <v>890210951</v>
          </cell>
          <cell r="J5356" t="str">
            <v>MUNICIPIO DE VETAS</v>
          </cell>
          <cell r="K5356">
            <v>12960402</v>
          </cell>
        </row>
        <row r="5357">
          <cell r="I5357">
            <v>890212292</v>
          </cell>
          <cell r="J5357" t="str">
            <v>Colegio Técnico Industrial José Elias Puyana</v>
          </cell>
          <cell r="K5357">
            <v>296861829</v>
          </cell>
        </row>
        <row r="5358">
          <cell r="I5358">
            <v>890212309</v>
          </cell>
          <cell r="J5358" t="str">
            <v>COLEGIO SANTANDER</v>
          </cell>
          <cell r="K5358">
            <v>154044155</v>
          </cell>
        </row>
        <row r="5359">
          <cell r="I5359">
            <v>890212320</v>
          </cell>
          <cell r="J5359" t="str">
            <v>ESCUELA NORMAL SUPERIOR OIBA</v>
          </cell>
          <cell r="K5359">
            <v>68051721</v>
          </cell>
        </row>
        <row r="5360">
          <cell r="I5360">
            <v>890212983</v>
          </cell>
          <cell r="J5360" t="str">
            <v>COLEGIO INTEGRADO RAFAEL URIBE URIBE</v>
          </cell>
          <cell r="K5360">
            <v>27277882</v>
          </cell>
        </row>
        <row r="5361">
          <cell r="I5361">
            <v>890270004</v>
          </cell>
          <cell r="J5361" t="str">
            <v>Fondo de Servicios Docentes Técnico Industrial</v>
          </cell>
          <cell r="K5361">
            <v>370732482</v>
          </cell>
        </row>
        <row r="5362">
          <cell r="I5362">
            <v>890270382</v>
          </cell>
          <cell r="J5362" t="str">
            <v>Institución Educativa CASD Jose Prudencio Padilla</v>
          </cell>
          <cell r="K5362">
            <v>180877606</v>
          </cell>
        </row>
        <row r="5363">
          <cell r="I5363">
            <v>890270859</v>
          </cell>
          <cell r="J5363" t="str">
            <v>MUNICIPIO DE EL CARMEN DE CHUCURI</v>
          </cell>
          <cell r="K5363">
            <v>179814439</v>
          </cell>
        </row>
        <row r="5364">
          <cell r="I5364">
            <v>890300586</v>
          </cell>
          <cell r="J5364" t="str">
            <v>INSTITUCION EDUCATIVA INMACULADA CONCEPCION</v>
          </cell>
          <cell r="K5364">
            <v>76555452</v>
          </cell>
        </row>
        <row r="5365">
          <cell r="I5365">
            <v>890306586</v>
          </cell>
          <cell r="J5365" t="str">
            <v>INSTITUCION EDUCATIVA CENTRAL DE BACHILLERATO INTEGRADO</v>
          </cell>
          <cell r="K5365">
            <v>146985685</v>
          </cell>
        </row>
        <row r="5366">
          <cell r="I5366">
            <v>890307051</v>
          </cell>
          <cell r="J5366" t="str">
            <v>INSTITUCION EDUCATIVA LA ANUNCIACION</v>
          </cell>
          <cell r="K5366">
            <v>85190403</v>
          </cell>
        </row>
        <row r="5367">
          <cell r="I5367">
            <v>890308838</v>
          </cell>
          <cell r="J5367" t="str">
            <v>I.E. Santa Fe</v>
          </cell>
          <cell r="K5367">
            <v>134883210</v>
          </cell>
        </row>
        <row r="5368">
          <cell r="I5368">
            <v>890311128</v>
          </cell>
          <cell r="J5368" t="str">
            <v>INSTITUCION EDUCATIVA ALFONSO ZAWADZKY</v>
          </cell>
          <cell r="K5368">
            <v>128660717</v>
          </cell>
        </row>
        <row r="5369">
          <cell r="I5369">
            <v>890312254</v>
          </cell>
          <cell r="J5369" t="str">
            <v>INSTITUCION EDUCATIVA TECNICO INDUSTRIAL PEDRO ANTONIO MOLINA</v>
          </cell>
          <cell r="K5369">
            <v>423108337</v>
          </cell>
        </row>
        <row r="5370">
          <cell r="I5370">
            <v>890324151</v>
          </cell>
          <cell r="J5370" t="str">
            <v>I.E JORGE ELIECER GAITAN</v>
          </cell>
          <cell r="K5370">
            <v>90634836</v>
          </cell>
        </row>
        <row r="5371">
          <cell r="I5371">
            <v>890324358</v>
          </cell>
          <cell r="J5371" t="str">
            <v>INSTITUCION EDUCATIVA LA LIBERTAD-TRANSFERENCIAS</v>
          </cell>
          <cell r="K5371">
            <v>33820969</v>
          </cell>
        </row>
        <row r="5372">
          <cell r="I5372">
            <v>890326969</v>
          </cell>
          <cell r="J5372" t="str">
            <v>INSTITUTO COLOMBIANO DE BALLET CLASICO INCOLBALLET</v>
          </cell>
          <cell r="K5372">
            <v>42543769</v>
          </cell>
        </row>
        <row r="5373">
          <cell r="I5373">
            <v>890399011</v>
          </cell>
          <cell r="J5373" t="str">
            <v>MUNICIPIO  DE SANTIAGO  DE  CALI</v>
          </cell>
          <cell r="K5373">
            <v>293211842726</v>
          </cell>
        </row>
        <row r="5374">
          <cell r="I5374">
            <v>890399025</v>
          </cell>
          <cell r="J5374" t="str">
            <v>MUNICIPIO DE YUMBO</v>
          </cell>
          <cell r="K5374">
            <v>25034009052</v>
          </cell>
        </row>
        <row r="5375">
          <cell r="I5375">
            <v>890399029</v>
          </cell>
          <cell r="J5375" t="str">
            <v>DEPARTAMENTO DEL VALLE DEL CAUCA</v>
          </cell>
          <cell r="K5375">
            <v>258715091871</v>
          </cell>
        </row>
        <row r="5376">
          <cell r="I5376">
            <v>890399037</v>
          </cell>
          <cell r="J5376" t="str">
            <v>INSTITUCION EDUCATIVA LICEO DEL PACIFICO</v>
          </cell>
          <cell r="K5376">
            <v>141025544</v>
          </cell>
        </row>
        <row r="5377">
          <cell r="I5377">
            <v>890399045</v>
          </cell>
          <cell r="J5377" t="str">
            <v>MUNICIPIO DE BUENAVENTURA</v>
          </cell>
          <cell r="K5377">
            <v>95918541575</v>
          </cell>
        </row>
        <row r="5378">
          <cell r="I5378">
            <v>890399046</v>
          </cell>
          <cell r="J5378" t="str">
            <v>MUNICIPIO DE JAMUNDI</v>
          </cell>
          <cell r="K5378">
            <v>22438665465</v>
          </cell>
        </row>
        <row r="5379">
          <cell r="I5379">
            <v>890399362</v>
          </cell>
          <cell r="J5379" t="str">
            <v>INSTITUCION EDUCATIVA NORMAL SUPERIOR JUAN LADRILLEROS</v>
          </cell>
          <cell r="K5379">
            <v>176796487</v>
          </cell>
        </row>
        <row r="5380">
          <cell r="I5380">
            <v>890480006</v>
          </cell>
          <cell r="J5380" t="str">
            <v>MUNICIPIO DE SIMITI</v>
          </cell>
          <cell r="K5380">
            <v>297289930</v>
          </cell>
        </row>
        <row r="5381">
          <cell r="I5381">
            <v>890480022</v>
          </cell>
          <cell r="J5381" t="str">
            <v>MUNICIPIO EL CARMEN DE BOLIVAR DPTO BOLIVAR</v>
          </cell>
          <cell r="K5381">
            <v>1384070163</v>
          </cell>
        </row>
        <row r="5382">
          <cell r="I5382">
            <v>890480059</v>
          </cell>
          <cell r="J5382" t="str">
            <v>DEPARTAMENTO DE BOLIVAR</v>
          </cell>
          <cell r="K5382">
            <v>325880221269</v>
          </cell>
        </row>
        <row r="5383">
          <cell r="I5383">
            <v>890480069</v>
          </cell>
          <cell r="J5383" t="str">
            <v>MUNICIPIO DE SANTA CATALINA DEPARTAMENTO DE BOLIVAR</v>
          </cell>
          <cell r="K5383">
            <v>168147686</v>
          </cell>
        </row>
        <row r="5384">
          <cell r="I5384">
            <v>890480112</v>
          </cell>
          <cell r="J5384" t="str">
            <v>INSTITUCION EDUCATIVA ESCUELA NORMAL SUPERIOR</v>
          </cell>
          <cell r="K5384">
            <v>133930624</v>
          </cell>
        </row>
        <row r="5385">
          <cell r="I5385">
            <v>890480184</v>
          </cell>
          <cell r="J5385" t="str">
            <v>DISTRITO TURISTICO Y CULTURAL DE CARTAGENA DE INDIAS</v>
          </cell>
          <cell r="K5385">
            <v>216483239722</v>
          </cell>
        </row>
        <row r="5386">
          <cell r="I5386">
            <v>890480203</v>
          </cell>
          <cell r="J5386" t="str">
            <v xml:space="preserve">  MUNICIPIO DE SAN PABLO </v>
          </cell>
          <cell r="K5386">
            <v>424893581</v>
          </cell>
        </row>
        <row r="5387">
          <cell r="I5387">
            <v>890480254</v>
          </cell>
          <cell r="J5387" t="str">
            <v>MUNICIPIO DE ARJONA</v>
          </cell>
          <cell r="K5387">
            <v>851008032</v>
          </cell>
        </row>
        <row r="5388">
          <cell r="I5388">
            <v>890480393</v>
          </cell>
          <cell r="J5388" t="str">
            <v>INSTITUCION EDUCATIVA PIO XII</v>
          </cell>
          <cell r="K5388">
            <v>157760644</v>
          </cell>
        </row>
        <row r="5389">
          <cell r="I5389">
            <v>890480431</v>
          </cell>
          <cell r="J5389" t="str">
            <v>MUNICIPIO DE MORALES  BOLIVAR</v>
          </cell>
          <cell r="K5389">
            <v>308031605</v>
          </cell>
        </row>
        <row r="5390">
          <cell r="I5390">
            <v>890480630</v>
          </cell>
          <cell r="J5390" t="str">
            <v>FDO.SERV.EDUC. INSTITUCION EDUCATIVA SAN FELIPE NERI</v>
          </cell>
          <cell r="K5390">
            <v>108361723</v>
          </cell>
        </row>
        <row r="5391">
          <cell r="I5391">
            <v>890480643</v>
          </cell>
          <cell r="J5391" t="str">
            <v>MUNICIPIO DE MOMPOS</v>
          </cell>
          <cell r="K5391">
            <v>588425593</v>
          </cell>
        </row>
        <row r="5392">
          <cell r="I5392">
            <v>890480907</v>
          </cell>
          <cell r="J5392" t="str">
            <v>IETAJULIO CESAR TURBAY</v>
          </cell>
          <cell r="K5392">
            <v>30657627</v>
          </cell>
        </row>
        <row r="5393">
          <cell r="I5393">
            <v>890481177</v>
          </cell>
          <cell r="J5393" t="str">
            <v>MUNICIPIO DE ZAMBRANO BOLIVAR</v>
          </cell>
          <cell r="K5393">
            <v>150652775</v>
          </cell>
        </row>
        <row r="5394">
          <cell r="I5394">
            <v>890481192</v>
          </cell>
          <cell r="J5394" t="str">
            <v>MUNICIPIO DE VILLANUEVA DEPARTAMENTO DE BOLIVAR</v>
          </cell>
          <cell r="K5394">
            <v>395069927</v>
          </cell>
        </row>
        <row r="5395">
          <cell r="I5395">
            <v>890481209</v>
          </cell>
          <cell r="J5395" t="str">
            <v>FDO. DE SERVS. EDUC. INSTITUCION EDUCATIVA CASD</v>
          </cell>
          <cell r="K5395">
            <v>16431080</v>
          </cell>
        </row>
        <row r="5396">
          <cell r="I5396">
            <v>890481295</v>
          </cell>
          <cell r="J5396" t="str">
            <v>MUNICIPIO DEL GUAMO</v>
          </cell>
          <cell r="K5396">
            <v>95633657</v>
          </cell>
        </row>
        <row r="5397">
          <cell r="I5397">
            <v>890481310</v>
          </cell>
          <cell r="J5397" t="str">
            <v>MUNICIPIO DE SAN ESTANISLAO</v>
          </cell>
          <cell r="K5397">
            <v>231178717</v>
          </cell>
        </row>
        <row r="5398">
          <cell r="I5398">
            <v>890481343</v>
          </cell>
          <cell r="J5398" t="str">
            <v>MUNICIPIO DE SANTA ROSA DEPARTAMENTO DE BOLIVAR</v>
          </cell>
          <cell r="K5398">
            <v>370838790</v>
          </cell>
        </row>
        <row r="5399">
          <cell r="I5399">
            <v>890481362</v>
          </cell>
          <cell r="J5399" t="str">
            <v>MUNICIPIO DE CALAMAR DPTO DE BOLIVAR</v>
          </cell>
          <cell r="K5399">
            <v>405766669</v>
          </cell>
        </row>
        <row r="5400">
          <cell r="I5400">
            <v>890481447</v>
          </cell>
          <cell r="J5400" t="str">
            <v>MUNICIPIO DE RIOVIEJO DPTO DE BOLIVAR</v>
          </cell>
          <cell r="K5400">
            <v>224221606</v>
          </cell>
        </row>
        <row r="5401">
          <cell r="I5401">
            <v>890481476</v>
          </cell>
          <cell r="J5401" t="str">
            <v>INSTITUCION EDUCATIVA OMAIRA SANCHEZ GARZON</v>
          </cell>
          <cell r="K5401">
            <v>52903970</v>
          </cell>
        </row>
        <row r="5402">
          <cell r="I5402">
            <v>890481482</v>
          </cell>
          <cell r="J5402" t="str">
            <v>INSTITUCION EDUCATIVA NRA. SRA DEL PERPETUO SOCORRO</v>
          </cell>
          <cell r="K5402">
            <v>97181340</v>
          </cell>
        </row>
        <row r="5403">
          <cell r="I5403">
            <v>890500881</v>
          </cell>
          <cell r="J5403" t="str">
            <v>COLEGIO PROVINCIAL SAN JOSE DE PAMPLONA</v>
          </cell>
          <cell r="K5403">
            <v>124154303</v>
          </cell>
        </row>
        <row r="5404">
          <cell r="I5404">
            <v>890500901</v>
          </cell>
          <cell r="J5404" t="str">
            <v>SANTIAGO APOSTOL</v>
          </cell>
          <cell r="K5404">
            <v>30722612</v>
          </cell>
        </row>
        <row r="5405">
          <cell r="I5405">
            <v>890501102</v>
          </cell>
          <cell r="J5405" t="str">
            <v>MUNICIPIO DE OCAÑA</v>
          </cell>
          <cell r="K5405">
            <v>847895475</v>
          </cell>
        </row>
        <row r="5406">
          <cell r="I5406">
            <v>890501113</v>
          </cell>
          <cell r="J5406" t="str">
            <v>FONDO DE SERVICIO EDUCATIVO INST TEC NAL DE COMERCIO</v>
          </cell>
          <cell r="K5406">
            <v>195110189</v>
          </cell>
        </row>
        <row r="5407">
          <cell r="I5407">
            <v>890501143</v>
          </cell>
          <cell r="J5407" t="str">
            <v>FONDO DE SERVICIO EDUCATIVO INST NAL DE ENSEANZA MEDIA DIVERSIFICADA INEM JOSE EUS</v>
          </cell>
          <cell r="K5407">
            <v>117211952</v>
          </cell>
        </row>
        <row r="5408">
          <cell r="I5408">
            <v>890501324</v>
          </cell>
          <cell r="J5408" t="str">
            <v>FONDO DE SERVICIO EDUCATIVO INST TEC MERCEDES ABREGO</v>
          </cell>
          <cell r="K5408">
            <v>256491823</v>
          </cell>
        </row>
        <row r="5409">
          <cell r="I5409">
            <v>890501362</v>
          </cell>
          <cell r="J5409" t="str">
            <v>MUNICIPIO DE TOLEDO</v>
          </cell>
          <cell r="K5409">
            <v>184512328</v>
          </cell>
        </row>
        <row r="5410">
          <cell r="I5410">
            <v>890501381</v>
          </cell>
          <cell r="J5410" t="str">
            <v>INSTITUTO TECNICO AGROPECUARIO DE CHINACOTA</v>
          </cell>
          <cell r="K5410">
            <v>48859598</v>
          </cell>
        </row>
        <row r="5411">
          <cell r="I5411">
            <v>890501394</v>
          </cell>
          <cell r="J5411" t="str">
            <v>INSTITUCION EDUCATIVA COLEGIO MUNICIPAL DE BLACHILLERATO</v>
          </cell>
          <cell r="K5411">
            <v>193004835</v>
          </cell>
        </row>
        <row r="5412">
          <cell r="I5412">
            <v>890501404</v>
          </cell>
          <cell r="J5412" t="str">
            <v>MUNICIPIO DE GRAMALOTE</v>
          </cell>
          <cell r="K5412">
            <v>69206599</v>
          </cell>
        </row>
        <row r="5413">
          <cell r="I5413">
            <v>890501409</v>
          </cell>
          <cell r="J5413" t="str">
            <v>col. Dptal integrado marco fidel suarez</v>
          </cell>
          <cell r="K5413">
            <v>108101614</v>
          </cell>
        </row>
        <row r="5414">
          <cell r="I5414">
            <v>890501419</v>
          </cell>
          <cell r="J5414" t="str">
            <v>fondo de servicios educativos institucion educativa alonso carvajal peralta</v>
          </cell>
          <cell r="K5414">
            <v>80142160</v>
          </cell>
        </row>
        <row r="5415">
          <cell r="I5415">
            <v>890501422</v>
          </cell>
          <cell r="J5415" t="str">
            <v>MUNICIPIO DE CHITAGA</v>
          </cell>
          <cell r="K5415">
            <v>120478722</v>
          </cell>
        </row>
        <row r="5416">
          <cell r="I5416">
            <v>890501434</v>
          </cell>
          <cell r="J5416" t="str">
            <v>MUNICIPIO DE SAN JOSE DE CUCUTA</v>
          </cell>
          <cell r="K5416">
            <v>164092766686</v>
          </cell>
        </row>
        <row r="5417">
          <cell r="I5417">
            <v>890501436</v>
          </cell>
          <cell r="J5417" t="str">
            <v>MUNICIPIO DE ARBOLEDAS</v>
          </cell>
          <cell r="K5417">
            <v>98310408</v>
          </cell>
        </row>
        <row r="5418">
          <cell r="I5418">
            <v>890501440</v>
          </cell>
          <cell r="J5418" t="str">
            <v>INSTITUCION EDUCATIVA MONSEÑOR RICARDO TRUJILLO GUTIERREZ</v>
          </cell>
          <cell r="K5418">
            <v>48325268</v>
          </cell>
        </row>
        <row r="5419">
          <cell r="I5419">
            <v>890501444</v>
          </cell>
          <cell r="J5419" t="str">
            <v>INSTITUCION EDUCATIVA COLEGIO SAN LUIS GONZAGA</v>
          </cell>
          <cell r="K5419">
            <v>66664523</v>
          </cell>
        </row>
        <row r="5420">
          <cell r="I5420">
            <v>890501450</v>
          </cell>
          <cell r="J5420" t="str">
            <v>instituto tecnico agricola</v>
          </cell>
          <cell r="K5420">
            <v>39512212</v>
          </cell>
        </row>
        <row r="5421">
          <cell r="I5421">
            <v>890501464</v>
          </cell>
          <cell r="J5421" t="str">
            <v>INST. EDUCATIVA LUIS ERNESTO PUYANA</v>
          </cell>
          <cell r="K5421">
            <v>28636110</v>
          </cell>
        </row>
        <row r="5422">
          <cell r="I5422">
            <v>890501473</v>
          </cell>
          <cell r="J5422" t="str">
            <v>INSTITUCION EDUCATIVA COLEGIO TECNICO AGUEDA GALLARDO DE VILLAMIZAR</v>
          </cell>
          <cell r="K5422">
            <v>59819307</v>
          </cell>
        </row>
        <row r="5423">
          <cell r="I5423">
            <v>890501491</v>
          </cell>
          <cell r="J5423" t="str">
            <v>INSTITUCION EDUCATIVA SAN JUAN BOSCO</v>
          </cell>
          <cell r="K5423">
            <v>58688484</v>
          </cell>
        </row>
        <row r="5424">
          <cell r="I5424">
            <v>890501526</v>
          </cell>
          <cell r="J5424" t="str">
            <v>COL NUESTRA SEÑORA DE LA MERCED</v>
          </cell>
          <cell r="K5424">
            <v>31682413</v>
          </cell>
        </row>
        <row r="5425">
          <cell r="I5425">
            <v>890501542</v>
          </cell>
          <cell r="J5425" t="str">
            <v>INSTITUCION EDUCATIVA COLEGIO SANTA BARBARA  MUNICIPIO DE ABREGO</v>
          </cell>
          <cell r="K5425">
            <v>141268497</v>
          </cell>
        </row>
        <row r="5426">
          <cell r="I5426">
            <v>890501549</v>
          </cell>
          <cell r="J5426" t="str">
            <v>MUNICIPIO DE SALAZAR DE LAS PALMAS</v>
          </cell>
          <cell r="K5426">
            <v>112449295</v>
          </cell>
        </row>
        <row r="5427">
          <cell r="I5427">
            <v>890501571</v>
          </cell>
          <cell r="J5427" t="str">
            <v>COL LA PRESENTACION</v>
          </cell>
          <cell r="K5427">
            <v>93343255</v>
          </cell>
        </row>
        <row r="5428">
          <cell r="I5428">
            <v>890501582</v>
          </cell>
          <cell r="J5428" t="str">
            <v>inst. educ. col. Nuestra señora de la merced</v>
          </cell>
          <cell r="K5428">
            <v>38676999</v>
          </cell>
        </row>
        <row r="5429">
          <cell r="I5429">
            <v>890501662</v>
          </cell>
          <cell r="J5429" t="str">
            <v>COLEGIO FRANCISCO JOSE DE CALDAS DE TIBU</v>
          </cell>
          <cell r="K5429">
            <v>289844619</v>
          </cell>
        </row>
        <row r="5430">
          <cell r="I5430">
            <v>890501716</v>
          </cell>
          <cell r="J5430" t="str">
            <v>COLEGIO INTEGRADO ANDRES BELLO</v>
          </cell>
          <cell r="K5430">
            <v>49506530</v>
          </cell>
        </row>
        <row r="5431">
          <cell r="I5431">
            <v>890501738</v>
          </cell>
          <cell r="J5431" t="str">
            <v>COL LA PRESENTACION</v>
          </cell>
          <cell r="K5431">
            <v>112783015</v>
          </cell>
        </row>
        <row r="5432">
          <cell r="I5432">
            <v>890501761</v>
          </cell>
          <cell r="J5432" t="str">
            <v>INST TECNICO CARLOS HERNANDEZ YARURO</v>
          </cell>
          <cell r="K5432">
            <v>33574507</v>
          </cell>
        </row>
        <row r="5433">
          <cell r="I5433">
            <v>890501776</v>
          </cell>
          <cell r="J5433" t="str">
            <v>MUNICIPIO DE CACHIRA</v>
          </cell>
          <cell r="K5433">
            <v>115180198</v>
          </cell>
        </row>
        <row r="5434">
          <cell r="I5434">
            <v>890501798</v>
          </cell>
          <cell r="J5434" t="str">
            <v>ESCUELA NORMAL SUPERIOR</v>
          </cell>
          <cell r="K5434">
            <v>78189920</v>
          </cell>
        </row>
        <row r="5435">
          <cell r="I5435">
            <v>890501819</v>
          </cell>
          <cell r="J5435" t="str">
            <v>COL EDMUNDO VELASQUEZ</v>
          </cell>
          <cell r="K5435">
            <v>38066294</v>
          </cell>
        </row>
        <row r="5436">
          <cell r="I5436">
            <v>890501859</v>
          </cell>
          <cell r="J5436" t="str">
            <v>INST TECNICO INDUSTRIAL LUCIO PABON NUEZ</v>
          </cell>
          <cell r="K5436">
            <v>123097139</v>
          </cell>
        </row>
        <row r="5437">
          <cell r="I5437">
            <v>890501876</v>
          </cell>
          <cell r="J5437" t="str">
            <v>MUNICIPIO DE SAN CAYETANO</v>
          </cell>
          <cell r="K5437">
            <v>58670780</v>
          </cell>
        </row>
        <row r="5438">
          <cell r="I5438">
            <v>890501952</v>
          </cell>
          <cell r="J5438" t="str">
            <v>COL GENERAL SANTANDER</v>
          </cell>
          <cell r="K5438">
            <v>207612538</v>
          </cell>
        </row>
        <row r="5439">
          <cell r="I5439">
            <v>890501953</v>
          </cell>
          <cell r="J5439" t="str">
            <v>INST TECNICO MARIA INMACULADA</v>
          </cell>
          <cell r="K5439">
            <v>147230303</v>
          </cell>
        </row>
        <row r="5440">
          <cell r="I5440">
            <v>890501968</v>
          </cell>
          <cell r="J5440" t="str">
            <v>colegio fray jose maria arevalo</v>
          </cell>
          <cell r="K5440">
            <v>46329865</v>
          </cell>
        </row>
        <row r="5441">
          <cell r="I5441">
            <v>890501975</v>
          </cell>
          <cell r="J5441" t="str">
            <v>INSTITUCION EDUCATIVA COLEGIO GUILLERMO CALDERON</v>
          </cell>
          <cell r="K5441">
            <v>64874695</v>
          </cell>
        </row>
        <row r="5442">
          <cell r="I5442">
            <v>890501978</v>
          </cell>
          <cell r="J5442" t="str">
            <v>COL NUESTRA SEÑORA DEL PILAR</v>
          </cell>
          <cell r="K5442">
            <v>37665089</v>
          </cell>
        </row>
        <row r="5443">
          <cell r="I5443">
            <v>890501980</v>
          </cell>
          <cell r="J5443" t="str">
            <v>COL NUESTRA SEÑORA DEL ROSARIO</v>
          </cell>
          <cell r="K5443">
            <v>26831102</v>
          </cell>
        </row>
        <row r="5444">
          <cell r="I5444">
            <v>890501981</v>
          </cell>
          <cell r="J5444" t="str">
            <v>MUNICIPIO DE VILLA CARO</v>
          </cell>
          <cell r="K5444">
            <v>54697027</v>
          </cell>
        </row>
        <row r="5445">
          <cell r="I5445">
            <v>890502260</v>
          </cell>
          <cell r="J5445" t="str">
            <v>INSTITUCION EDUCATIVA COLEGIO SANTO ANGEL GUAMALITO</v>
          </cell>
          <cell r="K5445">
            <v>69785148</v>
          </cell>
        </row>
        <row r="5446">
          <cell r="I5446">
            <v>890502261</v>
          </cell>
          <cell r="J5446" t="str">
            <v>I.E. ENRIQUE PARDO FARELO</v>
          </cell>
          <cell r="K5446">
            <v>43021983</v>
          </cell>
        </row>
        <row r="5447">
          <cell r="I5447">
            <v>890502462</v>
          </cell>
          <cell r="J5447" t="str">
            <v>I. E. COLEGIO JOSE MARIA CORDOBA</v>
          </cell>
          <cell r="K5447">
            <v>44278669</v>
          </cell>
        </row>
        <row r="5448">
          <cell r="I5448">
            <v>890502560</v>
          </cell>
          <cell r="J5448" t="str">
            <v>FONDOS DOCENTES COLEGIO INTEGRADO PERPETUO SOCORRO</v>
          </cell>
          <cell r="K5448">
            <v>32881269</v>
          </cell>
        </row>
        <row r="5449">
          <cell r="I5449">
            <v>890502611</v>
          </cell>
          <cell r="J5449" t="str">
            <v>MUNICIPIO DE LOURDES</v>
          </cell>
          <cell r="K5449">
            <v>32380026</v>
          </cell>
        </row>
        <row r="5450">
          <cell r="I5450">
            <v>890502670</v>
          </cell>
          <cell r="J5450" t="str">
            <v>COLEGIO DEPARTMENTAL INTEGRADO  MARCOS GARCIA CARRILLO</v>
          </cell>
          <cell r="K5450">
            <v>42061727</v>
          </cell>
        </row>
        <row r="5451">
          <cell r="I5451">
            <v>890502775</v>
          </cell>
          <cell r="J5451" t="str">
            <v>FONDO DE SERVICIO EDUCATIVO COL GONZALO RIVERA LAGUADO</v>
          </cell>
          <cell r="K5451">
            <v>77154118</v>
          </cell>
        </row>
        <row r="5452">
          <cell r="I5452">
            <v>890503106</v>
          </cell>
          <cell r="J5452" t="str">
            <v>MUNICIPIO DE CHINACOTA</v>
          </cell>
          <cell r="K5452">
            <v>126551103</v>
          </cell>
        </row>
        <row r="5453">
          <cell r="I5453">
            <v>890503203</v>
          </cell>
          <cell r="J5453" t="str">
            <v>INST. EDUCATIVA ARGELINO DURAN QUINTERO</v>
          </cell>
          <cell r="K5453">
            <v>18944156</v>
          </cell>
        </row>
        <row r="5454">
          <cell r="I5454">
            <v>890503221</v>
          </cell>
          <cell r="J5454" t="str">
            <v>FONDO DE SERVICIO EDUCATIVO COL INTEGD JUAN ATALAYA</v>
          </cell>
          <cell r="K5454">
            <v>263149808</v>
          </cell>
        </row>
        <row r="5455">
          <cell r="I5455">
            <v>890503226</v>
          </cell>
          <cell r="J5455" t="str">
            <v>COLEGIO ONCE DE NOVIEMBRE</v>
          </cell>
          <cell r="K5455">
            <v>99634245</v>
          </cell>
        </row>
        <row r="5456">
          <cell r="I5456">
            <v>890503233</v>
          </cell>
          <cell r="J5456" t="str">
            <v>MUNICIPIO DE MUTISCUA</v>
          </cell>
          <cell r="K5456">
            <v>35634298</v>
          </cell>
        </row>
        <row r="5457">
          <cell r="I5457">
            <v>890503261</v>
          </cell>
          <cell r="J5457" t="str">
            <v>INSTITUCION EDUCATIVA COLEGIO AGUSTINA FERRO</v>
          </cell>
          <cell r="K5457">
            <v>118057090</v>
          </cell>
        </row>
        <row r="5458">
          <cell r="I5458">
            <v>890503358</v>
          </cell>
          <cell r="J5458" t="str">
            <v>COL DPTALCAYETANO FRANCO PINZON</v>
          </cell>
          <cell r="K5458">
            <v>46482468</v>
          </cell>
        </row>
        <row r="5459">
          <cell r="I5459">
            <v>890503373</v>
          </cell>
          <cell r="J5459" t="str">
            <v>MUNICIPIO VILLA ROSARIO</v>
          </cell>
          <cell r="K5459">
            <v>549112662</v>
          </cell>
        </row>
        <row r="5460">
          <cell r="I5460">
            <v>890503430</v>
          </cell>
          <cell r="J5460" t="str">
            <v>FONDO DE SERVICIO EDUCATIVO INST TEC JORGE GAITAN DURAN</v>
          </cell>
          <cell r="K5460">
            <v>126496903</v>
          </cell>
        </row>
        <row r="5461">
          <cell r="I5461">
            <v>890503444</v>
          </cell>
          <cell r="J5461" t="str">
            <v>COLEGIO DEPTAL ALFONSO LOPEZ</v>
          </cell>
          <cell r="K5461">
            <v>137039779</v>
          </cell>
        </row>
        <row r="5462">
          <cell r="I5462">
            <v>890503483</v>
          </cell>
          <cell r="J5462" t="str">
            <v>MUNICIPIO DE BUCARASICA</v>
          </cell>
          <cell r="K5462">
            <v>80039596</v>
          </cell>
        </row>
        <row r="5463">
          <cell r="I5463">
            <v>890503524</v>
          </cell>
          <cell r="J5463" t="str">
            <v>COL TEODORO GUTIERREZ CALDERON</v>
          </cell>
          <cell r="K5463">
            <v>39093594</v>
          </cell>
        </row>
        <row r="5464">
          <cell r="I5464">
            <v>890503579</v>
          </cell>
          <cell r="J5464" t="str">
            <v>INST EDUCATIVA SAN MIGUEL</v>
          </cell>
          <cell r="K5464">
            <v>50628186</v>
          </cell>
        </row>
        <row r="5465">
          <cell r="I5465">
            <v>890503680</v>
          </cell>
          <cell r="J5465" t="str">
            <v>MUNICIPIO DE LABATECA</v>
          </cell>
          <cell r="K5465">
            <v>56071456</v>
          </cell>
        </row>
        <row r="5466">
          <cell r="I5466">
            <v>890504234</v>
          </cell>
          <cell r="J5466" t="str">
            <v>COL PUERTO SANTANDER</v>
          </cell>
          <cell r="K5466">
            <v>123377280</v>
          </cell>
        </row>
        <row r="5467">
          <cell r="I5467">
            <v>890504393</v>
          </cell>
          <cell r="J5467" t="str">
            <v>I.E.  CONCENTRACION  DE  DESARROLLO  RURAL</v>
          </cell>
          <cell r="K5467">
            <v>98423726</v>
          </cell>
        </row>
        <row r="5468">
          <cell r="I5468">
            <v>890504612</v>
          </cell>
          <cell r="J5468" t="str">
            <v>MUNICIPIO DE ABREGO</v>
          </cell>
          <cell r="K5468">
            <v>372395772</v>
          </cell>
        </row>
        <row r="5469">
          <cell r="I5469">
            <v>890504777</v>
          </cell>
          <cell r="J5469" t="str">
            <v>FONDO DE SERVICIO EDUCATIVO COL PABLO CORREA LEON</v>
          </cell>
          <cell r="K5469">
            <v>236659117</v>
          </cell>
        </row>
        <row r="5470">
          <cell r="I5470">
            <v>890504779</v>
          </cell>
          <cell r="J5470" t="str">
            <v>INSTITUCION EDUCATIVA ORTUN VELASCO</v>
          </cell>
          <cell r="K5470">
            <v>17274233</v>
          </cell>
        </row>
        <row r="5471">
          <cell r="I5471">
            <v>890504999</v>
          </cell>
          <cell r="J5471" t="str">
            <v>FONDO DE SERVICIO EDUCATIVO INST TEC GUAIMARAL</v>
          </cell>
          <cell r="K5471">
            <v>140336564</v>
          </cell>
        </row>
        <row r="5472">
          <cell r="I5472">
            <v>890505155</v>
          </cell>
          <cell r="J5472" t="str">
            <v>fondo de servicios educativos colegio integrado campo dos</v>
          </cell>
          <cell r="K5472">
            <v>99803649</v>
          </cell>
        </row>
        <row r="5473">
          <cell r="I5473">
            <v>890505161</v>
          </cell>
          <cell r="J5473" t="str">
            <v>FONDO DE SERVICIO EDUCATIVO INST TEC INDUSTRIAL SALESIANO</v>
          </cell>
          <cell r="K5473">
            <v>161008020</v>
          </cell>
        </row>
        <row r="5474">
          <cell r="I5474">
            <v>890505188</v>
          </cell>
          <cell r="J5474" t="str">
            <v>COL GUILLERMO COTE BAUTISTA</v>
          </cell>
          <cell r="K5474">
            <v>79171997</v>
          </cell>
        </row>
        <row r="5475">
          <cell r="I5475">
            <v>890505328</v>
          </cell>
          <cell r="J5475" t="str">
            <v>COL NTRA SRA DE LAS MERCEDES</v>
          </cell>
          <cell r="K5475">
            <v>90694006</v>
          </cell>
        </row>
        <row r="5476">
          <cell r="I5476">
            <v>890505399</v>
          </cell>
          <cell r="J5476" t="str">
            <v>colegio rafael celedon</v>
          </cell>
          <cell r="K5476">
            <v>18029501</v>
          </cell>
        </row>
        <row r="5477">
          <cell r="I5477">
            <v>890505515</v>
          </cell>
          <cell r="J5477" t="str">
            <v>COL RAIMUNDO ORDOEZ YAEZ</v>
          </cell>
          <cell r="K5477">
            <v>33456882</v>
          </cell>
        </row>
        <row r="5478">
          <cell r="I5478">
            <v>890505530</v>
          </cell>
          <cell r="J5478" t="str">
            <v>INST. EDUCATIVA MONSEÑOR SARMIENTO PERALTA</v>
          </cell>
          <cell r="K5478">
            <v>42665853</v>
          </cell>
        </row>
        <row r="5479">
          <cell r="I5479">
            <v>890505662</v>
          </cell>
          <cell r="J5479" t="str">
            <v>MUNICIPIO DE BOCHALEMA</v>
          </cell>
          <cell r="K5479">
            <v>73132381</v>
          </cell>
        </row>
        <row r="5480">
          <cell r="I5480">
            <v>890506116</v>
          </cell>
          <cell r="J5480" t="str">
            <v>MUNICIPIO DE PAMPLONITA</v>
          </cell>
          <cell r="K5480">
            <v>53137385</v>
          </cell>
        </row>
        <row r="5481">
          <cell r="I5481">
            <v>890506128</v>
          </cell>
          <cell r="J5481" t="str">
            <v>MUNICIPIO DE SILOS</v>
          </cell>
          <cell r="K5481">
            <v>62595316</v>
          </cell>
        </row>
        <row r="5482">
          <cell r="I5482">
            <v>890506425</v>
          </cell>
          <cell r="J5482" t="str">
            <v>FONDO DE SERVICIO EDUCATIVO COL FRANCISCO JOSE DE CALDAS</v>
          </cell>
          <cell r="K5482">
            <v>238862479</v>
          </cell>
        </row>
        <row r="5483">
          <cell r="I5483">
            <v>890600464</v>
          </cell>
          <cell r="J5483" t="str">
            <v>IED TECNICO COMERCIAL TIBACUY</v>
          </cell>
          <cell r="K5483">
            <v>34617395</v>
          </cell>
        </row>
        <row r="5484">
          <cell r="I5484">
            <v>890680008</v>
          </cell>
          <cell r="J5484" t="str">
            <v>MUNICIPIO DE FUSAGASUGA</v>
          </cell>
          <cell r="K5484">
            <v>26899461803</v>
          </cell>
        </row>
        <row r="5485">
          <cell r="I5485">
            <v>890680017</v>
          </cell>
          <cell r="J5485" t="str">
            <v>INSTITUCION EDUCATIVA TECNICA ATANASIO GIRARDOT</v>
          </cell>
          <cell r="K5485">
            <v>91866232</v>
          </cell>
        </row>
        <row r="5486">
          <cell r="I5486">
            <v>890680019</v>
          </cell>
          <cell r="J5486" t="str">
            <v>INSTITUCION EDUCATIVA ESCUELA NORMAL SUPERIOR</v>
          </cell>
          <cell r="K5486">
            <v>123164399</v>
          </cell>
        </row>
        <row r="5487">
          <cell r="I5487">
            <v>890680026</v>
          </cell>
          <cell r="J5487" t="str">
            <v>MUNICIPIO DE LA MESA</v>
          </cell>
          <cell r="K5487">
            <v>225872115</v>
          </cell>
        </row>
        <row r="5488">
          <cell r="I5488">
            <v>890680028</v>
          </cell>
          <cell r="J5488" t="str">
            <v>INSTITUCION  EDUCATIVA  DEPARTAMENTAL  FRANCISCO  JULIAN  OLAYA</v>
          </cell>
          <cell r="K5488">
            <v>139977067</v>
          </cell>
        </row>
        <row r="5489">
          <cell r="I5489">
            <v>890680029</v>
          </cell>
          <cell r="J5489" t="str">
            <v>ESCUELA NORMAL SUPERIOR DE SAN BERNARDO</v>
          </cell>
          <cell r="K5489">
            <v>72072684</v>
          </cell>
        </row>
        <row r="5490">
          <cell r="I5490">
            <v>890680030</v>
          </cell>
          <cell r="J5490" t="str">
            <v>IED JOHN F. KENNEDY</v>
          </cell>
          <cell r="K5490">
            <v>66895997</v>
          </cell>
        </row>
        <row r="5491">
          <cell r="I5491">
            <v>890680040</v>
          </cell>
          <cell r="J5491" t="str">
            <v>INSTITUCION EDUCATIVA DEPARTAMENTAL HERNAN VENEGAS CARRILLO</v>
          </cell>
          <cell r="K5491">
            <v>134337223</v>
          </cell>
        </row>
        <row r="5492">
          <cell r="I5492">
            <v>890680045</v>
          </cell>
          <cell r="J5492" t="str">
            <v>IED SANTA INES</v>
          </cell>
          <cell r="K5492">
            <v>141463077</v>
          </cell>
        </row>
        <row r="5493">
          <cell r="I5493">
            <v>890680048</v>
          </cell>
          <cell r="J5493" t="str">
            <v>Institución Educativa Municipal Teodoro Aya Villaveces</v>
          </cell>
          <cell r="K5493">
            <v>128285764</v>
          </cell>
        </row>
        <row r="5494">
          <cell r="I5494">
            <v>890680054</v>
          </cell>
          <cell r="J5494" t="str">
            <v>Institución educativa Municipal Carlos Lozano y Lozano</v>
          </cell>
          <cell r="K5494">
            <v>211966952</v>
          </cell>
        </row>
        <row r="5495">
          <cell r="I5495">
            <v>890680059</v>
          </cell>
          <cell r="J5495" t="str">
            <v>MUNICIPIO DE  RICAURTE</v>
          </cell>
          <cell r="K5495">
            <v>70483679</v>
          </cell>
        </row>
        <row r="5496">
          <cell r="I5496">
            <v>890680065</v>
          </cell>
          <cell r="J5496" t="str">
            <v>FONDO DE SERVICIOS EDUCATIVOS</v>
          </cell>
          <cell r="K5496">
            <v>44006268</v>
          </cell>
        </row>
        <row r="5497">
          <cell r="I5497">
            <v>890680074</v>
          </cell>
          <cell r="J5497" t="str">
            <v>IED JULIO CESAR SANCHEZ</v>
          </cell>
          <cell r="K5497">
            <v>114620940</v>
          </cell>
        </row>
        <row r="5498">
          <cell r="I5498">
            <v>890680084</v>
          </cell>
          <cell r="J5498" t="str">
            <v>INSTITUCION EDUCATIVA DEPARTAMENTAL FRANCISCO JOSE DE CALDAS</v>
          </cell>
          <cell r="K5498">
            <v>100145123</v>
          </cell>
        </row>
        <row r="5499">
          <cell r="I5499">
            <v>890680087</v>
          </cell>
          <cell r="J5499" t="str">
            <v>FONDO DE SERVICIOS DOCENTES</v>
          </cell>
          <cell r="K5499">
            <v>71017415</v>
          </cell>
        </row>
        <row r="5500">
          <cell r="I5500">
            <v>890680088</v>
          </cell>
          <cell r="J5500" t="str">
            <v>MUNICIPIO DE VENECIA CUNDINAMARCA</v>
          </cell>
          <cell r="K5500">
            <v>39589606</v>
          </cell>
        </row>
        <row r="5501">
          <cell r="I5501">
            <v>890680097</v>
          </cell>
          <cell r="J5501" t="str">
            <v>MUNICIPIO DE ANAPOIMA</v>
          </cell>
          <cell r="K5501">
            <v>89417762</v>
          </cell>
        </row>
        <row r="5502">
          <cell r="I5502">
            <v>890680107</v>
          </cell>
          <cell r="J5502" t="str">
            <v>MUNICIPIO DE CABRERA</v>
          </cell>
          <cell r="K5502">
            <v>48457500</v>
          </cell>
        </row>
        <row r="5503">
          <cell r="I5503">
            <v>890680129</v>
          </cell>
          <cell r="J5503" t="str">
            <v>FONDO DE SERVICIOS EDUCATIVOS</v>
          </cell>
          <cell r="K5503">
            <v>72464686</v>
          </cell>
        </row>
        <row r="5504">
          <cell r="I5504">
            <v>890680142</v>
          </cell>
          <cell r="J5504" t="str">
            <v>MUNICIPIO DE VIOTA</v>
          </cell>
          <cell r="K5504">
            <v>138779522</v>
          </cell>
        </row>
        <row r="5505">
          <cell r="I5505">
            <v>890680149</v>
          </cell>
          <cell r="J5505" t="str">
            <v>MUNICIPIO DE AGUA DE DIOS</v>
          </cell>
          <cell r="K5505">
            <v>93825809</v>
          </cell>
        </row>
        <row r="5506">
          <cell r="I5506">
            <v>890680150</v>
          </cell>
          <cell r="J5506" t="str">
            <v>INSTITUCION EDUCATIVA DEPARTAMENTAL EL TEQUENDAMA</v>
          </cell>
          <cell r="K5506">
            <v>157009901</v>
          </cell>
        </row>
        <row r="5507">
          <cell r="I5507">
            <v>890680153</v>
          </cell>
          <cell r="J5507" t="str">
            <v>INSTITUCION EDUCATIVA DEPARTAMENTAL INSITUTO DE PROMOCION SOCIAL</v>
          </cell>
          <cell r="K5507">
            <v>54115637</v>
          </cell>
        </row>
        <row r="5508">
          <cell r="I5508">
            <v>890680154</v>
          </cell>
          <cell r="J5508" t="str">
            <v>MUNICIPIO DE PASCA</v>
          </cell>
          <cell r="K5508">
            <v>123525871</v>
          </cell>
        </row>
        <row r="5509">
          <cell r="I5509">
            <v>890680159</v>
          </cell>
          <cell r="J5509" t="str">
            <v>INSTITUCION EDUCATIVA DEPARTAMENTAL EL TRIUNFO</v>
          </cell>
          <cell r="K5509">
            <v>51247161</v>
          </cell>
        </row>
        <row r="5510">
          <cell r="I5510">
            <v>890680162</v>
          </cell>
          <cell r="J5510" t="str">
            <v>MUNICIPIO  DE   EL  COLEGIO</v>
          </cell>
          <cell r="K5510">
            <v>206629528</v>
          </cell>
        </row>
        <row r="5511">
          <cell r="I5511">
            <v>890680173</v>
          </cell>
          <cell r="J5511" t="str">
            <v>MUNICIPIO DE PANDI</v>
          </cell>
          <cell r="K5511">
            <v>51521246</v>
          </cell>
        </row>
        <row r="5512">
          <cell r="I5512">
            <v>890680182</v>
          </cell>
          <cell r="J5512" t="str">
            <v>INSTITUCION EDUCATIVA DEPARTAMENTAL SAN BERNARDO</v>
          </cell>
          <cell r="K5512">
            <v>52915420</v>
          </cell>
        </row>
        <row r="5513">
          <cell r="I5513">
            <v>890680193</v>
          </cell>
          <cell r="J5513" t="str">
            <v>INSTITUCION EDUCATIVA RURAL DEPARTAMENTAL ADOLFO LEON GOMEZ</v>
          </cell>
          <cell r="K5513">
            <v>56984825</v>
          </cell>
        </row>
        <row r="5514">
          <cell r="I5514">
            <v>890680236</v>
          </cell>
          <cell r="J5514" t="str">
            <v>MUNICIPIO DE APULO</v>
          </cell>
          <cell r="K5514">
            <v>67136125</v>
          </cell>
        </row>
        <row r="5515">
          <cell r="I5515">
            <v>890680240</v>
          </cell>
          <cell r="J5515" t="str">
            <v>FONDO DE SERVICIO EDUCATIVO INSTITUCIÓN FRANCISCO MANZANERA HENRIQUEZ</v>
          </cell>
          <cell r="K5515">
            <v>146060372</v>
          </cell>
        </row>
        <row r="5516">
          <cell r="I5516">
            <v>890680335</v>
          </cell>
          <cell r="J5516" t="str">
            <v>Institución Educativa Instituto Técnico Industrial</v>
          </cell>
          <cell r="K5516">
            <v>190063477</v>
          </cell>
        </row>
        <row r="5517">
          <cell r="I5517">
            <v>890680378</v>
          </cell>
          <cell r="J5517" t="str">
            <v>MUNICIPIO DE GIRARDOT</v>
          </cell>
          <cell r="K5517">
            <v>18379177117</v>
          </cell>
        </row>
        <row r="5518">
          <cell r="I5518">
            <v>890680390</v>
          </cell>
          <cell r="J5518" t="str">
            <v>MUNICIPIO DE NARIÑO</v>
          </cell>
          <cell r="K5518">
            <v>24802309</v>
          </cell>
        </row>
        <row r="5519">
          <cell r="I5519">
            <v>890680417</v>
          </cell>
          <cell r="J5519" t="str">
            <v>COLEGIO DEPTAL CALANDAIMA</v>
          </cell>
          <cell r="K5519">
            <v>21430773</v>
          </cell>
        </row>
        <row r="5520">
          <cell r="I5520">
            <v>890680437</v>
          </cell>
          <cell r="J5520" t="str">
            <v>MUNICIPIO DE SILVANIA</v>
          </cell>
          <cell r="K5520">
            <v>193461100</v>
          </cell>
        </row>
        <row r="5521">
          <cell r="I5521">
            <v>890680467</v>
          </cell>
          <cell r="J5521" t="str">
            <v>COLEGIO INSTITUCION EDUC JORGE E GAITAN</v>
          </cell>
          <cell r="K5521">
            <v>84635085</v>
          </cell>
        </row>
        <row r="5522">
          <cell r="I5522">
            <v>890700684</v>
          </cell>
          <cell r="J5522" t="str">
            <v>INSTITUCION EDUCATIVA SAN SIMON</v>
          </cell>
          <cell r="K5522">
            <v>275991500</v>
          </cell>
        </row>
        <row r="5523">
          <cell r="I5523">
            <v>890700842</v>
          </cell>
          <cell r="J5523" t="str">
            <v>MUNICIPIO SAN LUIS</v>
          </cell>
          <cell r="K5523">
            <v>143639006</v>
          </cell>
        </row>
        <row r="5524">
          <cell r="I5524">
            <v>890700859</v>
          </cell>
          <cell r="J5524" t="str">
            <v>MUNICIPIO DE CAJAMARCA</v>
          </cell>
          <cell r="K5524">
            <v>169288287</v>
          </cell>
        </row>
        <row r="5525">
          <cell r="I5525">
            <v>890700911</v>
          </cell>
          <cell r="J5525" t="str">
            <v>MUNICIPIO DE RONCESVALLES</v>
          </cell>
          <cell r="K5525">
            <v>60231808</v>
          </cell>
        </row>
        <row r="5526">
          <cell r="I5526">
            <v>890700942</v>
          </cell>
          <cell r="J5526" t="str">
            <v>MUNICIPIO DE ORTEGA</v>
          </cell>
          <cell r="K5526">
            <v>449797705</v>
          </cell>
        </row>
        <row r="5527">
          <cell r="I5527">
            <v>890700961</v>
          </cell>
          <cell r="J5527" t="str">
            <v>MUNICIPIO DE ALVARADO</v>
          </cell>
          <cell r="K5527">
            <v>82843523</v>
          </cell>
        </row>
        <row r="5528">
          <cell r="I5528">
            <v>890700978</v>
          </cell>
          <cell r="J5528" t="str">
            <v>MUNICIPIO DE SUAREZ</v>
          </cell>
          <cell r="K5528">
            <v>46529483</v>
          </cell>
        </row>
        <row r="5529">
          <cell r="I5529">
            <v>890700982</v>
          </cell>
          <cell r="J5529" t="str">
            <v>MUNICIPIO DE ARMERO</v>
          </cell>
          <cell r="K5529">
            <v>134133958</v>
          </cell>
        </row>
        <row r="5530">
          <cell r="I5530">
            <v>890701077</v>
          </cell>
          <cell r="J5530" t="str">
            <v>MUNICIPIO DE PURIFICACION</v>
          </cell>
          <cell r="K5530">
            <v>216688290</v>
          </cell>
        </row>
        <row r="5531">
          <cell r="I5531">
            <v>890701232</v>
          </cell>
          <cell r="J5531" t="str">
            <v>INSTITUCION EDUCATIVA TECNICA GENERAL SANTANDER</v>
          </cell>
          <cell r="K5531">
            <v>46825133</v>
          </cell>
        </row>
        <row r="5532">
          <cell r="I5532">
            <v>890701233</v>
          </cell>
          <cell r="J5532" t="str">
            <v>INSTITUCION EDUCATIVA TECNICA ALFONSO PALACIO RUDAS</v>
          </cell>
          <cell r="K5532">
            <v>89297458</v>
          </cell>
        </row>
        <row r="5533">
          <cell r="I5533">
            <v>890701342</v>
          </cell>
          <cell r="J5533" t="str">
            <v>MUNICIPIO DE MARIQUITA</v>
          </cell>
          <cell r="K5533">
            <v>298953634</v>
          </cell>
        </row>
        <row r="5534">
          <cell r="I5534">
            <v>890701489</v>
          </cell>
          <cell r="J5534" t="str">
            <v>FONDOS EDUCATIVOS</v>
          </cell>
          <cell r="K5534">
            <v>107029347</v>
          </cell>
        </row>
        <row r="5535">
          <cell r="I5535">
            <v>890701513</v>
          </cell>
          <cell r="J5535" t="str">
            <v>FONDO DE SERVICIOS EDUCATIVOS INSTITUTO ARMERO</v>
          </cell>
          <cell r="K5535">
            <v>60189523</v>
          </cell>
        </row>
        <row r="5536">
          <cell r="I5536">
            <v>890701714</v>
          </cell>
          <cell r="J5536" t="str">
            <v>INSTITUCION EDUCATIVA TECNICA SAN JOSE</v>
          </cell>
          <cell r="K5536">
            <v>97520574</v>
          </cell>
        </row>
        <row r="5537">
          <cell r="I5537">
            <v>890701776</v>
          </cell>
          <cell r="J5537" t="str">
            <v>FONDOS DE SERVICIOS EDUCATIVOS INSTITUCIóN EDUCATIVA SAN ISIDORO</v>
          </cell>
          <cell r="K5537">
            <v>211591292</v>
          </cell>
        </row>
        <row r="5538">
          <cell r="I5538">
            <v>890701777</v>
          </cell>
          <cell r="J5538" t="str">
            <v>INSTITUCIÓN EDUCATIVA TECNICA MARIA AUXILIADORA</v>
          </cell>
          <cell r="K5538">
            <v>87263630</v>
          </cell>
        </row>
        <row r="5539">
          <cell r="I5539">
            <v>890701795</v>
          </cell>
          <cell r="J5539" t="str">
            <v>INSTITUCION EDUCATIVA LICEO NACIONAL</v>
          </cell>
          <cell r="K5539">
            <v>225215886</v>
          </cell>
        </row>
        <row r="5540">
          <cell r="I5540">
            <v>890701933</v>
          </cell>
          <cell r="J5540" t="str">
            <v>MUNICIPIO DE MELGAR</v>
          </cell>
          <cell r="K5540">
            <v>314345017</v>
          </cell>
        </row>
        <row r="5541">
          <cell r="I5541">
            <v>890701961</v>
          </cell>
          <cell r="J5541" t="str">
            <v>FONDO DE SERVICIOS EDUCATIVOS INSTITUCION EDUCATIVA TECNICA INDUSTRIAL SIMON BOLIVAR GUAMO</v>
          </cell>
          <cell r="K5541">
            <v>132284780</v>
          </cell>
        </row>
        <row r="5542">
          <cell r="I5542">
            <v>890701970</v>
          </cell>
          <cell r="J5542" t="str">
            <v>INSTITUCION EDUCATIVA TECNICA EL GUAYABO</v>
          </cell>
          <cell r="K5542">
            <v>36378979</v>
          </cell>
        </row>
        <row r="5543">
          <cell r="I5543">
            <v>890702015</v>
          </cell>
          <cell r="J5543" t="str">
            <v>MUNICIPIO DEL GUAMO</v>
          </cell>
          <cell r="K5543">
            <v>318425247</v>
          </cell>
        </row>
        <row r="5544">
          <cell r="I5544">
            <v>890702017</v>
          </cell>
          <cell r="J5544" t="str">
            <v>MUNICIPIO DE ALPUJARRA</v>
          </cell>
          <cell r="K5544">
            <v>44611637</v>
          </cell>
        </row>
        <row r="5545">
          <cell r="I5545">
            <v>890702018</v>
          </cell>
          <cell r="J5545" t="str">
            <v>MUNICIPIO DE ANZOATEGUI</v>
          </cell>
          <cell r="K5545">
            <v>188957027</v>
          </cell>
        </row>
        <row r="5546">
          <cell r="I5546">
            <v>890702021</v>
          </cell>
          <cell r="J5546" t="str">
            <v>MUNICIPIO DE CASABIANCA</v>
          </cell>
          <cell r="K5546">
            <v>61402432</v>
          </cell>
        </row>
        <row r="5547">
          <cell r="I5547">
            <v>890702023</v>
          </cell>
          <cell r="J5547" t="str">
            <v>MUNICIPIO DE COYAIMA</v>
          </cell>
          <cell r="K5547">
            <v>436100497</v>
          </cell>
        </row>
        <row r="5548">
          <cell r="I5548">
            <v>890702026</v>
          </cell>
          <cell r="J5548" t="str">
            <v>MUNICIPIO DE DOLORES TOLIMA</v>
          </cell>
          <cell r="K5548">
            <v>84138341</v>
          </cell>
        </row>
        <row r="5549">
          <cell r="I5549">
            <v>890702027</v>
          </cell>
          <cell r="J5549" t="str">
            <v>MUNICIPIO DEL ESPINAL</v>
          </cell>
          <cell r="K5549">
            <v>575280531</v>
          </cell>
        </row>
        <row r="5550">
          <cell r="I5550">
            <v>890702034</v>
          </cell>
          <cell r="J5550" t="str">
            <v>MUNICIPIO DE LERIDA</v>
          </cell>
          <cell r="K5550">
            <v>169949731</v>
          </cell>
        </row>
        <row r="5551">
          <cell r="I5551">
            <v>890702038</v>
          </cell>
          <cell r="J5551" t="str">
            <v>MUNICIPIO DE PRADO</v>
          </cell>
          <cell r="K5551">
            <v>92016729</v>
          </cell>
        </row>
        <row r="5552">
          <cell r="I5552">
            <v>890702040</v>
          </cell>
          <cell r="J5552" t="str">
            <v>MUNICIPIO DE RIOBLANCO</v>
          </cell>
          <cell r="K5552">
            <v>321984369</v>
          </cell>
        </row>
        <row r="5553">
          <cell r="I5553">
            <v>890702057</v>
          </cell>
          <cell r="J5553" t="str">
            <v>FONDO DE SERVIVIOS EDUCATIVOS INSTITUCIóN EDUCATIVA TéCNICA BOLíVAR</v>
          </cell>
          <cell r="K5553">
            <v>18675978</v>
          </cell>
        </row>
        <row r="5554">
          <cell r="I5554">
            <v>890702191</v>
          </cell>
          <cell r="J5554" t="str">
            <v>ESCUELA NORMAL SUPERIOR DE ICONONZO</v>
          </cell>
          <cell r="K5554">
            <v>63360037</v>
          </cell>
        </row>
        <row r="5555">
          <cell r="I5555">
            <v>890702291</v>
          </cell>
          <cell r="J5555" t="str">
            <v>INSTITUCION EDUCATIVA TECNICA COMERCIAL ALFONSO LOPEZ PUMAREJO</v>
          </cell>
          <cell r="K5555">
            <v>33076964</v>
          </cell>
        </row>
        <row r="5556">
          <cell r="I5556">
            <v>890702556</v>
          </cell>
          <cell r="J5556" t="str">
            <v>INSTITUCION EDUCATIVA TECNICA AGROINDUSTRIAL Y EMPRESARIAL SAN LUIS GONZAGA</v>
          </cell>
          <cell r="K5556">
            <v>123797552</v>
          </cell>
        </row>
        <row r="5557">
          <cell r="I5557">
            <v>890702583</v>
          </cell>
          <cell r="J5557" t="str">
            <v>FOND.SERV.EDUC.INST.EDUC.MEDALLA MILAGROSA</v>
          </cell>
          <cell r="K5557">
            <v>96075595</v>
          </cell>
        </row>
        <row r="5558">
          <cell r="I5558">
            <v>890702915</v>
          </cell>
          <cell r="J5558" t="str">
            <v>INSTITUCIóN EDUCATIVA TECNICA ANCHIQUE</v>
          </cell>
          <cell r="K5558">
            <v>47463072</v>
          </cell>
        </row>
        <row r="5559">
          <cell r="I5559">
            <v>890702925</v>
          </cell>
          <cell r="J5559" t="str">
            <v>NORMAL NACIONAL FONDOS SERVICIOS EDUCATIVOS</v>
          </cell>
          <cell r="K5559">
            <v>96881804</v>
          </cell>
        </row>
        <row r="5560">
          <cell r="I5560">
            <v>890703023</v>
          </cell>
          <cell r="J5560" t="str">
            <v>LUIS FELIPE PINTO</v>
          </cell>
          <cell r="K5560">
            <v>79627846</v>
          </cell>
        </row>
        <row r="5561">
          <cell r="I5561">
            <v>890703044</v>
          </cell>
          <cell r="J5561" t="str">
            <v>INTITUCION EDUCATIVA JOSE MARIA CARBONELL</v>
          </cell>
          <cell r="K5561">
            <v>118012815</v>
          </cell>
        </row>
        <row r="5562">
          <cell r="I5562">
            <v>890703269</v>
          </cell>
          <cell r="J5562" t="str">
            <v>FONDO DE SERVICIOS EDUCATIVOS</v>
          </cell>
          <cell r="K5562">
            <v>50785535</v>
          </cell>
        </row>
        <row r="5563">
          <cell r="I5563">
            <v>890703306</v>
          </cell>
          <cell r="J5563" t="str">
            <v>INSTITUCION EDUCATIVA TECNICA JORGE ELIECER GAITAN</v>
          </cell>
          <cell r="K5563">
            <v>87877739</v>
          </cell>
        </row>
        <row r="5564">
          <cell r="I5564">
            <v>890703334</v>
          </cell>
          <cell r="J5564" t="str">
            <v>INSTITUCION EDUCATIVA TECNICA ISIDRO PARRA</v>
          </cell>
          <cell r="K5564">
            <v>69770586</v>
          </cell>
        </row>
        <row r="5565">
          <cell r="I5565">
            <v>890703649</v>
          </cell>
          <cell r="J5565" t="str">
            <v>INSTITUCION EDUCATIVA ALBERTO SANTOFIMIO CAICEDO FDO DE SERV. EDU. T. GRATIUDAD</v>
          </cell>
          <cell r="K5565">
            <v>93075848</v>
          </cell>
        </row>
        <row r="5566">
          <cell r="I5566">
            <v>890703658</v>
          </cell>
          <cell r="J5566" t="str">
            <v>FONDO DE SERVICIOS EDUCATIVOS INSTITUCION EDUCATIVA NORMAL SUPERIOR - GRATUIDAD</v>
          </cell>
          <cell r="K5566">
            <v>242741000</v>
          </cell>
        </row>
        <row r="5567">
          <cell r="I5567">
            <v>890703659</v>
          </cell>
          <cell r="J5567" t="str">
            <v>INSTITUCION EDUCATIVA MARTIN POMALA</v>
          </cell>
          <cell r="K5567">
            <v>170263368</v>
          </cell>
        </row>
        <row r="5568">
          <cell r="I5568">
            <v>890703715</v>
          </cell>
          <cell r="J5568" t="str">
            <v>INSTITUCION EDUCATIVA TECNICA MANUEL MURILLO TORO</v>
          </cell>
          <cell r="K5568">
            <v>161751257</v>
          </cell>
        </row>
        <row r="5569">
          <cell r="I5569">
            <v>890703970</v>
          </cell>
          <cell r="J5569" t="str">
            <v>INSTITUCION EDUCATIVA LEONIDAS RUBIO VILLEGAS</v>
          </cell>
          <cell r="K5569">
            <v>134593785</v>
          </cell>
        </row>
        <row r="5570">
          <cell r="I5570">
            <v>890704355</v>
          </cell>
          <cell r="J5570" t="str">
            <v>INSTITUCION EDUCATIVA TECNICA JOAQUIN PARIS</v>
          </cell>
          <cell r="K5570">
            <v>81181996</v>
          </cell>
        </row>
        <row r="5571">
          <cell r="I5571">
            <v>890704988</v>
          </cell>
          <cell r="J5571" t="str">
            <v>INSTITUCION EDUCATIVA NUESTRA SEÑORA DE LOURDES</v>
          </cell>
          <cell r="K5571">
            <v>91223787</v>
          </cell>
        </row>
        <row r="5572">
          <cell r="I5572">
            <v>890705121</v>
          </cell>
          <cell r="J5572" t="str">
            <v>INSTITUCION EDUCATIVA TECNICA LA VOZ DE LA TIERRA</v>
          </cell>
          <cell r="K5572">
            <v>76136510</v>
          </cell>
        </row>
        <row r="5573">
          <cell r="I5573">
            <v>890705373</v>
          </cell>
          <cell r="J5573" t="str">
            <v>INSTITUCION EDUCATIVA GERMAN PARDO GARCIA</v>
          </cell>
          <cell r="K5573">
            <v>93453964</v>
          </cell>
        </row>
        <row r="5574">
          <cell r="I5574">
            <v>890705435</v>
          </cell>
          <cell r="J5574" t="str">
            <v>INSTITUCION EDUCATIVA FABIO LOZANO Y LOZANO</v>
          </cell>
          <cell r="K5574">
            <v>41219137</v>
          </cell>
        </row>
        <row r="5575">
          <cell r="I5575">
            <v>890705465</v>
          </cell>
          <cell r="J5575" t="str">
            <v>FONDO DE SERVICIOS EDUCATIVOS INSTITUCIÓN EDUCATIVA SANTA ROSA DE LIMA</v>
          </cell>
          <cell r="K5575">
            <v>49181326</v>
          </cell>
        </row>
        <row r="5576">
          <cell r="I5576">
            <v>890705787</v>
          </cell>
          <cell r="J5576" t="str">
            <v>FONDO DE SERVICIOS EDUCATIVOS FRANCISCO DE MIRANDA</v>
          </cell>
          <cell r="K5576">
            <v>132260282</v>
          </cell>
        </row>
        <row r="5577">
          <cell r="I5577">
            <v>890706096</v>
          </cell>
          <cell r="J5577" t="str">
            <v>INSTITUCION EDUCATIVA TECNICA NUESTRA SEÑORA DE LAS MERCEDES DEL MUNICIPIO DE ICONONZO</v>
          </cell>
          <cell r="K5577">
            <v>39927523</v>
          </cell>
        </row>
        <row r="5578">
          <cell r="I5578">
            <v>890706260</v>
          </cell>
          <cell r="J5578" t="str">
            <v>I.E. GUILLERMO ANGULO GOMEZ</v>
          </cell>
          <cell r="K5578">
            <v>81635143</v>
          </cell>
        </row>
        <row r="5579">
          <cell r="I5579">
            <v>890706280</v>
          </cell>
          <cell r="J5579" t="str">
            <v>FONDOS DOC. INST. EDUC. ANTONIO REYES UMAÑA</v>
          </cell>
          <cell r="K5579">
            <v>109924170</v>
          </cell>
        </row>
        <row r="5580">
          <cell r="I5580">
            <v>890706300</v>
          </cell>
          <cell r="J5580" t="str">
            <v>INSTITUCION EDUCATIVA TECNICA NUESTRA SEÑORA DE FATIMA FONDOS DE SERVICIOS EDUCATIVOS</v>
          </cell>
          <cell r="K5580">
            <v>67445348</v>
          </cell>
        </row>
        <row r="5581">
          <cell r="I5581">
            <v>890706314</v>
          </cell>
          <cell r="J5581" t="str">
            <v>FONDOS DE SERVICIOS EDUCATIVOS</v>
          </cell>
          <cell r="K5581">
            <v>60512256</v>
          </cell>
        </row>
        <row r="5582">
          <cell r="I5582">
            <v>890706334</v>
          </cell>
          <cell r="J5582" t="str">
            <v>INSTITUCIÓN EDUCATIVA TÉCNICA FRANCISCO JOSE DE CALDAS</v>
          </cell>
          <cell r="K5582">
            <v>74529491</v>
          </cell>
        </row>
        <row r="5583">
          <cell r="I5583">
            <v>890706353</v>
          </cell>
          <cell r="J5583" t="str">
            <v>FONDOS DE SERVICIOS EDUCATIVOS INSTITUCION EDUCATIVA TECNICA ARTURO MEJIA JARAMILLO</v>
          </cell>
          <cell r="K5583">
            <v>73152643</v>
          </cell>
        </row>
        <row r="5584">
          <cell r="I5584">
            <v>890706589</v>
          </cell>
          <cell r="J5584" t="str">
            <v>INSTITUCION EDUCATIVA TECNICA ALFONSO ARANGO TORO</v>
          </cell>
          <cell r="K5584">
            <v>58704332</v>
          </cell>
        </row>
        <row r="5585">
          <cell r="I5585">
            <v>890706603</v>
          </cell>
          <cell r="J5585" t="str">
            <v>FONDO DE SERVICIO EDUCATVO - INSTITUCION EDUCATIVA JOSE CELESTINO MUTIS GRATUIDAD EDUCATIVO</v>
          </cell>
          <cell r="K5585">
            <v>126626924</v>
          </cell>
        </row>
        <row r="5586">
          <cell r="I5586">
            <v>890706623</v>
          </cell>
          <cell r="J5586" t="str">
            <v>INSTITUCION EDUCATIVA TECNICA LUIS CARLOS GALAN SARMIENTO MUNICIPIO DE HONDA</v>
          </cell>
          <cell r="K5586">
            <v>33393760</v>
          </cell>
        </row>
        <row r="5587">
          <cell r="I5587">
            <v>890706635</v>
          </cell>
          <cell r="J5587" t="str">
            <v>FONDO DE SERVICIOS EDUCATIVOS INSTITUCIóN EDUCATIVA SAN ANTONIO</v>
          </cell>
          <cell r="K5587">
            <v>58282600</v>
          </cell>
        </row>
        <row r="5588">
          <cell r="I5588">
            <v>890706646</v>
          </cell>
          <cell r="J5588" t="str">
            <v>FONDO DE SERVICIO EDUCATIVO INST. SAN MIGUELS</v>
          </cell>
          <cell r="K5588">
            <v>68151645</v>
          </cell>
        </row>
        <row r="5589">
          <cell r="I5589">
            <v>890706682</v>
          </cell>
          <cell r="J5589" t="str">
            <v>INSTITUCIÓN EDUCATIVA NIÑA MARIA</v>
          </cell>
          <cell r="K5589">
            <v>93971054</v>
          </cell>
        </row>
        <row r="5590">
          <cell r="I5590">
            <v>890706714</v>
          </cell>
          <cell r="J5590" t="str">
            <v>FONDO DE SERVICIOS EDUCATIVOS INSTITUCION EDUCATIVA NUESTRA SEÑORA DEL ROSARIO</v>
          </cell>
          <cell r="K5590">
            <v>97765569</v>
          </cell>
        </row>
        <row r="5591">
          <cell r="I5591">
            <v>890706737</v>
          </cell>
          <cell r="J5591" t="str">
            <v>FONDOS DE SERVICIOS EDUCATIVOS</v>
          </cell>
          <cell r="K5591">
            <v>67765272</v>
          </cell>
        </row>
        <row r="5592">
          <cell r="I5592">
            <v>890706749</v>
          </cell>
          <cell r="J5592" t="str">
            <v>FONDOS DE SERVICIOS EDUCATIVOS INSTITUCION EDUCATIVA TECNICA GENERAL ROBERTO LEYVA</v>
          </cell>
          <cell r="K5592">
            <v>88418865</v>
          </cell>
        </row>
        <row r="5593">
          <cell r="I5593">
            <v>890706752</v>
          </cell>
          <cell r="J5593" t="str">
            <v>FONDO DE SERVICIOS EDUCATIVOS INSTITUCION EDUCATIVA LUIS CARLOS GALAN SARMIENTO - RECURSOS DE GRATUIDAD</v>
          </cell>
          <cell r="K5593">
            <v>99769291</v>
          </cell>
        </row>
        <row r="5594">
          <cell r="I5594">
            <v>890706780</v>
          </cell>
          <cell r="J5594" t="str">
            <v>INSTITUCIÓN EDUCATIVA INMACULADA CONCEPCIÓN</v>
          </cell>
          <cell r="K5594">
            <v>52060844</v>
          </cell>
        </row>
        <row r="5595">
          <cell r="I5595">
            <v>890706819</v>
          </cell>
          <cell r="J5595" t="str">
            <v>INS.EDUCATIVA TéCNICA SOLEDAD MEDINA</v>
          </cell>
          <cell r="K5595">
            <v>155208745</v>
          </cell>
        </row>
        <row r="5596">
          <cell r="I5596">
            <v>890706831</v>
          </cell>
          <cell r="J5596" t="str">
            <v>FONDOS DE SERVICIOS EDUCATIVOS INSTITUCION EDUCATIVA TECNICA LA SAGRADA FAMILIA</v>
          </cell>
          <cell r="K5596">
            <v>196546105</v>
          </cell>
        </row>
        <row r="5597">
          <cell r="I5597">
            <v>890706837</v>
          </cell>
          <cell r="J5597" t="str">
            <v>ESCUELA NORMAL SUPERIOR VILLAHERMOSA</v>
          </cell>
          <cell r="K5597">
            <v>59594239</v>
          </cell>
        </row>
        <row r="5598">
          <cell r="I5598">
            <v>890706849</v>
          </cell>
          <cell r="J5598" t="str">
            <v>INSTITUCION EDUCATIVA TECNICA JUAN LOZANO Y LOZANO</v>
          </cell>
          <cell r="K5598">
            <v>52350588</v>
          </cell>
        </row>
        <row r="5599">
          <cell r="I5599">
            <v>890706909</v>
          </cell>
          <cell r="J5599" t="str">
            <v>FONDO DE SERVICIOS EDUCATIVOS INSTITUCION EDUCATIVA AGROPECUARIA MARIANO MELENDRO</v>
          </cell>
          <cell r="K5599">
            <v>84368474</v>
          </cell>
        </row>
        <row r="5600">
          <cell r="I5600">
            <v>890706950</v>
          </cell>
          <cell r="J5600" t="str">
            <v>INSTITUCION EDUCATIVA TECNICA AGROINDUSTRIAL LEOPOLDO GARCIA</v>
          </cell>
          <cell r="K5600">
            <v>114121127</v>
          </cell>
        </row>
        <row r="5601">
          <cell r="I5601">
            <v>890706965</v>
          </cell>
          <cell r="J5601" t="str">
            <v>INSTITUCIÓN EDUCATIVA MARCO FIDEL SUÁREZ FONDOS SERVICIOS DOCENTES</v>
          </cell>
          <cell r="K5601">
            <v>59437905</v>
          </cell>
        </row>
        <row r="5602">
          <cell r="I5602">
            <v>890706969</v>
          </cell>
          <cell r="J5602" t="str">
            <v>I.E . PABLO VI</v>
          </cell>
          <cell r="K5602">
            <v>67183970</v>
          </cell>
        </row>
        <row r="5603">
          <cell r="I5603">
            <v>890707000</v>
          </cell>
          <cell r="J5603" t="str">
            <v>INSTITUCIÓN EDUCATIVA SAN AGUSTIN</v>
          </cell>
          <cell r="K5603">
            <v>52460322</v>
          </cell>
        </row>
        <row r="5604">
          <cell r="I5604">
            <v>890707026</v>
          </cell>
          <cell r="J5604" t="str">
            <v>INSTITUCION EDUCATIVA SAN BERNANRDO  FONDO DE SERVICIO EDUCATIVO</v>
          </cell>
          <cell r="K5604">
            <v>31571979</v>
          </cell>
        </row>
        <row r="5605">
          <cell r="I5605">
            <v>890707217</v>
          </cell>
          <cell r="J5605" t="str">
            <v>FONDO DE SERVICIOS EDUCATIVOS MARIANO OSPINA PEREZ</v>
          </cell>
          <cell r="K5605">
            <v>28893854</v>
          </cell>
        </row>
        <row r="5606">
          <cell r="I5606">
            <v>890800939</v>
          </cell>
          <cell r="J5606" t="str">
            <v>INSTITUCION EDUCATIVA RURALSERAFICO SAN ANTONIO DE PADUA -TRANSFERENCIAS</v>
          </cell>
          <cell r="K5606">
            <v>31733209</v>
          </cell>
        </row>
        <row r="5607">
          <cell r="I5607">
            <v>890801052</v>
          </cell>
          <cell r="J5607" t="str">
            <v>DEPARTAMENTO DE CALDAS</v>
          </cell>
          <cell r="K5607">
            <v>160483827457</v>
          </cell>
        </row>
        <row r="5608">
          <cell r="I5608">
            <v>890801053</v>
          </cell>
          <cell r="J5608" t="str">
            <v>MUNICIPIO DE MANIZALES</v>
          </cell>
          <cell r="K5608">
            <v>84547777638</v>
          </cell>
        </row>
        <row r="5609">
          <cell r="I5609">
            <v>890801130</v>
          </cell>
          <cell r="J5609" t="str">
            <v>MUNICIPIO DE LA DORADA</v>
          </cell>
          <cell r="K5609">
            <v>621546352</v>
          </cell>
        </row>
        <row r="5610">
          <cell r="I5610">
            <v>890801131</v>
          </cell>
          <cell r="J5610" t="str">
            <v>MUNICIPIO DE SALAMINA</v>
          </cell>
          <cell r="K5610">
            <v>174956124</v>
          </cell>
        </row>
        <row r="5611">
          <cell r="I5611">
            <v>890801132</v>
          </cell>
          <cell r="J5611" t="str">
            <v>MUNICIPIO DE AGUADAS</v>
          </cell>
          <cell r="K5611">
            <v>226410142</v>
          </cell>
        </row>
        <row r="5612">
          <cell r="I5612">
            <v>890801133</v>
          </cell>
          <cell r="J5612" t="str">
            <v>MUNICIPIO DE CHINCHINA</v>
          </cell>
          <cell r="K5612">
            <v>432004461</v>
          </cell>
        </row>
        <row r="5613">
          <cell r="I5613">
            <v>890801135</v>
          </cell>
          <cell r="J5613" t="str">
            <v>MUNICIPIO DE NEIRA</v>
          </cell>
          <cell r="K5613">
            <v>213553970</v>
          </cell>
        </row>
        <row r="5614">
          <cell r="I5614">
            <v>890801136</v>
          </cell>
          <cell r="J5614" t="str">
            <v>MUNICIPIO DE PACORA</v>
          </cell>
          <cell r="K5614">
            <v>142624622</v>
          </cell>
        </row>
        <row r="5615">
          <cell r="I5615">
            <v>890801137</v>
          </cell>
          <cell r="J5615" t="str">
            <v>MUNICIPIO DE PENSILVANIA</v>
          </cell>
          <cell r="K5615">
            <v>226951753</v>
          </cell>
        </row>
        <row r="5616">
          <cell r="I5616">
            <v>890801138</v>
          </cell>
          <cell r="J5616" t="str">
            <v>MUNICIPIO DE RIOSUCIO</v>
          </cell>
          <cell r="K5616">
            <v>499506315</v>
          </cell>
        </row>
        <row r="5617">
          <cell r="I5617">
            <v>890801139</v>
          </cell>
          <cell r="J5617" t="str">
            <v>MUNICIPIO DE ANSERMA</v>
          </cell>
          <cell r="K5617">
            <v>327840289</v>
          </cell>
        </row>
        <row r="5618">
          <cell r="I5618">
            <v>890801141</v>
          </cell>
          <cell r="J5618" t="str">
            <v>MUNICIPIO DE PALESTINA</v>
          </cell>
          <cell r="K5618">
            <v>160444515</v>
          </cell>
        </row>
        <row r="5619">
          <cell r="I5619">
            <v>890801142</v>
          </cell>
          <cell r="J5619" t="str">
            <v>MUNICIPIO DE ARANZAZU</v>
          </cell>
          <cell r="K5619">
            <v>121921856</v>
          </cell>
        </row>
        <row r="5620">
          <cell r="I5620">
            <v>890801144</v>
          </cell>
          <cell r="J5620" t="str">
            <v>MUNICIPIO DE FILADELFIA</v>
          </cell>
          <cell r="K5620">
            <v>101299212</v>
          </cell>
        </row>
        <row r="5621">
          <cell r="I5621">
            <v>890801145</v>
          </cell>
          <cell r="J5621" t="str">
            <v>MUNICIPIO DE MARMATO</v>
          </cell>
          <cell r="K5621">
            <v>90702556</v>
          </cell>
        </row>
        <row r="5622">
          <cell r="I5622">
            <v>890801146</v>
          </cell>
          <cell r="J5622" t="str">
            <v>MUNICIPIO DE MARULANDA</v>
          </cell>
          <cell r="K5622">
            <v>24174997</v>
          </cell>
        </row>
        <row r="5623">
          <cell r="I5623">
            <v>890801147</v>
          </cell>
          <cell r="J5623" t="str">
            <v>MUNICIPIO DE MARQUETALIA</v>
          </cell>
          <cell r="K5623">
            <v>133815507</v>
          </cell>
        </row>
        <row r="5624">
          <cell r="I5624">
            <v>890801149</v>
          </cell>
          <cell r="J5624" t="str">
            <v>MUNICIPIO DE SAMANA</v>
          </cell>
          <cell r="K5624">
            <v>228553528</v>
          </cell>
        </row>
        <row r="5625">
          <cell r="I5625">
            <v>890801150</v>
          </cell>
          <cell r="J5625" t="str">
            <v>MUNICIPIO DE SUPIA</v>
          </cell>
          <cell r="K5625">
            <v>244643455</v>
          </cell>
        </row>
        <row r="5626">
          <cell r="I5626">
            <v>890801151</v>
          </cell>
          <cell r="J5626" t="str">
            <v>MUNICIPIO DE VICTORIA</v>
          </cell>
          <cell r="K5626">
            <v>86402540</v>
          </cell>
        </row>
        <row r="5627">
          <cell r="I5627">
            <v>890801152</v>
          </cell>
          <cell r="J5627" t="str">
            <v>MUNICIPIO DE VILLAMARIA</v>
          </cell>
          <cell r="K5627">
            <v>342044843</v>
          </cell>
        </row>
        <row r="5628">
          <cell r="I5628">
            <v>890801313</v>
          </cell>
          <cell r="J5628" t="str">
            <v>INSTITUCION EDUCATIVA LEONARDO DA VINCI</v>
          </cell>
          <cell r="K5628">
            <v>72336311</v>
          </cell>
        </row>
        <row r="5629">
          <cell r="I5629">
            <v>890801392</v>
          </cell>
          <cell r="J5629" t="str">
            <v>INSTITUTO MANIZALES</v>
          </cell>
          <cell r="K5629">
            <v>79216614</v>
          </cell>
        </row>
        <row r="5630">
          <cell r="I5630">
            <v>890801650</v>
          </cell>
          <cell r="J5630" t="str">
            <v>Colegio Nuestra Señora del Rosario</v>
          </cell>
          <cell r="K5630">
            <v>75326511</v>
          </cell>
        </row>
        <row r="5631">
          <cell r="I5631">
            <v>890801698</v>
          </cell>
          <cell r="J5631" t="str">
            <v>INSTITUCION EDUCATIVA MARCO FIDEL SUAREZ</v>
          </cell>
          <cell r="K5631">
            <v>25135077</v>
          </cell>
        </row>
        <row r="5632">
          <cell r="I5632">
            <v>890801965</v>
          </cell>
          <cell r="J5632" t="str">
            <v>Institucion Educativa Santa Luisa de Marillac</v>
          </cell>
          <cell r="K5632">
            <v>90533012</v>
          </cell>
        </row>
        <row r="5633">
          <cell r="I5633">
            <v>890802072</v>
          </cell>
          <cell r="J5633" t="str">
            <v>INSTITUCION EDUCATIVA ESCUELA NORMAL SUPERIOR SAN JOSE</v>
          </cell>
          <cell r="K5633">
            <v>25211718</v>
          </cell>
        </row>
        <row r="5634">
          <cell r="I5634">
            <v>890802079</v>
          </cell>
          <cell r="J5634" t="str">
            <v>INSTITUTO MARISCAL SUCRE</v>
          </cell>
          <cell r="K5634">
            <v>66549462</v>
          </cell>
        </row>
        <row r="5635">
          <cell r="I5635">
            <v>890802155</v>
          </cell>
          <cell r="J5635" t="str">
            <v>ESC. NAL DE AUX. DE ENFERMERIA</v>
          </cell>
          <cell r="K5635">
            <v>160222315</v>
          </cell>
        </row>
        <row r="5636">
          <cell r="I5636">
            <v>890802208</v>
          </cell>
          <cell r="J5636" t="str">
            <v>Institucion Educativa Nuestra Señora del Rosario</v>
          </cell>
          <cell r="K5636">
            <v>100099957</v>
          </cell>
        </row>
        <row r="5637">
          <cell r="I5637">
            <v>890802505</v>
          </cell>
          <cell r="J5637" t="str">
            <v>MUNICIPIO DE MANZANARES</v>
          </cell>
          <cell r="K5637">
            <v>174842787</v>
          </cell>
        </row>
        <row r="5638">
          <cell r="I5638">
            <v>890802522</v>
          </cell>
          <cell r="J5638" t="str">
            <v>Institucion Educativa Los Fundadores</v>
          </cell>
          <cell r="K5638">
            <v>102808446</v>
          </cell>
        </row>
        <row r="5639">
          <cell r="I5639">
            <v>890802537</v>
          </cell>
          <cell r="J5639" t="str">
            <v>Colegio Oficial Sara Ospina</v>
          </cell>
          <cell r="K5639">
            <v>39135986</v>
          </cell>
        </row>
        <row r="5640">
          <cell r="I5640">
            <v>890802548</v>
          </cell>
          <cell r="J5640" t="str">
            <v>COLEGIO INEM BALDOMERO SANIN CANO</v>
          </cell>
          <cell r="K5640">
            <v>80935313</v>
          </cell>
        </row>
        <row r="5641">
          <cell r="I5641">
            <v>890802596</v>
          </cell>
          <cell r="J5641" t="str">
            <v>INSTITUTO CHIPRE</v>
          </cell>
          <cell r="K5641">
            <v>79530232</v>
          </cell>
        </row>
        <row r="5642">
          <cell r="I5642">
            <v>890802641</v>
          </cell>
          <cell r="J5642" t="str">
            <v>Institucion Educativa de Occidente</v>
          </cell>
          <cell r="K5642">
            <v>123709089</v>
          </cell>
        </row>
        <row r="5643">
          <cell r="I5643">
            <v>890802650</v>
          </cell>
          <cell r="J5643" t="str">
            <v>MUNICIPIO DE BELALCAZAR</v>
          </cell>
          <cell r="K5643">
            <v>104142318</v>
          </cell>
        </row>
        <row r="5644">
          <cell r="I5644">
            <v>890802698</v>
          </cell>
          <cell r="J5644" t="str">
            <v>Insitucion Educativa Marino Gomez Estrada</v>
          </cell>
          <cell r="K5644">
            <v>39197249</v>
          </cell>
        </row>
        <row r="5645">
          <cell r="I5645">
            <v>890802795</v>
          </cell>
          <cell r="J5645" t="str">
            <v>MUNICIPIO DE LA MERCED</v>
          </cell>
          <cell r="K5645">
            <v>70025655</v>
          </cell>
        </row>
        <row r="5646">
          <cell r="I5646">
            <v>890803030</v>
          </cell>
          <cell r="J5646" t="str">
            <v>INSTITUCION  EDUCATIVA  CLAUDINA MUNERA</v>
          </cell>
          <cell r="K5646">
            <v>47075606</v>
          </cell>
        </row>
        <row r="5647">
          <cell r="I5647">
            <v>890803154</v>
          </cell>
          <cell r="J5647" t="str">
            <v>INSTITUCION EDUCATIVA EUGENIO PACELLI</v>
          </cell>
          <cell r="K5647">
            <v>47080835</v>
          </cell>
        </row>
        <row r="5648">
          <cell r="I5648">
            <v>890803662</v>
          </cell>
          <cell r="J5648" t="str">
            <v>INSTITUCION EDUCATIVA ESCUELA NORMAL SUPERIOR REBECA SIERRA CARDONA</v>
          </cell>
          <cell r="K5648">
            <v>35428111</v>
          </cell>
        </row>
        <row r="5649">
          <cell r="I5649">
            <v>890804116</v>
          </cell>
          <cell r="J5649" t="str">
            <v>INSTITUTO INTEGRADO LA SULTANA</v>
          </cell>
          <cell r="K5649">
            <v>36585757</v>
          </cell>
        </row>
        <row r="5650">
          <cell r="I5650">
            <v>890804617</v>
          </cell>
          <cell r="J5650" t="str">
            <v>Ins. Educ Gerardo Arias</v>
          </cell>
          <cell r="K5650">
            <v>148035113</v>
          </cell>
        </row>
        <row r="5651">
          <cell r="I5651">
            <v>890804669</v>
          </cell>
          <cell r="J5651" t="str">
            <v>INSTITUCION EDUCATIVA INDUSTRIAL</v>
          </cell>
          <cell r="K5651">
            <v>86615431</v>
          </cell>
        </row>
        <row r="5652">
          <cell r="I5652">
            <v>890805009</v>
          </cell>
          <cell r="J5652" t="str">
            <v>INSTITUTO TECNOLOGICO SUPERIOR DE CALDAS "ITEC" MANIZALES</v>
          </cell>
          <cell r="K5652">
            <v>158572892</v>
          </cell>
        </row>
        <row r="5653">
          <cell r="I5653">
            <v>890805037</v>
          </cell>
          <cell r="J5653" t="str">
            <v>INSTITUTO TECNICO MARCO FIDEL SUAREZ</v>
          </cell>
          <cell r="K5653">
            <v>61134040</v>
          </cell>
        </row>
        <row r="5654">
          <cell r="I5654">
            <v>890805687</v>
          </cell>
          <cell r="J5654" t="str">
            <v>Institucion Educativa Viboral</v>
          </cell>
          <cell r="K5654">
            <v>22346633</v>
          </cell>
        </row>
        <row r="5655">
          <cell r="I5655">
            <v>890805811</v>
          </cell>
          <cell r="J5655" t="str">
            <v>Colegio Pio XI</v>
          </cell>
          <cell r="K5655">
            <v>49287120</v>
          </cell>
        </row>
        <row r="5656">
          <cell r="I5656">
            <v>890805852</v>
          </cell>
          <cell r="J5656" t="str">
            <v>Institucion Educativa Escuela Normal Superior Sagrado Corazón</v>
          </cell>
          <cell r="K5656">
            <v>71744516</v>
          </cell>
        </row>
        <row r="5657">
          <cell r="I5657">
            <v>890805978</v>
          </cell>
          <cell r="J5657" t="str">
            <v>LICEO MIXTO MALABAR</v>
          </cell>
          <cell r="K5657">
            <v>61385077</v>
          </cell>
        </row>
        <row r="5658">
          <cell r="I5658">
            <v>890806026</v>
          </cell>
          <cell r="J5658" t="str">
            <v>INSTITUTO MANZANARES CALDAS</v>
          </cell>
          <cell r="K5658">
            <v>62991462</v>
          </cell>
        </row>
        <row r="5659">
          <cell r="I5659">
            <v>890806464</v>
          </cell>
          <cell r="J5659" t="str">
            <v>Institucion Educativa el socorro gratuidad escolar</v>
          </cell>
          <cell r="K5659">
            <v>26803303</v>
          </cell>
        </row>
        <row r="5660">
          <cell r="I5660">
            <v>890806512</v>
          </cell>
          <cell r="J5660" t="str">
            <v>Institucion Educativa Bartolome Mitre</v>
          </cell>
          <cell r="K5660">
            <v>112647009</v>
          </cell>
        </row>
        <row r="5661">
          <cell r="I5661">
            <v>890806680</v>
          </cell>
          <cell r="J5661" t="str">
            <v>Institucion Educativa San Franciso de Paula</v>
          </cell>
          <cell r="K5661">
            <v>104547637</v>
          </cell>
        </row>
        <row r="5662">
          <cell r="I5662">
            <v>890807387</v>
          </cell>
          <cell r="J5662" t="str">
            <v>LICEO MIXTO ARANJUEZ</v>
          </cell>
          <cell r="K5662">
            <v>28397344</v>
          </cell>
        </row>
        <row r="5663">
          <cell r="I5663">
            <v>890807582</v>
          </cell>
          <cell r="J5663" t="str">
            <v>INSTITUCION EDUCATIVA COLEGIO LA ASUNCION</v>
          </cell>
          <cell r="K5663">
            <v>93453834</v>
          </cell>
        </row>
        <row r="5664">
          <cell r="I5664">
            <v>890807637</v>
          </cell>
          <cell r="J5664" t="str">
            <v>COLEGIO LICEO ISABEL LA CATOLICA BODAS DE ORO</v>
          </cell>
          <cell r="K5664">
            <v>83799006</v>
          </cell>
        </row>
        <row r="5665">
          <cell r="I5665">
            <v>890807930</v>
          </cell>
          <cell r="J5665" t="str">
            <v>INSTITUTO OFICIAL MIXTO SAN PEREGRINO</v>
          </cell>
          <cell r="K5665">
            <v>27430136</v>
          </cell>
        </row>
        <row r="5666">
          <cell r="I5666">
            <v>890807974</v>
          </cell>
          <cell r="J5666" t="str">
            <v>Institución Educativa Neira</v>
          </cell>
          <cell r="K5666">
            <v>53148955</v>
          </cell>
        </row>
        <row r="5667">
          <cell r="I5667">
            <v>890900286</v>
          </cell>
          <cell r="J5667" t="str">
            <v>DEPARTAMENTO DE ANTIOQUIA</v>
          </cell>
          <cell r="K5667">
            <v>618683695934</v>
          </cell>
        </row>
        <row r="5668">
          <cell r="I5668">
            <v>890905211</v>
          </cell>
          <cell r="J5668" t="str">
            <v>MUNICIPIO DE MEDELLIN</v>
          </cell>
          <cell r="K5668">
            <v>416989650773</v>
          </cell>
        </row>
        <row r="5669">
          <cell r="I5669">
            <v>890906445</v>
          </cell>
          <cell r="J5669" t="str">
            <v>MUNICIPIO DE CAUCASIA</v>
          </cell>
          <cell r="K5669">
            <v>1204100597</v>
          </cell>
        </row>
        <row r="5670">
          <cell r="I5670">
            <v>890907106</v>
          </cell>
          <cell r="J5670" t="str">
            <v>MUNICIPIO DE ENVIGADO</v>
          </cell>
          <cell r="K5670">
            <v>23579438150</v>
          </cell>
        </row>
        <row r="5671">
          <cell r="I5671">
            <v>890907317</v>
          </cell>
          <cell r="J5671" t="str">
            <v>MUNICIPIO DE RIONEGRO ANTIOQUIA</v>
          </cell>
          <cell r="K5671">
            <v>24123268949</v>
          </cell>
        </row>
        <row r="5672">
          <cell r="I5672">
            <v>890907515</v>
          </cell>
          <cell r="J5672" t="str">
            <v>MUNICIPIO DE URRAO</v>
          </cell>
          <cell r="K5672">
            <v>334144965</v>
          </cell>
        </row>
        <row r="5673">
          <cell r="I5673">
            <v>890907569</v>
          </cell>
          <cell r="J5673" t="str">
            <v>MUNICIPIO DE SANTA FE DE ANTIOQUIA</v>
          </cell>
          <cell r="K5673">
            <v>300343330</v>
          </cell>
        </row>
        <row r="5674">
          <cell r="I5674">
            <v>890909276</v>
          </cell>
          <cell r="J5674" t="str">
            <v>IE AGRICOLA DE URABÁ - Chigorodó</v>
          </cell>
          <cell r="K5674">
            <v>209854402</v>
          </cell>
        </row>
        <row r="5675">
          <cell r="I5675">
            <v>890910913</v>
          </cell>
          <cell r="J5675" t="str">
            <v>MUNICIPIO DE CISNEROS</v>
          </cell>
          <cell r="K5675">
            <v>90498821</v>
          </cell>
        </row>
        <row r="5676">
          <cell r="I5676">
            <v>890920814</v>
          </cell>
          <cell r="J5676" t="str">
            <v>MUNICIPIO DE SAN JERONIMO</v>
          </cell>
          <cell r="K5676">
            <v>110875415</v>
          </cell>
        </row>
        <row r="5677">
          <cell r="I5677">
            <v>890980049</v>
          </cell>
          <cell r="J5677" t="str">
            <v>MUNICIPIO DE PUERTO BERRIO</v>
          </cell>
          <cell r="K5677">
            <v>327097638</v>
          </cell>
        </row>
        <row r="5678">
          <cell r="I5678">
            <v>890980093</v>
          </cell>
          <cell r="J5678" t="str">
            <v>MUNICIPIO DE ITAGUI</v>
          </cell>
          <cell r="K5678">
            <v>42783957402</v>
          </cell>
        </row>
        <row r="5679">
          <cell r="I5679">
            <v>890980094</v>
          </cell>
          <cell r="J5679" t="str">
            <v>MUNICIPIO DE DABEIBA</v>
          </cell>
          <cell r="K5679">
            <v>369995227</v>
          </cell>
        </row>
        <row r="5680">
          <cell r="I5680">
            <v>890980095</v>
          </cell>
          <cell r="J5680" t="str">
            <v>MUNICIPIO DE APARTADO</v>
          </cell>
          <cell r="K5680">
            <v>32938952780</v>
          </cell>
        </row>
        <row r="5681">
          <cell r="I5681">
            <v>890980096</v>
          </cell>
          <cell r="J5681" t="str">
            <v>MUNICIPIO DE YARUMAL</v>
          </cell>
          <cell r="K5681">
            <v>353419794</v>
          </cell>
        </row>
        <row r="5682">
          <cell r="I5682">
            <v>890980112</v>
          </cell>
          <cell r="J5682" t="str">
            <v>MUNICIPIO DE BELLO</v>
          </cell>
          <cell r="K5682">
            <v>69877144257</v>
          </cell>
        </row>
        <row r="5683">
          <cell r="I5683">
            <v>890980116</v>
          </cell>
          <cell r="J5683" t="str">
            <v>INST EDUC MARCO FIDEL SUAREZ</v>
          </cell>
          <cell r="K5683">
            <v>178326208</v>
          </cell>
        </row>
        <row r="5684">
          <cell r="I5684">
            <v>890980168</v>
          </cell>
          <cell r="J5684" t="str">
            <v>INST EDUC ESCUELA NORMAL SUPERIOR DE MEDELLIN</v>
          </cell>
          <cell r="K5684">
            <v>133875712</v>
          </cell>
        </row>
        <row r="5685">
          <cell r="I5685">
            <v>890980330</v>
          </cell>
          <cell r="J5685" t="str">
            <v>MUNICIPIO DE CIUDAD BOLIVAR</v>
          </cell>
          <cell r="K5685">
            <v>213601276</v>
          </cell>
        </row>
        <row r="5686">
          <cell r="I5686">
            <v>890980331</v>
          </cell>
          <cell r="J5686" t="str">
            <v>MUNICIPIO DE SABANETA</v>
          </cell>
          <cell r="K5686">
            <v>9156058771</v>
          </cell>
        </row>
        <row r="5687">
          <cell r="I5687">
            <v>890980337</v>
          </cell>
          <cell r="J5687" t="str">
            <v>INSTITUCION EDUCATIVA ESCUELA NORMAL SUPERIOR MARIA AUXILIADORA</v>
          </cell>
          <cell r="K5687">
            <v>113388063</v>
          </cell>
        </row>
        <row r="5688">
          <cell r="I5688">
            <v>890980342</v>
          </cell>
          <cell r="J5688" t="str">
            <v>MUNICIPIO DE ANDES</v>
          </cell>
          <cell r="K5688">
            <v>339662148</v>
          </cell>
        </row>
        <row r="5689">
          <cell r="I5689">
            <v>890980344</v>
          </cell>
          <cell r="J5689" t="str">
            <v>MUNICIPIO DE SANTA BARBARA</v>
          </cell>
          <cell r="K5689">
            <v>206277435</v>
          </cell>
        </row>
        <row r="5690">
          <cell r="I5690">
            <v>890980345</v>
          </cell>
          <cell r="J5690" t="str">
            <v>IE TECNICO INDUSTRIAL JOSE MARIA CORDOBA - Santuario</v>
          </cell>
          <cell r="K5690">
            <v>186866995</v>
          </cell>
        </row>
        <row r="5691">
          <cell r="I5691">
            <v>890980357</v>
          </cell>
          <cell r="J5691" t="str">
            <v>MUNICIPIO DE SONSON</v>
          </cell>
          <cell r="K5691">
            <v>323717205</v>
          </cell>
        </row>
        <row r="5692">
          <cell r="I5692">
            <v>890980445</v>
          </cell>
          <cell r="J5692" t="str">
            <v>MUNICIPIO DE BARBOSA ANTIOQUIA</v>
          </cell>
          <cell r="K5692">
            <v>334391708</v>
          </cell>
        </row>
        <row r="5693">
          <cell r="I5693">
            <v>890980524</v>
          </cell>
          <cell r="J5693" t="str">
            <v>FSE INSTITUCION EDUCATIVA TECNICO INDUSTRIAL SANTIAGO DE ARMA</v>
          </cell>
          <cell r="K5693">
            <v>172521065</v>
          </cell>
        </row>
        <row r="5694">
          <cell r="I5694">
            <v>890980577</v>
          </cell>
          <cell r="J5694" t="str">
            <v>MUNICIPIO DE SALGAR</v>
          </cell>
          <cell r="K5694">
            <v>140689892</v>
          </cell>
        </row>
        <row r="5695">
          <cell r="I5695">
            <v>890980706</v>
          </cell>
          <cell r="J5695" t="str">
            <v>INST EDUC GERARDO VALENCIA CANO</v>
          </cell>
          <cell r="K5695">
            <v>98474965</v>
          </cell>
        </row>
        <row r="5696">
          <cell r="I5696">
            <v>890980764</v>
          </cell>
          <cell r="J5696" t="str">
            <v>MUNICIPIO DE VENECIA</v>
          </cell>
          <cell r="K5696">
            <v>117003460</v>
          </cell>
        </row>
        <row r="5697">
          <cell r="I5697">
            <v>890980767</v>
          </cell>
          <cell r="J5697" t="str">
            <v>MUNICIPIO DE COPACABANA</v>
          </cell>
          <cell r="K5697">
            <v>498065960</v>
          </cell>
        </row>
        <row r="5698">
          <cell r="I5698">
            <v>890980781</v>
          </cell>
          <cell r="J5698" t="str">
            <v>MUNICIPIO DE TITIRIBI</v>
          </cell>
          <cell r="K5698">
            <v>85177582</v>
          </cell>
        </row>
        <row r="5699">
          <cell r="I5699">
            <v>890980782</v>
          </cell>
          <cell r="J5699" t="str">
            <v>MUNICIPIO DE LA ESTRELLA</v>
          </cell>
          <cell r="K5699">
            <v>281530480</v>
          </cell>
        </row>
        <row r="5700">
          <cell r="I5700">
            <v>890980790</v>
          </cell>
          <cell r="J5700" t="str">
            <v>IE INMACULADA CONCEPCION - Guarne</v>
          </cell>
          <cell r="K5700">
            <v>104673489</v>
          </cell>
        </row>
        <row r="5701">
          <cell r="I5701">
            <v>890980802</v>
          </cell>
          <cell r="J5701" t="str">
            <v>MUNICIPIO DE BETANIA</v>
          </cell>
          <cell r="K5701">
            <v>80796835</v>
          </cell>
        </row>
        <row r="5702">
          <cell r="I5702">
            <v>890980807</v>
          </cell>
          <cell r="J5702" t="str">
            <v>MUNICIPIO DE GIRARDOTA</v>
          </cell>
          <cell r="K5702">
            <v>270202681</v>
          </cell>
        </row>
        <row r="5703">
          <cell r="I5703">
            <v>890980821</v>
          </cell>
          <cell r="J5703" t="str">
            <v>IE NORMAL SUPERIOR MARIANO OSPINA RODRIGUEZ - Fredonia</v>
          </cell>
          <cell r="K5703">
            <v>49641399</v>
          </cell>
        </row>
        <row r="5704">
          <cell r="I5704">
            <v>890980850</v>
          </cell>
          <cell r="J5704" t="str">
            <v>MUNICIPIO DE SAN ROQUE</v>
          </cell>
          <cell r="K5704">
            <v>176408540</v>
          </cell>
        </row>
        <row r="5705">
          <cell r="I5705">
            <v>890980917</v>
          </cell>
          <cell r="J5705" t="str">
            <v>MUNICIPIO DE EL PEÑOL</v>
          </cell>
          <cell r="K5705">
            <v>146990081</v>
          </cell>
        </row>
        <row r="5706">
          <cell r="I5706">
            <v>890980950</v>
          </cell>
          <cell r="J5706" t="str">
            <v>MUNICIPIO DE MUTATA</v>
          </cell>
          <cell r="K5706">
            <v>304597713</v>
          </cell>
        </row>
        <row r="5707">
          <cell r="I5707">
            <v>890980958</v>
          </cell>
          <cell r="J5707" t="str">
            <v>MUNICIPIO DE MACEO</v>
          </cell>
          <cell r="K5707">
            <v>81844973</v>
          </cell>
        </row>
        <row r="5708">
          <cell r="I5708">
            <v>890980998</v>
          </cell>
          <cell r="J5708" t="str">
            <v>MUNICIPIO DE CHIGORODO</v>
          </cell>
          <cell r="K5708">
            <v>688202928</v>
          </cell>
        </row>
        <row r="5709">
          <cell r="I5709">
            <v>890981000</v>
          </cell>
          <cell r="J5709" t="str">
            <v>MUNICIPIO DE PUERTO NARE</v>
          </cell>
          <cell r="K5709">
            <v>142739758</v>
          </cell>
        </row>
        <row r="5710">
          <cell r="I5710">
            <v>890981069</v>
          </cell>
          <cell r="J5710" t="str">
            <v>MUNICIPIO DE JERICO</v>
          </cell>
          <cell r="K5710">
            <v>128684325</v>
          </cell>
        </row>
        <row r="5711">
          <cell r="I5711">
            <v>890981105</v>
          </cell>
          <cell r="J5711" t="str">
            <v>MUNICIPIO DE PUEBLO RICO ANTIOQUIA</v>
          </cell>
          <cell r="K5711">
            <v>69107171</v>
          </cell>
        </row>
        <row r="5712">
          <cell r="I5712">
            <v>890981106</v>
          </cell>
          <cell r="J5712" t="str">
            <v>MUNICIPIO DE VALDIVIA</v>
          </cell>
          <cell r="K5712">
            <v>203015239</v>
          </cell>
        </row>
        <row r="5713">
          <cell r="I5713">
            <v>890981107</v>
          </cell>
          <cell r="J5713" t="str">
            <v>MUNICIPIO DE CARACOLI</v>
          </cell>
          <cell r="K5713">
            <v>46415222</v>
          </cell>
        </row>
        <row r="5714">
          <cell r="I5714">
            <v>890981115</v>
          </cell>
          <cell r="J5714" t="str">
            <v>MUNICIPIO DE MONTEBELLO</v>
          </cell>
          <cell r="K5714">
            <v>50976191</v>
          </cell>
        </row>
        <row r="5715">
          <cell r="I5715">
            <v>890981135</v>
          </cell>
          <cell r="J5715" t="str">
            <v>INTISTUCION EDUCATICA ANTONIO ALVAREZ RESTREPO- SONSON</v>
          </cell>
          <cell r="K5715">
            <v>55969879</v>
          </cell>
        </row>
        <row r="5716">
          <cell r="I5716">
            <v>890981138</v>
          </cell>
          <cell r="J5716" t="str">
            <v>MUNICIPIO DE TURBO</v>
          </cell>
          <cell r="K5716">
            <v>53386273957</v>
          </cell>
        </row>
        <row r="5717">
          <cell r="I5717">
            <v>890981140</v>
          </cell>
          <cell r="J5717" t="str">
            <v>IE TEC.INDUSTRIAL JORGE ELIECER GAITAN - Carmen de Viboral</v>
          </cell>
          <cell r="K5717">
            <v>181442337</v>
          </cell>
        </row>
        <row r="5718">
          <cell r="I5718">
            <v>890981143</v>
          </cell>
          <cell r="J5718" t="str">
            <v>IE ESCUELA NORMAL SUPERIOR DE JERICO - Jericó</v>
          </cell>
          <cell r="K5718">
            <v>65201842</v>
          </cell>
        </row>
        <row r="5719">
          <cell r="I5719">
            <v>890981146</v>
          </cell>
          <cell r="J5719" t="str">
            <v>IE TECNICO AGROPECUARIO Y EN SALUD  - Sonsón</v>
          </cell>
          <cell r="K5719">
            <v>93237454</v>
          </cell>
        </row>
        <row r="5720">
          <cell r="I5720">
            <v>890981150</v>
          </cell>
          <cell r="J5720" t="str">
            <v>MUNICIPIO DE ZARAGOZA</v>
          </cell>
          <cell r="K5720">
            <v>531897716</v>
          </cell>
        </row>
        <row r="5721">
          <cell r="I5721">
            <v>890981162</v>
          </cell>
          <cell r="J5721" t="str">
            <v>MUNICIPIO DE GUADALUPE</v>
          </cell>
          <cell r="K5721">
            <v>59021151</v>
          </cell>
        </row>
        <row r="5722">
          <cell r="I5722">
            <v>890981195</v>
          </cell>
          <cell r="J5722" t="str">
            <v>MUNICIPIO DE ABEJORRAL</v>
          </cell>
          <cell r="K5722">
            <v>147271670</v>
          </cell>
        </row>
        <row r="5723">
          <cell r="I5723">
            <v>890981207</v>
          </cell>
          <cell r="J5723" t="str">
            <v>MUNICIPIO DE LA CEJA</v>
          </cell>
          <cell r="K5723">
            <v>352956387</v>
          </cell>
        </row>
        <row r="5724">
          <cell r="I5724">
            <v>890981238</v>
          </cell>
          <cell r="J5724" t="str">
            <v>MUNICIPIO DE TAMESIS</v>
          </cell>
          <cell r="K5724">
            <v>143169670</v>
          </cell>
        </row>
        <row r="5725">
          <cell r="I5725">
            <v>890981251</v>
          </cell>
          <cell r="J5725" t="str">
            <v>MUNICIPIO DE ABRIAQUI</v>
          </cell>
          <cell r="K5725">
            <v>19557223</v>
          </cell>
        </row>
        <row r="5726">
          <cell r="I5726">
            <v>890981367</v>
          </cell>
          <cell r="J5726" t="str">
            <v>MUNICIPIO DE TOLEDO</v>
          </cell>
          <cell r="K5726">
            <v>66398388</v>
          </cell>
        </row>
        <row r="5727">
          <cell r="I5727">
            <v>890981391</v>
          </cell>
          <cell r="J5727" t="str">
            <v>MUNICIPIO DE SEGOVIA</v>
          </cell>
          <cell r="K5727">
            <v>346599561</v>
          </cell>
        </row>
        <row r="5728">
          <cell r="I5728">
            <v>890981415</v>
          </cell>
          <cell r="J5728" t="str">
            <v>INSTITUCION EDUCATIVA MANUEL JOSE CAYZEDO</v>
          </cell>
          <cell r="K5728">
            <v>52040436</v>
          </cell>
        </row>
        <row r="5729">
          <cell r="I5729">
            <v>890981421</v>
          </cell>
          <cell r="J5729" t="str">
            <v>institucion educativa san fernando</v>
          </cell>
          <cell r="K5729">
            <v>185519972</v>
          </cell>
        </row>
        <row r="5730">
          <cell r="I5730">
            <v>890981493</v>
          </cell>
          <cell r="J5730" t="str">
            <v>MUNICIPIO DE ANGELOPOLIS</v>
          </cell>
          <cell r="K5730">
            <v>49122304</v>
          </cell>
        </row>
        <row r="5731">
          <cell r="I5731">
            <v>890981518</v>
          </cell>
          <cell r="J5731" t="str">
            <v>MUNICIPIO DE AMALFI</v>
          </cell>
          <cell r="K5731">
            <v>239147034</v>
          </cell>
        </row>
        <row r="5732">
          <cell r="I5732">
            <v>890981554</v>
          </cell>
          <cell r="J5732" t="str">
            <v>MUNICIPIO SANTA ROSA DE OSOS</v>
          </cell>
          <cell r="K5732">
            <v>279536390</v>
          </cell>
        </row>
        <row r="5733">
          <cell r="I5733">
            <v>890981567</v>
          </cell>
          <cell r="J5733" t="str">
            <v>MUNICIPIO DE CACERES</v>
          </cell>
          <cell r="K5733">
            <v>513962127</v>
          </cell>
        </row>
        <row r="5734">
          <cell r="I5734">
            <v>890981732</v>
          </cell>
          <cell r="J5734" t="str">
            <v>MUNICIPIO DE AMAGA</v>
          </cell>
          <cell r="K5734">
            <v>227838926</v>
          </cell>
        </row>
        <row r="5735">
          <cell r="I5735">
            <v>890981786</v>
          </cell>
          <cell r="J5735" t="str">
            <v>MUNICIPIO DE ARGELIA</v>
          </cell>
          <cell r="K5735">
            <v>97755945</v>
          </cell>
        </row>
        <row r="5736">
          <cell r="I5736">
            <v>890981868</v>
          </cell>
          <cell r="J5736" t="str">
            <v>MUNICIPIO DE SAN ANDRES DE CUERQUIA</v>
          </cell>
          <cell r="K5736">
            <v>65858597</v>
          </cell>
        </row>
        <row r="5737">
          <cell r="I5737">
            <v>890981880</v>
          </cell>
          <cell r="J5737" t="str">
            <v>MUNICIPIO DE BELMIRA</v>
          </cell>
          <cell r="K5737">
            <v>61572847</v>
          </cell>
        </row>
        <row r="5738">
          <cell r="I5738">
            <v>890981995</v>
          </cell>
          <cell r="J5738" t="str">
            <v>MUNICIPIO DE LA UNION</v>
          </cell>
          <cell r="K5738">
            <v>142783599</v>
          </cell>
        </row>
        <row r="5739">
          <cell r="I5739">
            <v>890982055</v>
          </cell>
          <cell r="J5739" t="str">
            <v>MUNICIPIO DE GUARNE</v>
          </cell>
          <cell r="K5739">
            <v>255992100</v>
          </cell>
        </row>
        <row r="5740">
          <cell r="I5740">
            <v>890982062</v>
          </cell>
          <cell r="J5740" t="str">
            <v>IE AGRICOLA VICTOR MANUEL OROZCO - Támesis</v>
          </cell>
          <cell r="K5740">
            <v>66896464</v>
          </cell>
        </row>
        <row r="5741">
          <cell r="I5741">
            <v>890982068</v>
          </cell>
          <cell r="J5741" t="str">
            <v>MUNICIPIO DE ENTRERRIOS</v>
          </cell>
          <cell r="K5741">
            <v>70807982</v>
          </cell>
        </row>
        <row r="5742">
          <cell r="I5742">
            <v>890982123</v>
          </cell>
          <cell r="J5742" t="str">
            <v>MUNICIPIO DE SAN RAFAEL</v>
          </cell>
          <cell r="K5742">
            <v>150037307</v>
          </cell>
        </row>
        <row r="5743">
          <cell r="I5743">
            <v>890982141</v>
          </cell>
          <cell r="J5743" t="str">
            <v>MUNICIPIO DE ANGOSTURA</v>
          </cell>
          <cell r="K5743">
            <v>152828095</v>
          </cell>
        </row>
        <row r="5744">
          <cell r="I5744">
            <v>890982147</v>
          </cell>
          <cell r="J5744" t="str">
            <v>MUNICIPIO DE CAMPAMENTO</v>
          </cell>
          <cell r="K5744">
            <v>148966510</v>
          </cell>
        </row>
        <row r="5745">
          <cell r="I5745">
            <v>890982238</v>
          </cell>
          <cell r="J5745" t="str">
            <v>MUNICIPIO DE CAÑASGORDAS</v>
          </cell>
          <cell r="K5745">
            <v>175678384</v>
          </cell>
        </row>
        <row r="5746">
          <cell r="I5746">
            <v>890982261</v>
          </cell>
          <cell r="J5746" t="str">
            <v>MUNICIPIO DE CONCORDIA</v>
          </cell>
          <cell r="K5746">
            <v>158819976</v>
          </cell>
        </row>
        <row r="5747">
          <cell r="I5747">
            <v>890982278</v>
          </cell>
          <cell r="J5747" t="str">
            <v>MUNICIPIO DE ITUANGO</v>
          </cell>
          <cell r="K5747">
            <v>349619193</v>
          </cell>
        </row>
        <row r="5748">
          <cell r="I5748">
            <v>890982294</v>
          </cell>
          <cell r="J5748" t="str">
            <v>MUNICIPIO DE JARDIN</v>
          </cell>
          <cell r="K5748">
            <v>111531735</v>
          </cell>
        </row>
        <row r="5749">
          <cell r="I5749">
            <v>890982301</v>
          </cell>
          <cell r="J5749" t="str">
            <v>MUNICIPIO DE PEQUE</v>
          </cell>
          <cell r="K5749">
            <v>107019780</v>
          </cell>
        </row>
        <row r="5750">
          <cell r="I5750">
            <v>890982321</v>
          </cell>
          <cell r="J5750" t="str">
            <v>MUNICIPIO DE BETULIA   ANTIOQUIA</v>
          </cell>
          <cell r="K5750">
            <v>201500271</v>
          </cell>
        </row>
        <row r="5751">
          <cell r="I5751">
            <v>890982489</v>
          </cell>
          <cell r="J5751" t="str">
            <v>MUNICIPIO DE ANORI</v>
          </cell>
          <cell r="K5751">
            <v>189622160</v>
          </cell>
        </row>
        <row r="5752">
          <cell r="I5752">
            <v>890982494</v>
          </cell>
          <cell r="J5752" t="str">
            <v>MUNICIPIO DE HELICONIA</v>
          </cell>
          <cell r="K5752">
            <v>44897601</v>
          </cell>
        </row>
        <row r="5753">
          <cell r="I5753">
            <v>890982506</v>
          </cell>
          <cell r="J5753" t="str">
            <v>MUNICIPIO SAN VICENTE FERRER</v>
          </cell>
          <cell r="K5753">
            <v>160205136</v>
          </cell>
        </row>
        <row r="5754">
          <cell r="I5754">
            <v>890982566</v>
          </cell>
          <cell r="J5754" t="str">
            <v>MUNICIPIO DE NARIÑO</v>
          </cell>
          <cell r="K5754">
            <v>90491821</v>
          </cell>
        </row>
        <row r="5755">
          <cell r="I5755">
            <v>890982583</v>
          </cell>
          <cell r="J5755" t="str">
            <v>MUNICIPIO DE TARSO</v>
          </cell>
          <cell r="K5755">
            <v>56889385</v>
          </cell>
        </row>
        <row r="5756">
          <cell r="I5756">
            <v>890982616</v>
          </cell>
          <cell r="J5756" t="str">
            <v>MUNICIPIO CARMEN DE VIBORAL</v>
          </cell>
          <cell r="K5756">
            <v>337805762</v>
          </cell>
        </row>
        <row r="5757">
          <cell r="I5757">
            <v>890983664</v>
          </cell>
          <cell r="J5757" t="str">
            <v>MUNICIPIO DE EBEJICO</v>
          </cell>
          <cell r="K5757">
            <v>111458774</v>
          </cell>
        </row>
        <row r="5758">
          <cell r="I5758">
            <v>890983672</v>
          </cell>
          <cell r="J5758" t="str">
            <v>MUNICIPIO DE LIBORINA</v>
          </cell>
          <cell r="K5758">
            <v>93036615</v>
          </cell>
        </row>
        <row r="5759">
          <cell r="I5759">
            <v>890983674</v>
          </cell>
          <cell r="J5759" t="str">
            <v>MUNICIPIO  EL RETIRO</v>
          </cell>
          <cell r="K5759">
            <v>109316501</v>
          </cell>
        </row>
        <row r="5760">
          <cell r="I5760">
            <v>890983701</v>
          </cell>
          <cell r="J5760" t="str">
            <v>MUNICIPIO DE ALEJANDRIA</v>
          </cell>
          <cell r="K5760">
            <v>33663077</v>
          </cell>
        </row>
        <row r="5761">
          <cell r="I5761">
            <v>890983706</v>
          </cell>
          <cell r="J5761" t="str">
            <v>MUNICIPIO DE FRONTINO</v>
          </cell>
          <cell r="K5761">
            <v>273271026</v>
          </cell>
        </row>
        <row r="5762">
          <cell r="I5762">
            <v>890983716</v>
          </cell>
          <cell r="J5762" t="str">
            <v>MUNICIPIO DE MARINILLA</v>
          </cell>
          <cell r="K5762">
            <v>410024461</v>
          </cell>
        </row>
        <row r="5763">
          <cell r="I5763">
            <v>890983718</v>
          </cell>
          <cell r="J5763" t="str">
            <v>MUNICIPIO DE CONCEPCION</v>
          </cell>
          <cell r="K5763">
            <v>32273080</v>
          </cell>
        </row>
        <row r="5764">
          <cell r="I5764">
            <v>890983728</v>
          </cell>
          <cell r="J5764" t="str">
            <v>MUNICIPIO DE GRANADA</v>
          </cell>
          <cell r="K5764">
            <v>86580669</v>
          </cell>
        </row>
        <row r="5765">
          <cell r="I5765">
            <v>890983736</v>
          </cell>
          <cell r="J5765" t="str">
            <v>MUNICIPIO DE SABANALARGA</v>
          </cell>
          <cell r="K5765">
            <v>105250040</v>
          </cell>
        </row>
        <row r="5766">
          <cell r="I5766">
            <v>890983740</v>
          </cell>
          <cell r="J5766" t="str">
            <v>MUNICIPIO DE SAN CARLOS</v>
          </cell>
          <cell r="K5766">
            <v>128970611</v>
          </cell>
        </row>
        <row r="5767">
          <cell r="I5767">
            <v>890983763</v>
          </cell>
          <cell r="J5767" t="str">
            <v>MUNICIPIO DE ARMENIA</v>
          </cell>
          <cell r="K5767">
            <v>48598746</v>
          </cell>
        </row>
        <row r="5768">
          <cell r="I5768">
            <v>890983775</v>
          </cell>
          <cell r="J5768" t="str">
            <v>IE FEDERICO ANGEL - Caldas</v>
          </cell>
          <cell r="K5768">
            <v>81738145</v>
          </cell>
        </row>
        <row r="5769">
          <cell r="I5769">
            <v>890983782</v>
          </cell>
          <cell r="J5769" t="str">
            <v>INST EDUC ANA DE CASTRILLON</v>
          </cell>
          <cell r="K5769">
            <v>67942073</v>
          </cell>
        </row>
        <row r="5770">
          <cell r="I5770">
            <v>890983786</v>
          </cell>
          <cell r="J5770" t="str">
            <v>MUNICIPIO DE GIRALDO</v>
          </cell>
          <cell r="K5770">
            <v>58152710</v>
          </cell>
        </row>
        <row r="5771">
          <cell r="I5771">
            <v>890983803</v>
          </cell>
          <cell r="J5771" t="str">
            <v>MUNICIPIO  DE  SANTO  DOMINGO</v>
          </cell>
          <cell r="K5771">
            <v>113267084</v>
          </cell>
        </row>
        <row r="5772">
          <cell r="I5772">
            <v>890983808</v>
          </cell>
          <cell r="J5772" t="str">
            <v>MUNICIPIO DE BURITICA</v>
          </cell>
          <cell r="K5772">
            <v>102772404</v>
          </cell>
        </row>
        <row r="5773">
          <cell r="I5773">
            <v>890983813</v>
          </cell>
          <cell r="J5773" t="str">
            <v>MUNICIPIO DE EL SANTUARIO</v>
          </cell>
          <cell r="K5773">
            <v>235702845</v>
          </cell>
        </row>
        <row r="5774">
          <cell r="I5774">
            <v>890983814</v>
          </cell>
          <cell r="J5774" t="str">
            <v>MUNICIPIO DE SAN PEDRO DE URABA</v>
          </cell>
          <cell r="K5774">
            <v>838396664</v>
          </cell>
        </row>
        <row r="5775">
          <cell r="I5775">
            <v>890983824</v>
          </cell>
          <cell r="J5775" t="str">
            <v>MUNICIPIO DE ANZA</v>
          </cell>
          <cell r="K5775">
            <v>64765638</v>
          </cell>
        </row>
        <row r="5776">
          <cell r="I5776">
            <v>890983830</v>
          </cell>
          <cell r="J5776" t="str">
            <v>MUNICIPIO DE GUATAPE</v>
          </cell>
          <cell r="K5776">
            <v>53032084</v>
          </cell>
        </row>
        <row r="5777">
          <cell r="I5777">
            <v>890983873</v>
          </cell>
          <cell r="J5777" t="str">
            <v>MUNICIPIO DE NECOCLI</v>
          </cell>
          <cell r="K5777">
            <v>1032121160</v>
          </cell>
        </row>
        <row r="5778">
          <cell r="I5778">
            <v>890983922</v>
          </cell>
          <cell r="J5778" t="str">
            <v>MUNICIPIO DE SAN PEDRO DE LOS MILAGROS</v>
          </cell>
          <cell r="K5778">
            <v>203298291</v>
          </cell>
        </row>
        <row r="5779">
          <cell r="I5779">
            <v>890983938</v>
          </cell>
          <cell r="J5779" t="str">
            <v>MUNICIPIO DE GOMEZ PLATA</v>
          </cell>
          <cell r="K5779">
            <v>90091456</v>
          </cell>
        </row>
        <row r="5780">
          <cell r="I5780">
            <v>890984030</v>
          </cell>
          <cell r="J5780" t="str">
            <v>MUNICIPIO DE YOLOMBO ANTIOQUIA</v>
          </cell>
          <cell r="K5780">
            <v>196860335</v>
          </cell>
        </row>
        <row r="5781">
          <cell r="I5781">
            <v>890984043</v>
          </cell>
          <cell r="J5781" t="str">
            <v>MUNICIPIO DE DONMATIAS</v>
          </cell>
          <cell r="K5781">
            <v>139677678</v>
          </cell>
        </row>
        <row r="5782">
          <cell r="I5782">
            <v>890984068</v>
          </cell>
          <cell r="J5782" t="str">
            <v>MUNICIPIO DE CAROLINA DEL PRINCIPE</v>
          </cell>
          <cell r="K5782">
            <v>44586185</v>
          </cell>
        </row>
        <row r="5783">
          <cell r="I5783">
            <v>890984132</v>
          </cell>
          <cell r="J5783" t="str">
            <v>MUNICIPIO NUEVA CARAMANTA</v>
          </cell>
          <cell r="K5783">
            <v>47341175</v>
          </cell>
        </row>
        <row r="5784">
          <cell r="I5784">
            <v>890984161</v>
          </cell>
          <cell r="J5784" t="str">
            <v>MUNICIPIO DE OLAYA</v>
          </cell>
          <cell r="K5784">
            <v>29115128</v>
          </cell>
        </row>
        <row r="5785">
          <cell r="I5785">
            <v>890984186</v>
          </cell>
          <cell r="J5785" t="str">
            <v>MUNICIPIO DE VALPARAISO</v>
          </cell>
          <cell r="K5785">
            <v>54044256</v>
          </cell>
        </row>
        <row r="5786">
          <cell r="I5786">
            <v>890984221</v>
          </cell>
          <cell r="J5786" t="str">
            <v>MUNICIPIO DE EL BAGRE</v>
          </cell>
          <cell r="K5786">
            <v>780773343</v>
          </cell>
        </row>
        <row r="5787">
          <cell r="I5787">
            <v>890984224</v>
          </cell>
          <cell r="J5787" t="str">
            <v>MUNICIPIO DE CAICEDO</v>
          </cell>
          <cell r="K5787">
            <v>100402701</v>
          </cell>
        </row>
        <row r="5788">
          <cell r="I5788">
            <v>890984265</v>
          </cell>
          <cell r="J5788" t="str">
            <v>MUNICIPIO DE YONDO</v>
          </cell>
          <cell r="K5788">
            <v>208977601</v>
          </cell>
        </row>
        <row r="5789">
          <cell r="I5789">
            <v>890984295</v>
          </cell>
          <cell r="J5789" t="str">
            <v>MUNICIPIO DE TARAZA</v>
          </cell>
          <cell r="K5789">
            <v>499270009</v>
          </cell>
        </row>
        <row r="5790">
          <cell r="I5790">
            <v>890984312</v>
          </cell>
          <cell r="J5790" t="str">
            <v>MUNICIPIO DE REMEDIOS</v>
          </cell>
          <cell r="K5790">
            <v>359634779</v>
          </cell>
        </row>
        <row r="5791">
          <cell r="I5791">
            <v>890984575</v>
          </cell>
          <cell r="J5791" t="str">
            <v>MUNICIPIO DE URAMITA</v>
          </cell>
          <cell r="K5791">
            <v>100001671</v>
          </cell>
        </row>
        <row r="5792">
          <cell r="I5792">
            <v>890984634</v>
          </cell>
          <cell r="J5792" t="str">
            <v>MUNICIPIO DE COCORNA</v>
          </cell>
          <cell r="K5792">
            <v>127678425</v>
          </cell>
        </row>
        <row r="5793">
          <cell r="I5793">
            <v>890984882</v>
          </cell>
          <cell r="J5793" t="str">
            <v>MUNICIPIO DE MURINDO</v>
          </cell>
          <cell r="K5793">
            <v>119057960</v>
          </cell>
        </row>
        <row r="5794">
          <cell r="I5794">
            <v>890984986</v>
          </cell>
          <cell r="J5794" t="str">
            <v>MUNICIPIO DE HISPANIA</v>
          </cell>
          <cell r="K5794">
            <v>47333657</v>
          </cell>
        </row>
        <row r="5795">
          <cell r="I5795">
            <v>890985135</v>
          </cell>
          <cell r="J5795" t="str">
            <v>INST EDUC JAVIERA LONDOO</v>
          </cell>
          <cell r="K5795">
            <v>176817620</v>
          </cell>
        </row>
        <row r="5796">
          <cell r="I5796">
            <v>890985285</v>
          </cell>
          <cell r="J5796" t="str">
            <v>MUNICIPIO DE VEGACHI</v>
          </cell>
          <cell r="K5796">
            <v>139281184</v>
          </cell>
        </row>
        <row r="5797">
          <cell r="I5797">
            <v>890985316</v>
          </cell>
          <cell r="J5797" t="str">
            <v>MUNICIPIO DE CAREPA</v>
          </cell>
          <cell r="K5797">
            <v>604554636</v>
          </cell>
        </row>
        <row r="5798">
          <cell r="I5798">
            <v>890985623</v>
          </cell>
          <cell r="J5798" t="str">
            <v>MUNICIPIO DE ARBOLETES</v>
          </cell>
          <cell r="K5798">
            <v>675674951</v>
          </cell>
        </row>
        <row r="5799">
          <cell r="I5799">
            <v>891000782</v>
          </cell>
          <cell r="J5799" t="str">
            <v>COLEGIO NACIONAL JOSE MARIA CORDOBA</v>
          </cell>
          <cell r="K5799">
            <v>204638622</v>
          </cell>
        </row>
        <row r="5800">
          <cell r="I5800">
            <v>891000885</v>
          </cell>
          <cell r="J5800" t="str">
            <v>INSTITUCION EDUCATIVA INEM LORENZO MARIA LLERAS</v>
          </cell>
          <cell r="K5800">
            <v>139949228</v>
          </cell>
        </row>
        <row r="5801">
          <cell r="I5801">
            <v>891080065</v>
          </cell>
          <cell r="J5801" t="str">
            <v>INSTITUCION EDUCATIVA NUESTRA SEÑORA DEL CARMEN</v>
          </cell>
          <cell r="K5801">
            <v>155863085</v>
          </cell>
        </row>
        <row r="5802">
          <cell r="I5802">
            <v>891100708</v>
          </cell>
          <cell r="J5802" t="str">
            <v>I.E. PAULO VI</v>
          </cell>
          <cell r="K5802">
            <v>54533786</v>
          </cell>
        </row>
        <row r="5803">
          <cell r="I5803">
            <v>891100813</v>
          </cell>
          <cell r="J5803" t="str">
            <v>I.E. JOSE ACEVEDO Y GOMEZ</v>
          </cell>
          <cell r="K5803">
            <v>137410708</v>
          </cell>
        </row>
        <row r="5804">
          <cell r="I5804">
            <v>891100818</v>
          </cell>
          <cell r="J5804" t="str">
            <v>Institución Educativa Inem Julian Motta Salas</v>
          </cell>
          <cell r="K5804">
            <v>193620345</v>
          </cell>
        </row>
        <row r="5805">
          <cell r="I5805">
            <v>891101322</v>
          </cell>
          <cell r="J5805" t="str">
            <v>I.E. SAN JUAN BOSCO</v>
          </cell>
          <cell r="K5805">
            <v>83226178</v>
          </cell>
        </row>
        <row r="5806">
          <cell r="I5806">
            <v>891101470</v>
          </cell>
          <cell r="J5806" t="str">
            <v>INSTITUCION EDUCATIVA EL TEJAR</v>
          </cell>
          <cell r="K5806">
            <v>56532792</v>
          </cell>
        </row>
        <row r="5807">
          <cell r="I5807">
            <v>891101973</v>
          </cell>
          <cell r="J5807" t="str">
            <v>INSTITUCION EDUCATIVA MARILLAC</v>
          </cell>
          <cell r="K5807">
            <v>86146284</v>
          </cell>
        </row>
        <row r="5808">
          <cell r="I5808">
            <v>891102081</v>
          </cell>
          <cell r="J5808" t="str">
            <v>I.E. ESTEBAN ROJAS TOVAR MPIO TARQUI GASTOS FUNC.SEDES LEY</v>
          </cell>
          <cell r="K5808">
            <v>95047908</v>
          </cell>
        </row>
        <row r="5809">
          <cell r="I5809">
            <v>891102218</v>
          </cell>
          <cell r="J5809" t="str">
            <v>INSTITUCION EDUACTIVA OLIVERIO LARA BORRERO</v>
          </cell>
          <cell r="K5809">
            <v>202931481</v>
          </cell>
        </row>
        <row r="5810">
          <cell r="I5810">
            <v>891102345</v>
          </cell>
          <cell r="J5810" t="str">
            <v>I.E. JENARO JORDAN DIAZ</v>
          </cell>
          <cell r="K5810">
            <v>145832829</v>
          </cell>
        </row>
        <row r="5811">
          <cell r="I5811">
            <v>891102356</v>
          </cell>
          <cell r="J5811" t="str">
            <v>INSTITUCION EDUCATIVA TECNICO AGRICOLA</v>
          </cell>
          <cell r="K5811">
            <v>88605043</v>
          </cell>
        </row>
        <row r="5812">
          <cell r="I5812">
            <v>891102364</v>
          </cell>
          <cell r="J5812" t="str">
            <v>FSE I.E. ANA ELISA CUENCA LARA</v>
          </cell>
          <cell r="K5812">
            <v>93372835</v>
          </cell>
        </row>
        <row r="5813">
          <cell r="I5813">
            <v>891102505</v>
          </cell>
          <cell r="J5813" t="str">
            <v>I.E. MARIA AUXILIADORA</v>
          </cell>
          <cell r="K5813">
            <v>70458685</v>
          </cell>
        </row>
        <row r="5814">
          <cell r="I5814">
            <v>891102755</v>
          </cell>
          <cell r="J5814" t="str">
            <v>Institucion Educativa Luis Ignacio Andrade</v>
          </cell>
          <cell r="K5814">
            <v>41719117</v>
          </cell>
        </row>
        <row r="5815">
          <cell r="I5815">
            <v>891102764</v>
          </cell>
          <cell r="J5815" t="str">
            <v>MUNICIPIO DE PALESTINA</v>
          </cell>
          <cell r="K5815">
            <v>123631613</v>
          </cell>
        </row>
        <row r="5816">
          <cell r="I5816">
            <v>891102781</v>
          </cell>
          <cell r="J5816" t="str">
            <v>I.E.PACARNI</v>
          </cell>
          <cell r="K5816">
            <v>52501614</v>
          </cell>
        </row>
        <row r="5817">
          <cell r="I5817">
            <v>891102844</v>
          </cell>
          <cell r="J5817" t="str">
            <v>MUNICIPIO DE NATAGA</v>
          </cell>
          <cell r="K5817">
            <v>83910190</v>
          </cell>
        </row>
        <row r="5818">
          <cell r="I5818">
            <v>891102955</v>
          </cell>
          <cell r="J5818" t="str">
            <v>I.E. MARIAS AUXILIADORA DE GUADALUPE</v>
          </cell>
          <cell r="K5818">
            <v>96038916</v>
          </cell>
        </row>
        <row r="5819">
          <cell r="I5819">
            <v>891103081</v>
          </cell>
          <cell r="J5819" t="str">
            <v>FONDO DE SERVICIOS EDUCATIVO I.E. ROBERTO SUAZA MARQUINEZ</v>
          </cell>
          <cell r="K5819">
            <v>98886291</v>
          </cell>
        </row>
        <row r="5820">
          <cell r="I5820">
            <v>891103184</v>
          </cell>
          <cell r="J5820" t="str">
            <v>I.E. LA ASUNCION MPIO DE TELLO</v>
          </cell>
          <cell r="K5820">
            <v>71535295</v>
          </cell>
        </row>
        <row r="5821">
          <cell r="I5821">
            <v>891103205</v>
          </cell>
          <cell r="J5821" t="str">
            <v>FONDO SERVICIOS EDUCATIVO I.E. SANTA JUANA DE ARCO</v>
          </cell>
          <cell r="K5821">
            <v>97834774</v>
          </cell>
        </row>
        <row r="5822">
          <cell r="I5822">
            <v>891103249</v>
          </cell>
          <cell r="J5822" t="str">
            <v>FSE I.E. NICOLAS GARCIA BAHAMON</v>
          </cell>
          <cell r="K5822">
            <v>24230505</v>
          </cell>
        </row>
        <row r="5823">
          <cell r="I5823">
            <v>891103341</v>
          </cell>
          <cell r="J5823" t="str">
            <v>I.DEPARTAMENTAL MARIA AUXILIADORA DE ELIAS</v>
          </cell>
          <cell r="K5823">
            <v>62341337</v>
          </cell>
        </row>
        <row r="5824">
          <cell r="I5824">
            <v>891103346</v>
          </cell>
          <cell r="J5824" t="str">
            <v>I.E. SAN ADOLFO</v>
          </cell>
          <cell r="K5824">
            <v>85209391</v>
          </cell>
        </row>
        <row r="5825">
          <cell r="I5825">
            <v>891103476</v>
          </cell>
          <cell r="J5825" t="str">
            <v>Institución Educativa Tenico IPC Andres Rosa</v>
          </cell>
          <cell r="K5825">
            <v>93464633</v>
          </cell>
        </row>
        <row r="5826">
          <cell r="I5826">
            <v>891103739</v>
          </cell>
          <cell r="J5826" t="str">
            <v>FONDO DE SERVICIOS EDUCATIVO IE MISAEL PASTRANA BORRERO</v>
          </cell>
          <cell r="K5826">
            <v>158499838</v>
          </cell>
        </row>
        <row r="5827">
          <cell r="I5827">
            <v>891103892</v>
          </cell>
          <cell r="J5827" t="str">
            <v>FONDO DE SERVICIOS EDUCATIVO I.E. LUIS  CARLOS TRUJILLO POLANCO</v>
          </cell>
          <cell r="K5827">
            <v>66216473</v>
          </cell>
        </row>
        <row r="5828">
          <cell r="I5828">
            <v>891103910</v>
          </cell>
          <cell r="J5828" t="str">
            <v>Instituciòn Educativa Jose Eustasio Rivera</v>
          </cell>
          <cell r="K5828">
            <v>243102944</v>
          </cell>
        </row>
        <row r="5829">
          <cell r="I5829">
            <v>891104006</v>
          </cell>
          <cell r="J5829" t="str">
            <v>INSTITUCION EDUCATIVA EL ROSARIO</v>
          </cell>
          <cell r="K5829">
            <v>54089852</v>
          </cell>
        </row>
        <row r="5830">
          <cell r="I5830">
            <v>891104086</v>
          </cell>
          <cell r="J5830" t="str">
            <v>I.E. JORGE VILLAMIL ORTEGA FONDO SERVICIOS EDUCATIVO</v>
          </cell>
          <cell r="K5830">
            <v>112351926</v>
          </cell>
        </row>
        <row r="5831">
          <cell r="I5831">
            <v>891104720</v>
          </cell>
          <cell r="J5831" t="str">
            <v>I.E. JORGE ELIECER GAITAN</v>
          </cell>
          <cell r="K5831">
            <v>45748466</v>
          </cell>
        </row>
        <row r="5832">
          <cell r="I5832">
            <v>891104838</v>
          </cell>
          <cell r="J5832" t="str">
            <v>FONDO DE SERVICIOS EDUCATIVO I.E. JOSE HILARIO LOPEZ</v>
          </cell>
          <cell r="K5832">
            <v>99832449</v>
          </cell>
        </row>
        <row r="5833">
          <cell r="I5833">
            <v>891104849</v>
          </cell>
          <cell r="J5833" t="str">
            <v>I.E. GABRIEL PLAZAS FONDO DE SERVICIOS EDUCATIVO</v>
          </cell>
          <cell r="K5833">
            <v>38628446</v>
          </cell>
        </row>
        <row r="5834">
          <cell r="I5834">
            <v>891104948</v>
          </cell>
          <cell r="J5834" t="str">
            <v>Institución Educativa Ceinar</v>
          </cell>
          <cell r="K5834">
            <v>80459325</v>
          </cell>
        </row>
        <row r="5835">
          <cell r="I5835">
            <v>891105195</v>
          </cell>
          <cell r="J5835" t="str">
            <v>I.E. ELISA BARERA DE PASTRANA</v>
          </cell>
          <cell r="K5835">
            <v>80299125</v>
          </cell>
        </row>
        <row r="5836">
          <cell r="I5836">
            <v>891118119</v>
          </cell>
          <cell r="J5836" t="str">
            <v>MUNICIPIO DE CAMPOALEGRE</v>
          </cell>
          <cell r="K5836">
            <v>290640217</v>
          </cell>
        </row>
        <row r="5837">
          <cell r="I5837">
            <v>891180005</v>
          </cell>
          <cell r="J5837" t="str">
            <v>Institución Educativa Santa Librada</v>
          </cell>
          <cell r="K5837">
            <v>72618445</v>
          </cell>
        </row>
        <row r="5838">
          <cell r="I5838">
            <v>891180009</v>
          </cell>
          <cell r="J5838" t="str">
            <v>MUNICIPIO DE NEIVA</v>
          </cell>
          <cell r="K5838">
            <v>90258608330</v>
          </cell>
        </row>
        <row r="5839">
          <cell r="I5839">
            <v>891180016</v>
          </cell>
          <cell r="J5839" t="str">
            <v>INSTITUCION EDUCATIVA LICEO DE SANTA LIBRADA</v>
          </cell>
          <cell r="K5839">
            <v>161173998</v>
          </cell>
        </row>
        <row r="5840">
          <cell r="I5840">
            <v>891180019</v>
          </cell>
          <cell r="J5840" t="str">
            <v>MUNICIPIO DE HOBO</v>
          </cell>
          <cell r="K5840">
            <v>63708652</v>
          </cell>
        </row>
        <row r="5841">
          <cell r="I5841">
            <v>891180020</v>
          </cell>
          <cell r="J5841" t="str">
            <v>Institucion Educativa Departamental Tierra de Promision</v>
          </cell>
          <cell r="K5841">
            <v>117999731</v>
          </cell>
        </row>
        <row r="5842">
          <cell r="I5842">
            <v>891180021</v>
          </cell>
          <cell r="J5842" t="str">
            <v>MUNICIPIO DE PALERMO</v>
          </cell>
          <cell r="K5842">
            <v>222522174</v>
          </cell>
        </row>
        <row r="5843">
          <cell r="I5843">
            <v>891180022</v>
          </cell>
          <cell r="J5843" t="str">
            <v>MUNICIPIO DE GARZON</v>
          </cell>
          <cell r="K5843">
            <v>618549253</v>
          </cell>
        </row>
        <row r="5844">
          <cell r="I5844">
            <v>891180023</v>
          </cell>
          <cell r="J5844" t="str">
            <v>INSTITUCION EDUCATIVA DIVINO SALVADOR</v>
          </cell>
          <cell r="K5844">
            <v>52571091</v>
          </cell>
        </row>
        <row r="5845">
          <cell r="I5845">
            <v>891180024</v>
          </cell>
          <cell r="J5845" t="str">
            <v>MUNICIPIO DE ALGECIRAS</v>
          </cell>
          <cell r="K5845">
            <v>251835717</v>
          </cell>
        </row>
        <row r="5846">
          <cell r="I5846">
            <v>891180028</v>
          </cell>
          <cell r="J5846" t="str">
            <v>MUNICIPIO DE COLOMBIA</v>
          </cell>
          <cell r="K5846">
            <v>97414233</v>
          </cell>
        </row>
        <row r="5847">
          <cell r="I5847">
            <v>891180032</v>
          </cell>
          <cell r="J5847" t="str">
            <v>Institución Educativa Promocion Social</v>
          </cell>
          <cell r="K5847">
            <v>145754626</v>
          </cell>
        </row>
        <row r="5848">
          <cell r="I5848">
            <v>891180040</v>
          </cell>
          <cell r="J5848" t="str">
            <v>MUNICIPIO DE RIVERA</v>
          </cell>
          <cell r="K5848">
            <v>179206104</v>
          </cell>
        </row>
        <row r="5849">
          <cell r="I5849">
            <v>891180056</v>
          </cell>
          <cell r="J5849" t="str">
            <v>MUNICIPIO DE SAN AGUSTIN</v>
          </cell>
          <cell r="K5849">
            <v>305876760</v>
          </cell>
        </row>
        <row r="5850">
          <cell r="I5850">
            <v>891180069</v>
          </cell>
          <cell r="J5850" t="str">
            <v>MUNICIPIO DE ACEVEDO</v>
          </cell>
          <cell r="K5850">
            <v>486653307</v>
          </cell>
        </row>
        <row r="5851">
          <cell r="I5851">
            <v>891180070</v>
          </cell>
          <cell r="J5851" t="str">
            <v>MUNICIPIO DE AIPE</v>
          </cell>
          <cell r="K5851">
            <v>173439343</v>
          </cell>
        </row>
        <row r="5852">
          <cell r="I5852">
            <v>891180076</v>
          </cell>
          <cell r="J5852" t="str">
            <v>MUNICIPIO DE SANTA MARIA</v>
          </cell>
          <cell r="K5852">
            <v>108741682</v>
          </cell>
        </row>
        <row r="5853">
          <cell r="I5853">
            <v>891180077</v>
          </cell>
          <cell r="J5853" t="str">
            <v>MUNICIPIO DE PITALITO</v>
          </cell>
          <cell r="K5853">
            <v>37751608816</v>
          </cell>
        </row>
        <row r="5854">
          <cell r="I5854">
            <v>891180094</v>
          </cell>
          <cell r="J5854" t="str">
            <v>FONDO DE SERVICIO EDUCATIVOS I.E. JUAN XXIII</v>
          </cell>
          <cell r="K5854">
            <v>169565216</v>
          </cell>
        </row>
        <row r="5855">
          <cell r="I5855">
            <v>891180103</v>
          </cell>
          <cell r="J5855" t="str">
            <v>INSTITUCION EDUCATIVA LA SALLE</v>
          </cell>
          <cell r="K5855">
            <v>77366046</v>
          </cell>
        </row>
        <row r="5856">
          <cell r="I5856">
            <v>891180106</v>
          </cell>
          <cell r="J5856" t="str">
            <v>INSTITUCION EDUCATIVA SAN FRANCISCO DE ASIS</v>
          </cell>
          <cell r="K5856">
            <v>100780152</v>
          </cell>
        </row>
        <row r="5857">
          <cell r="I5857">
            <v>891180107</v>
          </cell>
          <cell r="J5857" t="str">
            <v>INSTITUTO TECNICO INDUSTRIAL</v>
          </cell>
          <cell r="K5857">
            <v>204627966</v>
          </cell>
        </row>
        <row r="5858">
          <cell r="I5858">
            <v>891180109</v>
          </cell>
          <cell r="J5858" t="str">
            <v>INSTITUCION EDUCATIVA SIMON BOLIVAR</v>
          </cell>
          <cell r="K5858">
            <v>185357424</v>
          </cell>
        </row>
        <row r="5859">
          <cell r="I5859">
            <v>891180110</v>
          </cell>
          <cell r="J5859" t="str">
            <v>I.E. PROMOCION SOCIAL</v>
          </cell>
          <cell r="K5859">
            <v>82076522</v>
          </cell>
        </row>
        <row r="5860">
          <cell r="I5860">
            <v>891180112</v>
          </cell>
          <cell r="J5860" t="str">
            <v>I.E. LAUREANO GOMEZ</v>
          </cell>
          <cell r="K5860">
            <v>131106100</v>
          </cell>
        </row>
        <row r="5861">
          <cell r="I5861">
            <v>891180115</v>
          </cell>
          <cell r="J5861" t="str">
            <v>INSTITUCION EDUCATIVA NORMAL SUPERIOR</v>
          </cell>
          <cell r="K5861">
            <v>300580352</v>
          </cell>
        </row>
        <row r="5862">
          <cell r="I5862">
            <v>891180118</v>
          </cell>
          <cell r="J5862" t="str">
            <v>MUNICIPIO DE ALTAMIRA</v>
          </cell>
          <cell r="K5862">
            <v>36764644</v>
          </cell>
        </row>
        <row r="5863">
          <cell r="I5863">
            <v>891180127</v>
          </cell>
          <cell r="J5863" t="str">
            <v>MUNICIPIO DE TELLO</v>
          </cell>
          <cell r="K5863">
            <v>142969386</v>
          </cell>
        </row>
        <row r="5864">
          <cell r="I5864">
            <v>891180131</v>
          </cell>
          <cell r="J5864" t="str">
            <v>MUNICIPIO DE IQUIRA</v>
          </cell>
          <cell r="K5864">
            <v>122039379</v>
          </cell>
        </row>
        <row r="5865">
          <cell r="I5865">
            <v>891180132</v>
          </cell>
          <cell r="J5865" t="str">
            <v>MUNICIPIO DE ELIAS</v>
          </cell>
          <cell r="K5865">
            <v>35255843</v>
          </cell>
        </row>
        <row r="5866">
          <cell r="I5866">
            <v>891180133</v>
          </cell>
          <cell r="J5866" t="str">
            <v>I.E. MISAEL PASTRANA BORRERO FONDO DE SERVICIOS EDUCATIVO</v>
          </cell>
          <cell r="K5866">
            <v>67895790</v>
          </cell>
        </row>
        <row r="5867">
          <cell r="I5867">
            <v>891180140</v>
          </cell>
          <cell r="J5867" t="str">
            <v>MUNICIPIO DE RIVERA</v>
          </cell>
          <cell r="K5867">
            <v>162049714</v>
          </cell>
        </row>
        <row r="5868">
          <cell r="I5868">
            <v>891180146</v>
          </cell>
          <cell r="J5868" t="str">
            <v>INSTITUCION EDUCATIVA MUNICPAL HUMBERTO MUÑOZ ORDOÑEZ</v>
          </cell>
          <cell r="K5868">
            <v>227541980</v>
          </cell>
        </row>
        <row r="5869">
          <cell r="I5869">
            <v>891180155</v>
          </cell>
          <cell r="J5869" t="str">
            <v>MUNICIPIO DE LA PLATA</v>
          </cell>
          <cell r="K5869">
            <v>659352764</v>
          </cell>
        </row>
        <row r="5870">
          <cell r="I5870">
            <v>891180161</v>
          </cell>
          <cell r="J5870" t="str">
            <v>I.E. SAN SEBASTIAN</v>
          </cell>
          <cell r="K5870">
            <v>137742221</v>
          </cell>
        </row>
        <row r="5871">
          <cell r="I5871">
            <v>891180174</v>
          </cell>
          <cell r="J5871" t="str">
            <v>I.E. JESUS MARIA AGUIRRE CHARRY DE AIPE</v>
          </cell>
          <cell r="K5871">
            <v>180808121</v>
          </cell>
        </row>
        <row r="5872">
          <cell r="I5872">
            <v>891180176</v>
          </cell>
          <cell r="J5872" t="str">
            <v>MUNICIPIO DE GIGANTE</v>
          </cell>
          <cell r="K5872">
            <v>278766957</v>
          </cell>
        </row>
        <row r="5873">
          <cell r="I5873">
            <v>891180177</v>
          </cell>
          <cell r="J5873" t="str">
            <v>MUNICIPIO DE GUADALUPE</v>
          </cell>
          <cell r="K5873">
            <v>174910953</v>
          </cell>
        </row>
        <row r="5874">
          <cell r="I5874">
            <v>891180180</v>
          </cell>
          <cell r="J5874" t="str">
            <v>MUNICIPIO DE SALADOBLANCO</v>
          </cell>
          <cell r="K5874">
            <v>133358099</v>
          </cell>
        </row>
        <row r="5875">
          <cell r="I5875">
            <v>891180181</v>
          </cell>
          <cell r="J5875" t="str">
            <v>MUNICIPIO DE TERUEL</v>
          </cell>
          <cell r="K5875">
            <v>79734256</v>
          </cell>
        </row>
        <row r="5876">
          <cell r="I5876">
            <v>891180182</v>
          </cell>
          <cell r="J5876" t="str">
            <v>MUNICIPIO DE TIMANA</v>
          </cell>
          <cell r="K5876">
            <v>185146220</v>
          </cell>
        </row>
        <row r="5877">
          <cell r="I5877">
            <v>891180187</v>
          </cell>
          <cell r="J5877" t="str">
            <v>MUNICIPIO DE VILLAVIEJA</v>
          </cell>
          <cell r="K5877">
            <v>71083397</v>
          </cell>
        </row>
        <row r="5878">
          <cell r="I5878">
            <v>891180191</v>
          </cell>
          <cell r="J5878" t="str">
            <v>MUNICIPIO DE SUAZA</v>
          </cell>
          <cell r="K5878">
            <v>248295523</v>
          </cell>
        </row>
        <row r="5879">
          <cell r="I5879">
            <v>891180194</v>
          </cell>
          <cell r="J5879" t="str">
            <v>MUNICIPIO DE PAICOL</v>
          </cell>
          <cell r="K5879">
            <v>56721350</v>
          </cell>
        </row>
        <row r="5880">
          <cell r="I5880">
            <v>891180199</v>
          </cell>
          <cell r="J5880" t="str">
            <v>MUNICIPIO EL PITAL</v>
          </cell>
          <cell r="K5880">
            <v>148464498</v>
          </cell>
        </row>
        <row r="5881">
          <cell r="I5881">
            <v>891180204</v>
          </cell>
          <cell r="J5881" t="str">
            <v>I.E. ANTONIO BARAYA FONDO DE SERVICIOS EDUCATIVO</v>
          </cell>
          <cell r="K5881">
            <v>54101104</v>
          </cell>
        </row>
        <row r="5882">
          <cell r="I5882">
            <v>891180205</v>
          </cell>
          <cell r="J5882" t="str">
            <v>MUNICIPIO DE LA ARGENTINA</v>
          </cell>
          <cell r="K5882">
            <v>143905489</v>
          </cell>
        </row>
        <row r="5883">
          <cell r="I5883">
            <v>891180208</v>
          </cell>
          <cell r="J5883" t="str">
            <v>INSTITUCION EDUCATIVA MUNICIPAL NACIONAL</v>
          </cell>
          <cell r="K5883">
            <v>266327439</v>
          </cell>
        </row>
        <row r="5884">
          <cell r="I5884">
            <v>891180211</v>
          </cell>
          <cell r="J5884" t="str">
            <v>MUNICIPIO DE TARQUI</v>
          </cell>
          <cell r="K5884">
            <v>209224232</v>
          </cell>
        </row>
        <row r="5885">
          <cell r="I5885">
            <v>891180253</v>
          </cell>
          <cell r="J5885" t="str">
            <v>I.E. LA GAITANA</v>
          </cell>
          <cell r="K5885">
            <v>106340132</v>
          </cell>
        </row>
        <row r="5886">
          <cell r="I5886">
            <v>891180257</v>
          </cell>
          <cell r="J5886" t="str">
            <v>I.E. ISMAEL PERDOMO BORRERO</v>
          </cell>
          <cell r="K5886">
            <v>67343087</v>
          </cell>
        </row>
        <row r="5887">
          <cell r="I5887">
            <v>891180264</v>
          </cell>
          <cell r="J5887" t="str">
            <v>Institución Educativa Escuela Normal Superior</v>
          </cell>
          <cell r="K5887">
            <v>169918069</v>
          </cell>
        </row>
        <row r="5888">
          <cell r="I5888">
            <v>891180271</v>
          </cell>
          <cell r="J5888" t="str">
            <v>INSTITUCION EDUCATIVA  JOSE MIGUEL MONTALVO</v>
          </cell>
          <cell r="K5888">
            <v>43790294</v>
          </cell>
        </row>
        <row r="5889">
          <cell r="I5889">
            <v>891190021</v>
          </cell>
          <cell r="J5889" t="str">
            <v>INSTITUTO NACIONAL DE PROMOCION SOCIAL</v>
          </cell>
          <cell r="K5889">
            <v>118266498</v>
          </cell>
        </row>
        <row r="5890">
          <cell r="I5890">
            <v>891190022</v>
          </cell>
          <cell r="J5890" t="str">
            <v>INTERNADO ESCOLAR RURAL SOLITA</v>
          </cell>
          <cell r="K5890">
            <v>68742846</v>
          </cell>
        </row>
        <row r="5891">
          <cell r="I5891">
            <v>891190023</v>
          </cell>
          <cell r="J5891" t="str">
            <v>INSTITUCION EDUCATIVA LA RASTRA</v>
          </cell>
          <cell r="K5891">
            <v>19734710</v>
          </cell>
        </row>
        <row r="5892">
          <cell r="I5892">
            <v>891190239</v>
          </cell>
          <cell r="J5892" t="str">
            <v>Fondo de Servicios Educativa I.E. Jorge Eliecer Gaitan</v>
          </cell>
          <cell r="K5892">
            <v>163501210</v>
          </cell>
        </row>
        <row r="5893">
          <cell r="I5893">
            <v>891190308</v>
          </cell>
          <cell r="J5893" t="str">
            <v>INSTITUCION EDUCATIVA NUESTRA SEÑORA DE LAS MERCEDES</v>
          </cell>
          <cell r="K5893">
            <v>49432528</v>
          </cell>
        </row>
        <row r="5894">
          <cell r="I5894">
            <v>891190319</v>
          </cell>
          <cell r="J5894" t="str">
            <v>I.E.Sagrados Corazones</v>
          </cell>
          <cell r="K5894">
            <v>94230323</v>
          </cell>
        </row>
        <row r="5895">
          <cell r="I5895">
            <v>891190342</v>
          </cell>
          <cell r="J5895" t="str">
            <v>INSTITUCION ACEVEDO Y GOMEZ</v>
          </cell>
          <cell r="K5895">
            <v>105496446</v>
          </cell>
        </row>
        <row r="5896">
          <cell r="I5896">
            <v>891190411</v>
          </cell>
          <cell r="J5896" t="str">
            <v>INSTITUCION EDUCATIVA VALPARAISO</v>
          </cell>
          <cell r="K5896">
            <v>38483212</v>
          </cell>
        </row>
        <row r="5897">
          <cell r="I5897">
            <v>891190431</v>
          </cell>
          <cell r="J5897" t="str">
            <v>MUNICIPIO DE ALBANIA</v>
          </cell>
          <cell r="K5897">
            <v>72973075</v>
          </cell>
        </row>
        <row r="5898">
          <cell r="I5898">
            <v>891190450</v>
          </cell>
          <cell r="J5898" t="str">
            <v>INSTITUCION EDUCATIVA NUESTRA SEÑORA DEL PERPETUO SOCORRO</v>
          </cell>
          <cell r="K5898">
            <v>48442074</v>
          </cell>
        </row>
        <row r="5899">
          <cell r="I5899">
            <v>891190454</v>
          </cell>
          <cell r="J5899" t="str">
            <v>COLEGIO SAGRADOS CORAZONES</v>
          </cell>
          <cell r="K5899">
            <v>143688942</v>
          </cell>
        </row>
        <row r="5900">
          <cell r="I5900">
            <v>891200201</v>
          </cell>
          <cell r="J5900" t="str">
            <v>INSTITUCION EDUCATIVA CIUDAD DE IPIALES</v>
          </cell>
          <cell r="K5900">
            <v>194478805</v>
          </cell>
        </row>
        <row r="5901">
          <cell r="I5901">
            <v>891200360</v>
          </cell>
          <cell r="J5901" t="str">
            <v>INSTITUCION EDUCATIVA SUCRE</v>
          </cell>
          <cell r="K5901">
            <v>184161454</v>
          </cell>
        </row>
        <row r="5902">
          <cell r="I5902">
            <v>891200461</v>
          </cell>
          <cell r="J5902" t="str">
            <v>MUNICIPIO DE PUERTO ASIS</v>
          </cell>
          <cell r="K5902">
            <v>659350153</v>
          </cell>
        </row>
        <row r="5903">
          <cell r="I5903">
            <v>891200513</v>
          </cell>
          <cell r="J5903" t="str">
            <v>MUNICIPIO DE PUERTO LEGUIZAMO</v>
          </cell>
          <cell r="K5903">
            <v>330814540</v>
          </cell>
        </row>
        <row r="5904">
          <cell r="I5904">
            <v>891200564</v>
          </cell>
          <cell r="J5904" t="str">
            <v>I.E SANTO TOMAS DE AQUINO</v>
          </cell>
          <cell r="K5904">
            <v>99686571</v>
          </cell>
        </row>
        <row r="5905">
          <cell r="I5905">
            <v>891200688</v>
          </cell>
          <cell r="J5905" t="str">
            <v>INSTITUCION EDUCATIVA MUNICIPAL CENTRAL DE NARIÑO</v>
          </cell>
          <cell r="K5905">
            <v>97099876</v>
          </cell>
        </row>
        <row r="5906">
          <cell r="I5906">
            <v>891200712</v>
          </cell>
          <cell r="J5906" t="str">
            <v>INSTITUCION EDUCATIVA LUIS IRIZAR SALAZAR</v>
          </cell>
          <cell r="K5906">
            <v>265953543</v>
          </cell>
        </row>
        <row r="5907">
          <cell r="I5907">
            <v>891200730</v>
          </cell>
          <cell r="J5907" t="str">
            <v>INSTITUCION EDUCATIVA NORMAL SUPERIOR LA INMACULADA</v>
          </cell>
          <cell r="K5907">
            <v>330919104</v>
          </cell>
        </row>
        <row r="5908">
          <cell r="I5908">
            <v>891200778</v>
          </cell>
          <cell r="J5908" t="str">
            <v>INSTITUCION EDUCATIVA COLEGIO NUESTRA SEÑORA DE FATIMA</v>
          </cell>
          <cell r="K5908">
            <v>10417872</v>
          </cell>
        </row>
        <row r="5909">
          <cell r="I5909">
            <v>891200889</v>
          </cell>
          <cell r="J5909" t="str">
            <v>INSTITUCION EDUCATIVA FRANCISCO DE PAULA SANTANDER</v>
          </cell>
          <cell r="K5909">
            <v>46772033</v>
          </cell>
        </row>
        <row r="5910">
          <cell r="I5910">
            <v>891200916</v>
          </cell>
          <cell r="J5910" t="str">
            <v>MUNICIPIO DE TUMACO</v>
          </cell>
          <cell r="K5910">
            <v>65243590374</v>
          </cell>
        </row>
        <row r="5911">
          <cell r="I5911">
            <v>891201078</v>
          </cell>
          <cell r="J5911" t="str">
            <v>ISTITUCION EDUCTAIVA SAGRADO CORAZON DE JESUS</v>
          </cell>
          <cell r="K5911">
            <v>17766150</v>
          </cell>
        </row>
        <row r="5912">
          <cell r="I5912">
            <v>891201273</v>
          </cell>
          <cell r="J5912" t="str">
            <v>INSITUCION EDUCATIVA MUNICIPAL MARCO FIDEL SUAREZ</v>
          </cell>
          <cell r="K5912">
            <v>59792428</v>
          </cell>
        </row>
        <row r="5913">
          <cell r="I5913">
            <v>891201287</v>
          </cell>
          <cell r="J5913" t="str">
            <v>INSTITUCION EDUCATIVA RAFAEL URIBE URIBE</v>
          </cell>
          <cell r="K5913">
            <v>101483410</v>
          </cell>
        </row>
        <row r="5914">
          <cell r="I5914">
            <v>891201426</v>
          </cell>
          <cell r="J5914" t="str">
            <v>INSTITUCION EDUCATIVA NUESTRA SEÑORA DEL PILAR</v>
          </cell>
          <cell r="K5914">
            <v>84258041</v>
          </cell>
        </row>
        <row r="5915">
          <cell r="I5915">
            <v>891201429</v>
          </cell>
          <cell r="J5915" t="str">
            <v>INSTITUCION EDUCATIVA DE BACHILLERATO DE LA CRUZ NARIÑO</v>
          </cell>
          <cell r="K5915">
            <v>57206716</v>
          </cell>
        </row>
        <row r="5916">
          <cell r="I5916">
            <v>891201430</v>
          </cell>
          <cell r="J5916" t="str">
            <v>INSTITUCION EDUCATIVA ESCUELA NORMAL SUPERIOR DEL MAYO</v>
          </cell>
          <cell r="K5916">
            <v>85679534</v>
          </cell>
        </row>
        <row r="5917">
          <cell r="I5917">
            <v>891201442</v>
          </cell>
          <cell r="J5917" t="str">
            <v>FONDO E SERV. EDU. IE PIO XII</v>
          </cell>
          <cell r="K5917">
            <v>170921686</v>
          </cell>
        </row>
        <row r="5918">
          <cell r="I5918">
            <v>891201451</v>
          </cell>
          <cell r="J5918" t="str">
            <v>INSTITUCION EDUCATIVA SAN FRANCISCO DE ASIS</v>
          </cell>
          <cell r="K5918">
            <v>88253240</v>
          </cell>
        </row>
        <row r="5919">
          <cell r="I5919">
            <v>891201453</v>
          </cell>
          <cell r="J5919" t="str">
            <v>INSTITUCION EDUCATIVA TECNICA AGROPECUARIA JOSE MARIA HERNANDEZ</v>
          </cell>
          <cell r="K5919">
            <v>57239708</v>
          </cell>
        </row>
        <row r="5920">
          <cell r="I5920">
            <v>891201561</v>
          </cell>
          <cell r="J5920" t="str">
            <v>INSTITUCION EDUCATIVA SAN BARTOLOME DE CORDOBA -FONDOS COMUNES</v>
          </cell>
          <cell r="K5920">
            <v>86412075</v>
          </cell>
        </row>
        <row r="5921">
          <cell r="I5921">
            <v>891201609</v>
          </cell>
          <cell r="J5921" t="str">
            <v>INSTITUCION EDUCATIVA PEDRO LEON TORRES</v>
          </cell>
          <cell r="K5921">
            <v>66776655</v>
          </cell>
        </row>
        <row r="5922">
          <cell r="I5922">
            <v>891201621</v>
          </cell>
          <cell r="J5922" t="str">
            <v>INSTITUTO EDUCATIVO CHACHAGUI</v>
          </cell>
          <cell r="K5922">
            <v>120913960</v>
          </cell>
        </row>
        <row r="5923">
          <cell r="I5923">
            <v>891201645</v>
          </cell>
          <cell r="J5923" t="str">
            <v>MUNICIPIO DE SIBUNDOY</v>
          </cell>
          <cell r="K5923">
            <v>158425554</v>
          </cell>
        </row>
        <row r="5924">
          <cell r="I5924">
            <v>891201658</v>
          </cell>
          <cell r="J5924" t="str">
            <v>FONDO DE SERVICIOS EDUCATIVOS COLEGIO NACIONAL JUAN IGNACIO ORTIZ</v>
          </cell>
          <cell r="K5924">
            <v>74121042</v>
          </cell>
        </row>
        <row r="5925">
          <cell r="I5925">
            <v>891201704</v>
          </cell>
          <cell r="J5925" t="str">
            <v>INSTITUCION EDUCATIVA JORGE ELIECER GAITAN</v>
          </cell>
          <cell r="K5925">
            <v>51523007</v>
          </cell>
        </row>
        <row r="5926">
          <cell r="I5926">
            <v>891201709</v>
          </cell>
          <cell r="J5926" t="str">
            <v>INSTITUCION EDUCATIVA PABLO SEXTO DE TAMINANGO</v>
          </cell>
          <cell r="K5926">
            <v>105583987</v>
          </cell>
        </row>
        <row r="5927">
          <cell r="I5927">
            <v>891201736</v>
          </cell>
          <cell r="J5927" t="str">
            <v>INSTITUCION EDUCATIVA POLICARPA</v>
          </cell>
          <cell r="K5927">
            <v>84713244</v>
          </cell>
        </row>
        <row r="5928">
          <cell r="I5928">
            <v>891201759</v>
          </cell>
          <cell r="J5928" t="str">
            <v>INSTITUCION EDUCATIVA AGUSTIN AGUALONGO</v>
          </cell>
          <cell r="K5928">
            <v>44829980</v>
          </cell>
        </row>
        <row r="5929">
          <cell r="I5929">
            <v>891201859</v>
          </cell>
          <cell r="J5929" t="str">
            <v>I.E JOSE ANTONIO GALAN</v>
          </cell>
          <cell r="K5929">
            <v>54510762</v>
          </cell>
        </row>
        <row r="5930">
          <cell r="I5930">
            <v>891201865</v>
          </cell>
          <cell r="J5930" t="str">
            <v>INSTITUCION EDUCATIVA SAN JUAN BAUTISTA</v>
          </cell>
          <cell r="K5930">
            <v>103765318</v>
          </cell>
        </row>
        <row r="5931">
          <cell r="I5931">
            <v>891201866</v>
          </cell>
          <cell r="J5931" t="str">
            <v>INSTITUCION EDUCATIVA DE DESARROLLO RURAL-FONDO DE SERVICIOS EDUCATIVOS</v>
          </cell>
          <cell r="K5931">
            <v>50002722</v>
          </cell>
        </row>
        <row r="5932">
          <cell r="I5932">
            <v>891201870</v>
          </cell>
          <cell r="J5932" t="str">
            <v>INSTITUCION EDUCATIVA ALMIRANTE PADILLA</v>
          </cell>
          <cell r="K5932">
            <v>52119459</v>
          </cell>
        </row>
        <row r="5933">
          <cell r="I5933">
            <v>891201878</v>
          </cell>
          <cell r="J5933" t="str">
            <v>INSTITUCION EDUCATIVA RICAURTE</v>
          </cell>
          <cell r="K5933">
            <v>140643422</v>
          </cell>
        </row>
        <row r="5934">
          <cell r="I5934">
            <v>891201881</v>
          </cell>
          <cell r="J5934" t="str">
            <v>INSTITUCION EDUCATIVA SAN LUIS GONZAGA</v>
          </cell>
          <cell r="K5934">
            <v>118065887</v>
          </cell>
        </row>
        <row r="5935">
          <cell r="I5935">
            <v>891201892</v>
          </cell>
          <cell r="J5935" t="str">
            <v>INSTITUCION EDUCATIVA NUESTRA SEÑORA DE LAS NIEVES</v>
          </cell>
          <cell r="K5935">
            <v>69183077</v>
          </cell>
        </row>
        <row r="5936">
          <cell r="I5936">
            <v>891201893</v>
          </cell>
          <cell r="J5936" t="str">
            <v>INSTITUCION EDUCATIVA DIEGO LUIS CORDOBA</v>
          </cell>
          <cell r="K5936">
            <v>58179323</v>
          </cell>
        </row>
        <row r="5937">
          <cell r="I5937">
            <v>891201897</v>
          </cell>
          <cell r="J5937" t="str">
            <v>COLEGIO ALVERNIA PUTUMAYO</v>
          </cell>
          <cell r="K5937">
            <v>166454777</v>
          </cell>
        </row>
        <row r="5938">
          <cell r="I5938">
            <v>891201905</v>
          </cell>
          <cell r="J5938" t="str">
            <v>INSTITUCION SANTA TERESITA FONDO SERVICIOS EDUCATIVOS</v>
          </cell>
          <cell r="K5938">
            <v>49164863</v>
          </cell>
        </row>
        <row r="5939">
          <cell r="I5939">
            <v>891201909</v>
          </cell>
          <cell r="J5939" t="str">
            <v>INSTITUCION EDUCATIVA SAGRADO CORAZON DE JESUS</v>
          </cell>
          <cell r="K5939">
            <v>37012404</v>
          </cell>
        </row>
        <row r="5940">
          <cell r="I5940">
            <v>891201930</v>
          </cell>
          <cell r="J5940" t="str">
            <v>INSTITUCION EDUCATIVA CONCENTRACION DE DESARROLLO RURAL YACUANQUER</v>
          </cell>
          <cell r="K5940">
            <v>54769985</v>
          </cell>
        </row>
        <row r="5941">
          <cell r="I5941">
            <v>891202084</v>
          </cell>
          <cell r="J5941" t="str">
            <v>INSTITUCION EDUCATIVA NUESTRA SEÑORA DE BELEN</v>
          </cell>
          <cell r="K5941">
            <v>53512741</v>
          </cell>
        </row>
        <row r="5942">
          <cell r="I5942">
            <v>891202098</v>
          </cell>
          <cell r="J5942" t="str">
            <v>INSTITUCION EDUCATIVA NUESTRA SEÑORA DE LAS MERCEDES</v>
          </cell>
          <cell r="K5942">
            <v>63196364</v>
          </cell>
        </row>
        <row r="5943">
          <cell r="I5943">
            <v>891224071</v>
          </cell>
          <cell r="J5943" t="str">
            <v>INSTITUCION EDUCATIVA MUNICIPAL MERCEDARIO</v>
          </cell>
          <cell r="K5943">
            <v>96937329</v>
          </cell>
        </row>
        <row r="5944">
          <cell r="I5944">
            <v>891224079</v>
          </cell>
          <cell r="J5944" t="str">
            <v>INSTITUCION EDUCATIVA MUNICIPAL NUESTRA SENORA DE GUADALUPE</v>
          </cell>
          <cell r="K5944">
            <v>100403885</v>
          </cell>
        </row>
        <row r="5945">
          <cell r="I5945">
            <v>891224284</v>
          </cell>
          <cell r="J5945" t="str">
            <v>INSTITUCION EDUCATIVA MUNICIPAL AURELIO ARTURO MARTINEZ</v>
          </cell>
          <cell r="K5945">
            <v>59113339</v>
          </cell>
        </row>
        <row r="5946">
          <cell r="I5946">
            <v>891224351</v>
          </cell>
          <cell r="J5946" t="str">
            <v>INSTITUCION EDUCATIVA LOS HEROES-FONDO E.S. EDUCATIVOS</v>
          </cell>
          <cell r="K5946">
            <v>69373167</v>
          </cell>
        </row>
        <row r="5947">
          <cell r="I5947">
            <v>891224354</v>
          </cell>
          <cell r="J5947" t="str">
            <v>INSTITUCION EDUCATIVA SAN JUAN</v>
          </cell>
          <cell r="K5947">
            <v>51334299</v>
          </cell>
        </row>
        <row r="5948">
          <cell r="I5948">
            <v>891224551</v>
          </cell>
          <cell r="J5948" t="str">
            <v>INS EDUC SAN BARTOLOME DE LA FLORIDA</v>
          </cell>
          <cell r="K5948">
            <v>37544598</v>
          </cell>
        </row>
        <row r="5949">
          <cell r="I5949">
            <v>891224703</v>
          </cell>
          <cell r="J5949" t="str">
            <v>INSTITUCION EDUCATIVA MUNICIPAL TECNICO INDUSTRIAL</v>
          </cell>
          <cell r="K5949">
            <v>196795553</v>
          </cell>
        </row>
        <row r="5950">
          <cell r="I5950">
            <v>891280000</v>
          </cell>
          <cell r="J5950" t="str">
            <v>MUNICIPIO DE PASTO</v>
          </cell>
          <cell r="K5950">
            <v>106841009691</v>
          </cell>
        </row>
        <row r="5951">
          <cell r="I5951">
            <v>891281185</v>
          </cell>
          <cell r="J5951" t="str">
            <v>INSTITUCION EDUCATIVA NUESTRA SEÑORA DEL ROSARIO NARIÑO</v>
          </cell>
          <cell r="K5951">
            <v>40460291</v>
          </cell>
        </row>
        <row r="5952">
          <cell r="I5952">
            <v>891365819</v>
          </cell>
          <cell r="J5952" t="str">
            <v>Institucion Educativa Técnico Agrícola Fondo de Servicios Educativos</v>
          </cell>
          <cell r="K5952">
            <v>26797605</v>
          </cell>
        </row>
        <row r="5953">
          <cell r="I5953">
            <v>891380007</v>
          </cell>
          <cell r="J5953" t="str">
            <v xml:space="preserve">MUNICIPIO DE PALMIRA </v>
          </cell>
          <cell r="K5953">
            <v>60950811636</v>
          </cell>
        </row>
        <row r="5954">
          <cell r="I5954">
            <v>891380033</v>
          </cell>
          <cell r="J5954" t="str">
            <v>MUNICIPIO DE BUGA</v>
          </cell>
          <cell r="K5954">
            <v>26757265925</v>
          </cell>
        </row>
        <row r="5955">
          <cell r="I5955">
            <v>891380038</v>
          </cell>
          <cell r="J5955" t="str">
            <v>MUNICIPIO DE CANDELARIA</v>
          </cell>
          <cell r="K5955">
            <v>530557076</v>
          </cell>
        </row>
        <row r="5956">
          <cell r="I5956">
            <v>891380047</v>
          </cell>
          <cell r="J5956" t="str">
            <v>INSTITUCION EDUCATIVA REGIONAL SIMON BOLIVAR</v>
          </cell>
          <cell r="K5956">
            <v>79708514</v>
          </cell>
        </row>
        <row r="5957">
          <cell r="I5957">
            <v>891380072</v>
          </cell>
          <cell r="J5957" t="str">
            <v>Institucion Educativa Narciso Cabal Salcedo</v>
          </cell>
          <cell r="K5957">
            <v>116901384</v>
          </cell>
        </row>
        <row r="5958">
          <cell r="I5958">
            <v>891380089</v>
          </cell>
          <cell r="J5958" t="str">
            <v>MUNICIPIO DE SAN JUAN BAUTISTA DE GUACARI</v>
          </cell>
          <cell r="K5958">
            <v>258921775</v>
          </cell>
        </row>
        <row r="5959">
          <cell r="I5959">
            <v>891380108</v>
          </cell>
          <cell r="J5959" t="str">
            <v>INSTITUCION EDUCATIVA GINEBRA LA SALLE SISBEN 1 Y 2</v>
          </cell>
          <cell r="K5959">
            <v>96040945</v>
          </cell>
        </row>
        <row r="5960">
          <cell r="I5960">
            <v>891380115</v>
          </cell>
          <cell r="J5960" t="str">
            <v>MUNICIPIO DE PRADERA</v>
          </cell>
          <cell r="K5960">
            <v>457431933</v>
          </cell>
        </row>
        <row r="5961">
          <cell r="I5961">
            <v>891380122</v>
          </cell>
          <cell r="J5961" t="str">
            <v>IE JOSE ANTONIO AGUILERA</v>
          </cell>
          <cell r="K5961">
            <v>99609493</v>
          </cell>
        </row>
        <row r="5962">
          <cell r="I5962">
            <v>891380138</v>
          </cell>
          <cell r="J5962" t="str">
            <v>INSTITUCION EDUCATIVA SAGRADO CORAZON</v>
          </cell>
          <cell r="K5962">
            <v>210477718</v>
          </cell>
        </row>
        <row r="5963">
          <cell r="I5963">
            <v>891380159</v>
          </cell>
          <cell r="J5963" t="str">
            <v>INSTITUCION EDUCATIVA JORGE ISAACS</v>
          </cell>
          <cell r="K5963">
            <v>153947283</v>
          </cell>
        </row>
        <row r="5964">
          <cell r="I5964">
            <v>891380167</v>
          </cell>
          <cell r="J5964" t="str">
            <v>IE ESCUELA NORMAL SUPERIOR MIGUEL DE CERVANTES SAAVEDRA</v>
          </cell>
          <cell r="K5964">
            <v>98384537</v>
          </cell>
        </row>
        <row r="5965">
          <cell r="I5965">
            <v>891380219</v>
          </cell>
          <cell r="J5965" t="str">
            <v>I. E. NUESTRA SEÑORA DE LA CANDELARIA</v>
          </cell>
          <cell r="K5965">
            <v>206399806</v>
          </cell>
        </row>
        <row r="5966">
          <cell r="I5966">
            <v>891400757</v>
          </cell>
          <cell r="J5966" t="str">
            <v>INSTITUTO LESTONNAC</v>
          </cell>
          <cell r="K5966">
            <v>64080011</v>
          </cell>
        </row>
        <row r="5967">
          <cell r="I5967">
            <v>891400759</v>
          </cell>
          <cell r="J5967" t="str">
            <v>INSTITUTO AGROPECUARIO VERACRUZ</v>
          </cell>
          <cell r="K5967">
            <v>126025722</v>
          </cell>
        </row>
        <row r="5968">
          <cell r="I5968">
            <v>891401097</v>
          </cell>
          <cell r="J5968" t="str">
            <v>INSTITUCION EDUCATIVA OFICIAL JESUS MARIA ORMAZA</v>
          </cell>
          <cell r="K5968">
            <v>83216495</v>
          </cell>
        </row>
        <row r="5969">
          <cell r="I5969">
            <v>891401155</v>
          </cell>
          <cell r="J5969" t="str">
            <v>INSTITUCION EDUCATIVA FRANCISCO JOSE DE CALDAS</v>
          </cell>
          <cell r="K5969">
            <v>129628161</v>
          </cell>
        </row>
        <row r="5970">
          <cell r="I5970">
            <v>891401224</v>
          </cell>
          <cell r="J5970" t="str">
            <v>INSTITUCION EDUCATIVA TECNOLOGICO DE SANTA ROSA DE CABAL</v>
          </cell>
          <cell r="K5970">
            <v>142943515</v>
          </cell>
        </row>
        <row r="5971">
          <cell r="I5971">
            <v>891401243</v>
          </cell>
          <cell r="J5971" t="str">
            <v>COLEGIO OFICIAL CRISTO REY</v>
          </cell>
          <cell r="K5971">
            <v>108603344</v>
          </cell>
        </row>
        <row r="5972">
          <cell r="I5972">
            <v>891401388</v>
          </cell>
          <cell r="J5972" t="str">
            <v>INSTITUCION EDUCATIVA LORENCITA VILLEGAS DE SANTOS</v>
          </cell>
          <cell r="K5972">
            <v>115874783</v>
          </cell>
        </row>
        <row r="5973">
          <cell r="I5973">
            <v>891401480</v>
          </cell>
          <cell r="J5973" t="str">
            <v>INEM FELIPE PEREZ</v>
          </cell>
          <cell r="K5973">
            <v>180077986</v>
          </cell>
        </row>
        <row r="5974">
          <cell r="I5974">
            <v>891401505</v>
          </cell>
          <cell r="J5974" t="str">
            <v>INSTITUCION EDUCATIVA POPULAR DIOCESANO - FONDO DE SERVICIOS EDUCATIVOS</v>
          </cell>
          <cell r="K5974">
            <v>106023475</v>
          </cell>
        </row>
        <row r="5975">
          <cell r="I5975">
            <v>891401681</v>
          </cell>
          <cell r="J5975" t="str">
            <v>INSTITUCION EDUCATIVA NUCLEO ESCOLAR</v>
          </cell>
          <cell r="K5975">
            <v>72827345</v>
          </cell>
        </row>
        <row r="5976">
          <cell r="I5976">
            <v>891401752</v>
          </cell>
          <cell r="J5976" t="str">
            <v>INSTITUCION EDUCATIVA LICEO DE OCCIDENTE</v>
          </cell>
          <cell r="K5976">
            <v>58679304</v>
          </cell>
        </row>
        <row r="5977">
          <cell r="I5977">
            <v>891401848</v>
          </cell>
          <cell r="J5977" t="str">
            <v>FDO SERV COSTOS EDUC INST EDUC PABLO VI</v>
          </cell>
          <cell r="K5977">
            <v>151434532</v>
          </cell>
        </row>
        <row r="5978">
          <cell r="I5978">
            <v>891407972</v>
          </cell>
          <cell r="J5978" t="str">
            <v>INSTITUCION EDUCATIVA NUESTRA SEÑORA DEL ROSARIO</v>
          </cell>
          <cell r="K5978">
            <v>102723990</v>
          </cell>
        </row>
        <row r="5979">
          <cell r="I5979">
            <v>891408302</v>
          </cell>
          <cell r="J5979" t="str">
            <v>INSTITUCION EDUCATIVA ALFONSO JARAMILLO GUTIERREZ</v>
          </cell>
          <cell r="K5979">
            <v>76125808</v>
          </cell>
        </row>
        <row r="5980">
          <cell r="I5980">
            <v>891408305</v>
          </cell>
          <cell r="J5980" t="str">
            <v>INSTITUTO LA VILLA</v>
          </cell>
          <cell r="K5980">
            <v>30231929</v>
          </cell>
        </row>
        <row r="5981">
          <cell r="I5981">
            <v>891408309</v>
          </cell>
          <cell r="J5981" t="str">
            <v>INSTITUCION EDUCATIVA GONZALO MEJIA ECHEVERRY</v>
          </cell>
          <cell r="K5981">
            <v>95732406</v>
          </cell>
        </row>
        <row r="5982">
          <cell r="I5982">
            <v>891408369</v>
          </cell>
          <cell r="J5982" t="str">
            <v>INSTITUCION EDUCATIVA NUESTRA SEÑORA DE LOS DOLORES</v>
          </cell>
          <cell r="K5982">
            <v>61776046</v>
          </cell>
        </row>
        <row r="5983">
          <cell r="I5983">
            <v>891408480</v>
          </cell>
          <cell r="J5983" t="str">
            <v>INSTITUCION EDUCATIVA SAN FRANCISCO DE ASIS</v>
          </cell>
          <cell r="K5983">
            <v>69325323</v>
          </cell>
        </row>
        <row r="5984">
          <cell r="I5984">
            <v>891408757</v>
          </cell>
          <cell r="J5984" t="str">
            <v>INSTITUCION EDUCATIVA INSTITUTO AGRICOLA MARSELLA</v>
          </cell>
          <cell r="K5984">
            <v>79577739</v>
          </cell>
        </row>
        <row r="5985">
          <cell r="I5985">
            <v>891409839</v>
          </cell>
          <cell r="J5985" t="str">
            <v>INSTITUCION EDUCATIVA PEDRO URIBE MEJIA</v>
          </cell>
          <cell r="K5985">
            <v>96313347</v>
          </cell>
        </row>
        <row r="5986">
          <cell r="I5986">
            <v>891409853</v>
          </cell>
          <cell r="J5986" t="str">
            <v>INSTITUCION EDUCATIVA SAGRADA FAMILIA</v>
          </cell>
          <cell r="K5986">
            <v>65553124</v>
          </cell>
        </row>
        <row r="5987">
          <cell r="I5987">
            <v>891410507</v>
          </cell>
          <cell r="J5987" t="str">
            <v>INSTITUCION EDUCATIVA JUAN HURTADO</v>
          </cell>
          <cell r="K5987">
            <v>168404003</v>
          </cell>
        </row>
        <row r="5988">
          <cell r="I5988">
            <v>891411792</v>
          </cell>
          <cell r="J5988" t="str">
            <v>GIMNASIO RISARALDA</v>
          </cell>
          <cell r="K5988">
            <v>37367478</v>
          </cell>
        </row>
        <row r="5989">
          <cell r="I5989">
            <v>891411813</v>
          </cell>
          <cell r="J5989" t="str">
            <v>ESTABLECIMIENTO EDUCATIVO INSTITUTO KENNEDY</v>
          </cell>
          <cell r="K5989">
            <v>103808766</v>
          </cell>
        </row>
        <row r="5990">
          <cell r="I5990">
            <v>891411829</v>
          </cell>
          <cell r="J5990" t="str">
            <v>FONDOS DOCENTES COMPLEJO EDUCATIVO LA JULITA</v>
          </cell>
          <cell r="K5990">
            <v>107474886</v>
          </cell>
        </row>
        <row r="5991">
          <cell r="I5991">
            <v>891411831</v>
          </cell>
          <cell r="J5991" t="str">
            <v>INSTITUCION EDUCATIVA LA PALMILLA</v>
          </cell>
          <cell r="K5991">
            <v>38868110</v>
          </cell>
        </row>
        <row r="5992">
          <cell r="I5992">
            <v>891411900</v>
          </cell>
          <cell r="J5992" t="str">
            <v>COLEGIO LABOURE FONDO DE SERV DOCEN</v>
          </cell>
          <cell r="K5992">
            <v>123681277</v>
          </cell>
        </row>
        <row r="5993">
          <cell r="I5993">
            <v>891411901</v>
          </cell>
          <cell r="J5993" t="str">
            <v>INSTITUCION EDUCATIVA MARIA AUXILIADORA</v>
          </cell>
          <cell r="K5993">
            <v>85610828</v>
          </cell>
        </row>
        <row r="5994">
          <cell r="I5994">
            <v>891411960</v>
          </cell>
          <cell r="J5994" t="str">
            <v>INSTITUCION EDUCATIVA HERNANDO VELEZ MARULANDA</v>
          </cell>
          <cell r="K5994">
            <v>44510822</v>
          </cell>
        </row>
        <row r="5995">
          <cell r="I5995">
            <v>891412084</v>
          </cell>
          <cell r="J5995" t="str">
            <v>INSTITUCION EDUCATIVA FABIO VASQUEZ BOTERO</v>
          </cell>
          <cell r="K5995">
            <v>130338566</v>
          </cell>
        </row>
        <row r="5996">
          <cell r="I5996">
            <v>891412106</v>
          </cell>
          <cell r="J5996" t="str">
            <v>INSTITUCION EDUCATIVA TAPARCAL</v>
          </cell>
          <cell r="K5996">
            <v>47960209</v>
          </cell>
        </row>
        <row r="5997">
          <cell r="I5997">
            <v>891412146</v>
          </cell>
          <cell r="J5997" t="str">
            <v>INSTITUCION EDUCATIVA INSTITUTO ESTRADA</v>
          </cell>
          <cell r="K5997">
            <v>97557623</v>
          </cell>
        </row>
        <row r="5998">
          <cell r="I5998">
            <v>891412158</v>
          </cell>
          <cell r="J5998" t="str">
            <v>INSTITUCION EDUCATIVA INSTITUTO AGRICOLA ALTO CAUCA</v>
          </cell>
          <cell r="K5998">
            <v>36264528</v>
          </cell>
        </row>
        <row r="5999">
          <cell r="I5999">
            <v>891412182</v>
          </cell>
          <cell r="J5999" t="str">
            <v>FONDOS SERVICIOS DOCENTES COLEGIO J.A. GALAN</v>
          </cell>
          <cell r="K5999">
            <v>144115295</v>
          </cell>
        </row>
        <row r="6000">
          <cell r="I6000">
            <v>891412203</v>
          </cell>
          <cell r="J6000" t="str">
            <v>INSTITUCION EDUCATIVA SAN CLEMENTE</v>
          </cell>
          <cell r="K6000">
            <v>40059648</v>
          </cell>
        </row>
        <row r="6001">
          <cell r="I6001">
            <v>891412208</v>
          </cell>
          <cell r="J6001" t="str">
            <v>INSTITUCION EDUCATIVA AGUSTIN NIETO CABALLERO</v>
          </cell>
          <cell r="K6001">
            <v>131326928</v>
          </cell>
        </row>
        <row r="6002">
          <cell r="I6002">
            <v>891412217</v>
          </cell>
          <cell r="J6002" t="str">
            <v>INSTITUCION EDUCATIVA MARIA REINA</v>
          </cell>
          <cell r="K6002">
            <v>52665492</v>
          </cell>
        </row>
        <row r="6003">
          <cell r="I6003">
            <v>891412224</v>
          </cell>
          <cell r="J6003" t="str">
            <v>INSTITUCION EDUCATIVA COLEGIO DE LA PRESENTACION</v>
          </cell>
          <cell r="K6003">
            <v>80453600</v>
          </cell>
        </row>
        <row r="6004">
          <cell r="I6004">
            <v>891412730</v>
          </cell>
          <cell r="J6004" t="str">
            <v>COLEGIO CARLOTA SANCHEZCOLEGIO</v>
          </cell>
          <cell r="K6004">
            <v>92453619</v>
          </cell>
        </row>
        <row r="6005">
          <cell r="I6005">
            <v>891412779</v>
          </cell>
          <cell r="J6005" t="str">
            <v>INSTITUTO SANTUARIO FONDOS DOCENTES</v>
          </cell>
          <cell r="K6005">
            <v>35242041</v>
          </cell>
        </row>
        <row r="6006">
          <cell r="I6006">
            <v>891412806</v>
          </cell>
          <cell r="J6006" t="str">
            <v>INSTITUCION EDUCATIVA INSTITUTO MARIA UXILIADORA</v>
          </cell>
          <cell r="K6006">
            <v>56299219</v>
          </cell>
        </row>
        <row r="6007">
          <cell r="I6007">
            <v>891412814</v>
          </cell>
          <cell r="J6007" t="str">
            <v>INSTITUCION EDUCATIVA SANTO TOMAS DE AQUINO</v>
          </cell>
          <cell r="K6007">
            <v>46479851</v>
          </cell>
        </row>
        <row r="6008">
          <cell r="I6008">
            <v>891412897</v>
          </cell>
          <cell r="J6008" t="str">
            <v>INSTITUCION EDUCATIVA BERNARDO ARIAS TRUJILLO</v>
          </cell>
          <cell r="K6008">
            <v>87400916</v>
          </cell>
        </row>
        <row r="6009">
          <cell r="I6009">
            <v>891412964</v>
          </cell>
          <cell r="J6009" t="str">
            <v>INSTITUCION EDUCATIVA LICEO GABRIELA MISTRAL</v>
          </cell>
          <cell r="K6009">
            <v>138481459</v>
          </cell>
        </row>
        <row r="6010">
          <cell r="I6010">
            <v>891480022</v>
          </cell>
          <cell r="J6010" t="str">
            <v>MUNICIPIO DE APIA</v>
          </cell>
          <cell r="K6010">
            <v>108791522</v>
          </cell>
        </row>
        <row r="6011">
          <cell r="I6011">
            <v>891480024</v>
          </cell>
          <cell r="J6011" t="str">
            <v>MUNICIPIO DE BELEN DE UMBRIA</v>
          </cell>
          <cell r="K6011">
            <v>251423613</v>
          </cell>
        </row>
        <row r="6012">
          <cell r="I6012">
            <v>891480025</v>
          </cell>
          <cell r="J6012" t="str">
            <v>MUNICIPIO DE GUATICA</v>
          </cell>
          <cell r="K6012">
            <v>122036523</v>
          </cell>
        </row>
        <row r="6013">
          <cell r="I6013">
            <v>891480026</v>
          </cell>
          <cell r="J6013" t="str">
            <v>MUNICIPIO DE LA CELIA</v>
          </cell>
          <cell r="K6013">
            <v>76707806</v>
          </cell>
        </row>
        <row r="6014">
          <cell r="I6014">
            <v>891480027</v>
          </cell>
          <cell r="J6014" t="str">
            <v>MUNICIPIO DE LA VIRGINIA</v>
          </cell>
          <cell r="K6014">
            <v>300507256</v>
          </cell>
        </row>
        <row r="6015">
          <cell r="I6015">
            <v>891480030</v>
          </cell>
          <cell r="J6015" t="str">
            <v>MUNICIPIO DE PEREIRA</v>
          </cell>
          <cell r="K6015">
            <v>110680335346</v>
          </cell>
        </row>
        <row r="6016">
          <cell r="I6016">
            <v>891480031</v>
          </cell>
          <cell r="J6016" t="str">
            <v>MUNICIPIO DE PUEBLO RICO</v>
          </cell>
          <cell r="K6016">
            <v>257396335</v>
          </cell>
        </row>
        <row r="6017">
          <cell r="I6017">
            <v>891480032</v>
          </cell>
          <cell r="J6017" t="str">
            <v>MUNICIPIO DE QUINCHIA</v>
          </cell>
          <cell r="K6017">
            <v>283226475</v>
          </cell>
        </row>
        <row r="6018">
          <cell r="I6018">
            <v>891480033</v>
          </cell>
          <cell r="J6018" t="str">
            <v>MUNICIPIO DE SANTA ROSA DE CABAL</v>
          </cell>
          <cell r="K6018">
            <v>603813504</v>
          </cell>
        </row>
        <row r="6019">
          <cell r="I6019">
            <v>891480034</v>
          </cell>
          <cell r="J6019" t="str">
            <v>MUNICIPIO DE SANTUARIO</v>
          </cell>
          <cell r="K6019">
            <v>132767712</v>
          </cell>
        </row>
        <row r="6020">
          <cell r="I6020">
            <v>891480061</v>
          </cell>
          <cell r="J6020" t="str">
            <v>INSTITUCION EDUCATIVA LA INMACULADA</v>
          </cell>
          <cell r="K6020">
            <v>101619683</v>
          </cell>
        </row>
        <row r="6021">
          <cell r="I6021">
            <v>891480070</v>
          </cell>
          <cell r="J6021" t="str">
            <v>INSTITUCION EDUCATIVA INSTITUTO TECNICO SUPERIOR</v>
          </cell>
          <cell r="K6021">
            <v>215985842</v>
          </cell>
        </row>
        <row r="6022">
          <cell r="I6022">
            <v>891480085</v>
          </cell>
          <cell r="J6022" t="str">
            <v>DEPARTAMENTO DE RISARALDA</v>
          </cell>
          <cell r="K6022">
            <v>83363205503</v>
          </cell>
        </row>
        <row r="6023">
          <cell r="I6023">
            <v>891480088</v>
          </cell>
          <cell r="J6023" t="str">
            <v>INSTITUCION EDUCATIVA DEOGRACIAS CARDONA</v>
          </cell>
          <cell r="K6023">
            <v>76807564</v>
          </cell>
        </row>
        <row r="6024">
          <cell r="I6024">
            <v>891480091</v>
          </cell>
          <cell r="J6024" t="str">
            <v>ESCUELA NORMAL SUPERIOR EL JARDIN DE RISARALDA</v>
          </cell>
          <cell r="K6024">
            <v>81972269</v>
          </cell>
        </row>
        <row r="6025">
          <cell r="I6025">
            <v>891500269</v>
          </cell>
          <cell r="J6025" t="str">
            <v>MUNICIPIO DE SANTANDER DE QUILICHAO</v>
          </cell>
          <cell r="K6025">
            <v>807911307</v>
          </cell>
        </row>
        <row r="6026">
          <cell r="I6026">
            <v>891500375</v>
          </cell>
          <cell r="J6026" t="str">
            <v>Institucion Educativa Gabriela Mistral</v>
          </cell>
          <cell r="K6026">
            <v>135559884</v>
          </cell>
        </row>
        <row r="6027">
          <cell r="I6027">
            <v>891500481</v>
          </cell>
          <cell r="J6027" t="str">
            <v>Institucion Educativa Oficial Francisco Antonio de Ulloa</v>
          </cell>
          <cell r="K6027">
            <v>140662656</v>
          </cell>
        </row>
        <row r="6028">
          <cell r="I6028">
            <v>891500580</v>
          </cell>
          <cell r="J6028" t="str">
            <v>MUNICIPIO DE PUERTO TEJADA</v>
          </cell>
          <cell r="K6028">
            <v>413768733</v>
          </cell>
        </row>
        <row r="6029">
          <cell r="I6029">
            <v>891500721</v>
          </cell>
          <cell r="J6029" t="str">
            <v>MUNICIPIO DE PURACE</v>
          </cell>
          <cell r="K6029">
            <v>182812119</v>
          </cell>
        </row>
        <row r="6030">
          <cell r="I6030">
            <v>891500760</v>
          </cell>
          <cell r="J6030" t="str">
            <v>INSTITUCION EDUCATIVA ALEJANDRO DE HUMBOLDT</v>
          </cell>
          <cell r="K6030">
            <v>84374945</v>
          </cell>
        </row>
        <row r="6031">
          <cell r="I6031">
            <v>891500762</v>
          </cell>
          <cell r="J6031" t="str">
            <v>Institucion Educativa Tecnico Industrial</v>
          </cell>
          <cell r="K6031">
            <v>183856696</v>
          </cell>
        </row>
        <row r="6032">
          <cell r="I6032">
            <v>891500765</v>
          </cell>
          <cell r="J6032" t="str">
            <v>el  instituto nacional  de promoción  social</v>
          </cell>
          <cell r="K6032">
            <v>28285680</v>
          </cell>
        </row>
        <row r="6033">
          <cell r="I6033">
            <v>891500773</v>
          </cell>
          <cell r="J6033" t="str">
            <v>Institucion Educativa La Escuela Normal Superior de Popayan</v>
          </cell>
          <cell r="K6033">
            <v>102311074</v>
          </cell>
        </row>
        <row r="6034">
          <cell r="I6034">
            <v>891500816</v>
          </cell>
          <cell r="J6034" t="str">
            <v>institución educativa técnico tunía</v>
          </cell>
          <cell r="K6034">
            <v>78224454</v>
          </cell>
        </row>
        <row r="6035">
          <cell r="I6035">
            <v>891500832</v>
          </cell>
          <cell r="J6035" t="str">
            <v>INSTITUCION EDUCATIVA JOSE HILARIO LOPEZ</v>
          </cell>
          <cell r="K6035">
            <v>46359746</v>
          </cell>
        </row>
        <row r="6036">
          <cell r="I6036">
            <v>891500839</v>
          </cell>
          <cell r="J6036" t="str">
            <v>INSTITUCION EDUCATIVA  INSTITUTO TECNICO</v>
          </cell>
          <cell r="K6036">
            <v>201914350</v>
          </cell>
        </row>
        <row r="6037">
          <cell r="I6037">
            <v>891500841</v>
          </cell>
          <cell r="J6037" t="str">
            <v>MUNICIPIO DE MIRANDA</v>
          </cell>
          <cell r="K6037">
            <v>328878557</v>
          </cell>
        </row>
        <row r="6038">
          <cell r="I6038">
            <v>891500855</v>
          </cell>
          <cell r="J6038" t="str">
            <v>INSTITUCION EDUCATIVA NORMAL SUPERIOR SANTA CLARA</v>
          </cell>
          <cell r="K6038">
            <v>44840408</v>
          </cell>
        </row>
        <row r="6039">
          <cell r="I6039">
            <v>891500856</v>
          </cell>
          <cell r="J6039" t="str">
            <v>MUNICIPIO DE PIENDAMO</v>
          </cell>
          <cell r="K6039">
            <v>314411314</v>
          </cell>
        </row>
        <row r="6040">
          <cell r="I6040">
            <v>891500864</v>
          </cell>
          <cell r="J6040" t="str">
            <v>MUNICIPIO DE CAJIBIO</v>
          </cell>
          <cell r="K6040">
            <v>470349313</v>
          </cell>
        </row>
        <row r="6041">
          <cell r="I6041">
            <v>891500868</v>
          </cell>
          <cell r="J6041" t="str">
            <v>INSTITUCION EDUCATIVA NORMAL SUPERIOR "ENRIQUE VALLEJO" DE TIERRADENTRO BELALCAZAR,PAEZ-CAUCA</v>
          </cell>
          <cell r="K6041">
            <v>96344054</v>
          </cell>
        </row>
        <row r="6042">
          <cell r="I6042">
            <v>891500869</v>
          </cell>
          <cell r="J6042" t="str">
            <v>MUNICIPIO DE BALBOA</v>
          </cell>
          <cell r="K6042">
            <v>268219266</v>
          </cell>
        </row>
        <row r="6043">
          <cell r="I6043">
            <v>891500887</v>
          </cell>
          <cell r="J6043" t="str">
            <v>MUNICIPIO DE TORIBIO</v>
          </cell>
          <cell r="K6043">
            <v>462150731</v>
          </cell>
        </row>
        <row r="6044">
          <cell r="I6044">
            <v>891500908</v>
          </cell>
          <cell r="J6044" t="str">
            <v>INSTITUCION EDUCATIVA  TECNICO AMBIENTAL FERNANDEZ  GUERRA</v>
          </cell>
          <cell r="K6044">
            <v>179635772</v>
          </cell>
        </row>
        <row r="6045">
          <cell r="I6045">
            <v>891500944</v>
          </cell>
          <cell r="J6045" t="str">
            <v>INSTITUCION EDUCATIVA INSTITUTO NACIONAL MIXTO</v>
          </cell>
          <cell r="K6045">
            <v>105504046</v>
          </cell>
        </row>
        <row r="6046">
          <cell r="I6046">
            <v>891500963</v>
          </cell>
          <cell r="J6046" t="str">
            <v>Institución Educativa Técnico Agropecuaria Francisco J.C.</v>
          </cell>
          <cell r="K6046">
            <v>37389652</v>
          </cell>
        </row>
        <row r="6047">
          <cell r="I6047">
            <v>891500982</v>
          </cell>
          <cell r="J6047" t="str">
            <v>MUNICIPIO DE MORALES</v>
          </cell>
          <cell r="K6047">
            <v>457544808</v>
          </cell>
        </row>
        <row r="6048">
          <cell r="I6048">
            <v>891501047</v>
          </cell>
          <cell r="J6048" t="str">
            <v>MUNICIPIO DE JAMBALO</v>
          </cell>
          <cell r="K6048">
            <v>260482103</v>
          </cell>
        </row>
        <row r="6049">
          <cell r="I6049">
            <v>891501092</v>
          </cell>
          <cell r="J6049" t="str">
            <v>FONDOS DE SERVICIOS EDUCATIVOS INSTITUCION EDUCATIVA MARCO FIDEL SUAREZ</v>
          </cell>
          <cell r="K6049">
            <v>55069260</v>
          </cell>
        </row>
        <row r="6050">
          <cell r="I6050">
            <v>891501236</v>
          </cell>
          <cell r="J6050" t="str">
            <v>INSTITUCION EDUCATIVA AL ARROBLEDA  FONDO DE SERVICIOS EDUCATIVOS</v>
          </cell>
          <cell r="K6050">
            <v>39969559</v>
          </cell>
        </row>
        <row r="6051">
          <cell r="I6051">
            <v>891501276</v>
          </cell>
          <cell r="J6051" t="str">
            <v>FONDO DE SERVICIOS EDUCATIVOS  INCODELCA</v>
          </cell>
          <cell r="K6051">
            <v>88040748</v>
          </cell>
        </row>
        <row r="6052">
          <cell r="I6052">
            <v>891501277</v>
          </cell>
          <cell r="J6052" t="str">
            <v>MUNICIPIO DE SOTARA</v>
          </cell>
          <cell r="K6052">
            <v>116127970</v>
          </cell>
        </row>
        <row r="6053">
          <cell r="I6053">
            <v>891501283</v>
          </cell>
          <cell r="J6053" t="str">
            <v>MUNICIPIO DE CORINTO</v>
          </cell>
          <cell r="K6053">
            <v>326006205</v>
          </cell>
        </row>
        <row r="6054">
          <cell r="I6054">
            <v>891501326</v>
          </cell>
          <cell r="J6054" t="str">
            <v>institución educativa promocion social guanacas</v>
          </cell>
          <cell r="K6054">
            <v>35672916</v>
          </cell>
        </row>
        <row r="6055">
          <cell r="I6055">
            <v>891501567</v>
          </cell>
          <cell r="J6055" t="str">
            <v>CENT EDUC SAN JACINTO</v>
          </cell>
          <cell r="K6055">
            <v>126331320</v>
          </cell>
        </row>
        <row r="6056">
          <cell r="I6056">
            <v>891501582</v>
          </cell>
          <cell r="J6056" t="str">
            <v>INSTITUCION EDUCATIVA FRANCISCO JOSE DE CALDAS</v>
          </cell>
          <cell r="K6056">
            <v>66638436</v>
          </cell>
        </row>
        <row r="6057">
          <cell r="I6057">
            <v>891501590</v>
          </cell>
          <cell r="J6057" t="str">
            <v>REST.ELAR INST.TECNICO DOMINGO BELISARIO GOMEZ-BVR</v>
          </cell>
          <cell r="K6057">
            <v>72800287</v>
          </cell>
        </row>
        <row r="6058">
          <cell r="I6058">
            <v>891501591</v>
          </cell>
          <cell r="J6058" t="str">
            <v>institución educativa guillermo león valencia</v>
          </cell>
          <cell r="K6058">
            <v>62034073</v>
          </cell>
        </row>
        <row r="6059">
          <cell r="I6059">
            <v>891501592</v>
          </cell>
          <cell r="J6059" t="str">
            <v>institución educativa los comuneros</v>
          </cell>
          <cell r="K6059">
            <v>60806838</v>
          </cell>
        </row>
        <row r="6060">
          <cell r="I6060">
            <v>891501593</v>
          </cell>
          <cell r="J6060" t="str">
            <v>Institucion Educativa Tecnico Ortigal</v>
          </cell>
          <cell r="K6060">
            <v>86321822</v>
          </cell>
        </row>
        <row r="6061">
          <cell r="I6061">
            <v>891501605</v>
          </cell>
          <cell r="J6061" t="str">
            <v>COLEGIO CARMEN DE QUINTANA</v>
          </cell>
          <cell r="K6061">
            <v>73106837</v>
          </cell>
        </row>
        <row r="6062">
          <cell r="I6062">
            <v>891501608</v>
          </cell>
          <cell r="J6062" t="str">
            <v>INSTITUCION EDUCATIVA ALMIRANTE PADILLA</v>
          </cell>
          <cell r="K6062">
            <v>122705807</v>
          </cell>
        </row>
        <row r="6063">
          <cell r="I6063">
            <v>891501610</v>
          </cell>
          <cell r="J6063" t="str">
            <v>inst edtiva agrop san francisco javier</v>
          </cell>
          <cell r="K6063">
            <v>52693192</v>
          </cell>
        </row>
        <row r="6064">
          <cell r="I6064">
            <v>891501611</v>
          </cell>
          <cell r="J6064" t="str">
            <v>fondo de servicios educativos institucion agricola jose</v>
          </cell>
          <cell r="K6064">
            <v>19668802</v>
          </cell>
        </row>
        <row r="6065">
          <cell r="I6065">
            <v>891501615</v>
          </cell>
          <cell r="J6065" t="str">
            <v>INSTITUCION EDUCATIVA A NA JOSEFA MORALES DUQUE</v>
          </cell>
          <cell r="K6065">
            <v>184889758</v>
          </cell>
        </row>
        <row r="6066">
          <cell r="I6066">
            <v>891501677</v>
          </cell>
          <cell r="J6066" t="str">
            <v>INSTITUCION EDUCATIVA FIDELINA ECHEVERRY</v>
          </cell>
          <cell r="K6066">
            <v>165778609</v>
          </cell>
        </row>
        <row r="6067">
          <cell r="I6067">
            <v>891501720</v>
          </cell>
          <cell r="J6067" t="str">
            <v>COLEGIO ESCIPION JARAMILLO</v>
          </cell>
          <cell r="K6067">
            <v>84945109</v>
          </cell>
        </row>
        <row r="6068">
          <cell r="I6068">
            <v>891501781</v>
          </cell>
          <cell r="J6068" t="str">
            <v>INSTITUCION EDUCATIVA JUAN XXIII</v>
          </cell>
          <cell r="K6068">
            <v>52804033</v>
          </cell>
        </row>
        <row r="6069">
          <cell r="I6069">
            <v>891502194</v>
          </cell>
          <cell r="J6069" t="str">
            <v>MUNICIPIO DE PATIA</v>
          </cell>
          <cell r="K6069">
            <v>327311026</v>
          </cell>
        </row>
        <row r="6070">
          <cell r="I6070">
            <v>891502397</v>
          </cell>
          <cell r="J6070" t="str">
            <v>MUNICIPIO DE MERCADERES</v>
          </cell>
          <cell r="K6070">
            <v>215256363</v>
          </cell>
        </row>
        <row r="6071">
          <cell r="I6071">
            <v>891502408</v>
          </cell>
          <cell r="J6071" t="str">
            <v>INSTITUCION EDUCATIVA BACHILLERATO PATIA</v>
          </cell>
          <cell r="K6071">
            <v>122169957</v>
          </cell>
        </row>
        <row r="6072">
          <cell r="I6072">
            <v>891502664</v>
          </cell>
          <cell r="J6072" t="str">
            <v>MUNICIPIO DE ALMAGUER</v>
          </cell>
          <cell r="K6072">
            <v>240092832</v>
          </cell>
        </row>
        <row r="6073">
          <cell r="I6073">
            <v>891580006</v>
          </cell>
          <cell r="J6073" t="str">
            <v>MUNICIPIO DE POPAYAN</v>
          </cell>
          <cell r="K6073">
            <v>70867449702</v>
          </cell>
        </row>
        <row r="6074">
          <cell r="I6074">
            <v>891580016</v>
          </cell>
          <cell r="J6074" t="str">
            <v>DEPARTAMENTO DEL CAUCA EN REESTRUCTURACION</v>
          </cell>
          <cell r="K6074">
            <v>407220023278</v>
          </cell>
        </row>
        <row r="6075">
          <cell r="I6075">
            <v>891600062</v>
          </cell>
          <cell r="J6075" t="str">
            <v>MUNICIPIO DE ALTO BAUDO</v>
          </cell>
          <cell r="K6075">
            <v>630656285</v>
          </cell>
        </row>
        <row r="6076">
          <cell r="I6076">
            <v>891600101</v>
          </cell>
          <cell r="J6076" t="str">
            <v>COLEGIO  MANUEL  SANTA  COLOMA</v>
          </cell>
          <cell r="K6076">
            <v>83250625</v>
          </cell>
        </row>
        <row r="6077">
          <cell r="I6077">
            <v>891600108</v>
          </cell>
          <cell r="J6077" t="str">
            <v>INSTITUCION EDUCATIVA  AGRICOLA EL VALLE CHOCO</v>
          </cell>
          <cell r="K6077">
            <v>25609062</v>
          </cell>
        </row>
        <row r="6078">
          <cell r="I6078">
            <v>891680010</v>
          </cell>
          <cell r="J6078" t="str">
            <v>GOBERNACION DEL CHOCO</v>
          </cell>
          <cell r="K6078">
            <v>166168375004</v>
          </cell>
        </row>
        <row r="6079">
          <cell r="I6079">
            <v>891680011</v>
          </cell>
          <cell r="J6079" t="str">
            <v>MUNICIPIO DE QUIBDO</v>
          </cell>
          <cell r="K6079">
            <v>58862857300</v>
          </cell>
        </row>
        <row r="6080">
          <cell r="I6080">
            <v>891680050</v>
          </cell>
          <cell r="J6080" t="str">
            <v>MUNICIPIO DE ACANDI</v>
          </cell>
          <cell r="K6080">
            <v>159661565</v>
          </cell>
        </row>
        <row r="6081">
          <cell r="I6081">
            <v>891680055</v>
          </cell>
          <cell r="J6081" t="str">
            <v>MUNICIPIO DE BAGADO</v>
          </cell>
          <cell r="K6081">
            <v>281828603</v>
          </cell>
        </row>
        <row r="6082">
          <cell r="I6082">
            <v>891680057</v>
          </cell>
          <cell r="J6082" t="str">
            <v>MUNICIPIO DE CONDOTO</v>
          </cell>
          <cell r="K6082">
            <v>244770967</v>
          </cell>
        </row>
        <row r="6083">
          <cell r="I6083">
            <v>891680058</v>
          </cell>
          <cell r="J6083" t="str">
            <v>Fondo de Servicios Educativos Intitucion Educativa Agroambiental y Ecologica Luis Lozano Scipion</v>
          </cell>
          <cell r="K6083">
            <v>133342114</v>
          </cell>
        </row>
        <row r="6084">
          <cell r="I6084">
            <v>891680061</v>
          </cell>
          <cell r="J6084" t="str">
            <v>MUNICIPIO DE EL CARMEN</v>
          </cell>
          <cell r="K6084">
            <v>94655610</v>
          </cell>
        </row>
        <row r="6085">
          <cell r="I6085">
            <v>891680063</v>
          </cell>
          <cell r="J6085" t="str">
            <v>INSTITUCION EDUCATIVA INDUSTRIAL MARIA AUXILIADORA</v>
          </cell>
          <cell r="K6085">
            <v>46583138</v>
          </cell>
        </row>
        <row r="6086">
          <cell r="I6086">
            <v>891680067</v>
          </cell>
          <cell r="J6086" t="str">
            <v>MUNICIPIO DE ISTMINA</v>
          </cell>
          <cell r="K6086">
            <v>800214513</v>
          </cell>
        </row>
        <row r="6087">
          <cell r="I6087">
            <v>891680075</v>
          </cell>
          <cell r="J6087" t="str">
            <v>MUNICIPIO DE NOVITA</v>
          </cell>
          <cell r="K6087">
            <v>122993829</v>
          </cell>
        </row>
        <row r="6088">
          <cell r="I6088">
            <v>891680076</v>
          </cell>
          <cell r="J6088" t="str">
            <v>MUNICIPIO DE NUQUI</v>
          </cell>
          <cell r="K6088">
            <v>109209114</v>
          </cell>
        </row>
        <row r="6089">
          <cell r="I6089">
            <v>891680079</v>
          </cell>
          <cell r="J6089" t="str">
            <v>MUNICIPIO DE RIOSUCIO</v>
          </cell>
          <cell r="K6089">
            <v>744877875</v>
          </cell>
        </row>
        <row r="6090">
          <cell r="I6090">
            <v>891680080</v>
          </cell>
          <cell r="J6090" t="str">
            <v>MUNICIPIO DE SAN JOSE DEL PALMAR</v>
          </cell>
          <cell r="K6090">
            <v>54210338</v>
          </cell>
        </row>
        <row r="6091">
          <cell r="I6091">
            <v>891680081</v>
          </cell>
          <cell r="J6091" t="str">
            <v>MUNICIPIO DE TADO</v>
          </cell>
          <cell r="K6091">
            <v>499805677</v>
          </cell>
        </row>
        <row r="6092">
          <cell r="I6092">
            <v>891680086</v>
          </cell>
          <cell r="J6092" t="str">
            <v>Institución Educativa Agricola de Unguia  / Fondo de Servicios Educativos</v>
          </cell>
          <cell r="K6092">
            <v>94960716</v>
          </cell>
        </row>
        <row r="6093">
          <cell r="I6093">
            <v>891680121</v>
          </cell>
          <cell r="J6093" t="str">
            <v>Fondo de Servicios Educativos Institución Educativa Agropecuaria Diego Luis Cordoba</v>
          </cell>
          <cell r="K6093">
            <v>171758607</v>
          </cell>
        </row>
        <row r="6094">
          <cell r="I6094">
            <v>891680205</v>
          </cell>
          <cell r="J6094" t="str">
            <v>INSTITUTO TECNICO ANTONIO RICAURTE</v>
          </cell>
          <cell r="K6094">
            <v>101195238</v>
          </cell>
        </row>
        <row r="6095">
          <cell r="I6095">
            <v>891680281</v>
          </cell>
          <cell r="J6095" t="str">
            <v>MUNICIPIO DE LLORO</v>
          </cell>
          <cell r="K6095">
            <v>235367965</v>
          </cell>
        </row>
        <row r="6096">
          <cell r="I6096">
            <v>891680395</v>
          </cell>
          <cell r="J6096" t="str">
            <v>MUNICIPIO DE BAHIA SOLANO</v>
          </cell>
          <cell r="K6096">
            <v>131089063</v>
          </cell>
        </row>
        <row r="6097">
          <cell r="I6097">
            <v>891680402</v>
          </cell>
          <cell r="J6097" t="str">
            <v>MUNICIPIO DE JURADO</v>
          </cell>
          <cell r="K6097">
            <v>98224371</v>
          </cell>
        </row>
        <row r="6098">
          <cell r="I6098">
            <v>891701770</v>
          </cell>
          <cell r="J6098" t="str">
            <v>INSTITUCION EDUCATIVA DEPARTAMENTAL HUMBERTO VELAS QUEZ GARCIA</v>
          </cell>
          <cell r="K6098">
            <v>125087102</v>
          </cell>
        </row>
        <row r="6099">
          <cell r="I6099">
            <v>891702186</v>
          </cell>
          <cell r="J6099" t="str">
            <v>MUNICIPIO DE ARIGUANI MAGDALENA</v>
          </cell>
          <cell r="K6099">
            <v>426607979</v>
          </cell>
        </row>
        <row r="6100">
          <cell r="I6100">
            <v>891703003</v>
          </cell>
          <cell r="J6100" t="str">
            <v>INSTITUCION EDUCATIVA DEPARTAMENTAL SAN JOSE DE PUEBLO VIEJO</v>
          </cell>
          <cell r="K6100">
            <v>171857902</v>
          </cell>
        </row>
        <row r="6101">
          <cell r="I6101">
            <v>891703036</v>
          </cell>
          <cell r="J6101" t="str">
            <v>INSTITUCION EDUCATIVA DEPARTAMENTAL FRANCISCO DE PAULA</v>
          </cell>
          <cell r="K6101">
            <v>255044900</v>
          </cell>
        </row>
        <row r="6102">
          <cell r="I6102">
            <v>891703045</v>
          </cell>
          <cell r="J6102" t="str">
            <v>MUNICIPIO DE PUEBLO VIEJO</v>
          </cell>
          <cell r="K6102">
            <v>385545468</v>
          </cell>
        </row>
        <row r="6103">
          <cell r="I6103">
            <v>891780009</v>
          </cell>
          <cell r="J6103" t="str">
            <v>DISTRITO TURISTICO CULTURAL E HISTORICO DE SANTA MARTA</v>
          </cell>
          <cell r="K6103">
            <v>119321812048</v>
          </cell>
        </row>
        <row r="6104">
          <cell r="I6104">
            <v>891780041</v>
          </cell>
          <cell r="J6104" t="str">
            <v>MUNICIPIO DE ARACATACA</v>
          </cell>
          <cell r="K6104">
            <v>555674252</v>
          </cell>
        </row>
        <row r="6105">
          <cell r="I6105">
            <v>891780042</v>
          </cell>
          <cell r="J6105" t="str">
            <v>MUNICIPIO DE CERRO SAN ANTONIO</v>
          </cell>
          <cell r="K6105">
            <v>145830286</v>
          </cell>
        </row>
        <row r="6106">
          <cell r="I6106">
            <v>891780043</v>
          </cell>
          <cell r="J6106" t="str">
            <v>MUNICIPIO DE CIENAGA</v>
          </cell>
          <cell r="K6106">
            <v>38577874883</v>
          </cell>
        </row>
        <row r="6107">
          <cell r="I6107">
            <v>891780044</v>
          </cell>
          <cell r="J6107" t="str">
            <v>MUNICIPIO DE EL BANCO</v>
          </cell>
          <cell r="K6107">
            <v>1151927539</v>
          </cell>
        </row>
        <row r="6108">
          <cell r="I6108">
            <v>891780045</v>
          </cell>
          <cell r="J6108" t="str">
            <v>MUNICIPIO DE FUNDACION</v>
          </cell>
          <cell r="K6108">
            <v>788954208</v>
          </cell>
        </row>
        <row r="6109">
          <cell r="I6109">
            <v>891780047</v>
          </cell>
          <cell r="J6109" t="str">
            <v>MUNICIPIO DE GUAMAL MAGDALENA</v>
          </cell>
          <cell r="K6109">
            <v>497312564</v>
          </cell>
        </row>
        <row r="6110">
          <cell r="I6110">
            <v>891780048</v>
          </cell>
          <cell r="J6110" t="str">
            <v>MUNICIPIO DE PEDRAZA</v>
          </cell>
          <cell r="K6110">
            <v>152365983</v>
          </cell>
        </row>
        <row r="6111">
          <cell r="I6111">
            <v>891780049</v>
          </cell>
          <cell r="J6111" t="str">
            <v>MUNICIPIO DE EL PIÑON</v>
          </cell>
          <cell r="K6111">
            <v>289279879</v>
          </cell>
        </row>
        <row r="6112">
          <cell r="I6112">
            <v>891780050</v>
          </cell>
          <cell r="J6112" t="str">
            <v>MUNICIPIO DE PIVIJAY</v>
          </cell>
          <cell r="K6112">
            <v>497038920</v>
          </cell>
        </row>
        <row r="6113">
          <cell r="I6113">
            <v>891780051</v>
          </cell>
          <cell r="J6113" t="str">
            <v>MUNICIPIO DE PLATO MAGDALENA</v>
          </cell>
          <cell r="K6113">
            <v>1070754832</v>
          </cell>
        </row>
        <row r="6114">
          <cell r="I6114">
            <v>891780052</v>
          </cell>
          <cell r="J6114" t="str">
            <v>MUNICIPIO DE REMOLINO</v>
          </cell>
          <cell r="K6114">
            <v>120291234</v>
          </cell>
        </row>
        <row r="6115">
          <cell r="I6115">
            <v>891780053</v>
          </cell>
          <cell r="J6115" t="str">
            <v>MUNICIPIO SALAMINA</v>
          </cell>
          <cell r="K6115">
            <v>146616484</v>
          </cell>
        </row>
        <row r="6116">
          <cell r="I6116">
            <v>891780054</v>
          </cell>
          <cell r="J6116" t="str">
            <v>MUNICIPIO DE SAN SEBASTIAN DE BUENAVISTA</v>
          </cell>
          <cell r="K6116">
            <v>393460431</v>
          </cell>
        </row>
        <row r="6117">
          <cell r="I6117">
            <v>891780055</v>
          </cell>
          <cell r="J6117" t="str">
            <v>MUNICIPIO DE SAN ZENON</v>
          </cell>
          <cell r="K6117">
            <v>218426173</v>
          </cell>
        </row>
        <row r="6118">
          <cell r="I6118">
            <v>891780056</v>
          </cell>
          <cell r="J6118" t="str">
            <v>MUNICIPIO DE SANTA ANA</v>
          </cell>
          <cell r="K6118">
            <v>413208145</v>
          </cell>
        </row>
        <row r="6119">
          <cell r="I6119">
            <v>891780107</v>
          </cell>
          <cell r="J6119" t="str">
            <v>IED TECNICO INDUSTRIAL</v>
          </cell>
          <cell r="K6119">
            <v>162277331</v>
          </cell>
        </row>
        <row r="6120">
          <cell r="I6120">
            <v>891780108</v>
          </cell>
          <cell r="J6120" t="str">
            <v>INSTITUCION EDUCATIVA DISTRITAL ESCUELA NORMAL SUPERIOR MARIA AUXILIADORA</v>
          </cell>
          <cell r="K6120">
            <v>134036723</v>
          </cell>
        </row>
        <row r="6121">
          <cell r="I6121">
            <v>891780110</v>
          </cell>
          <cell r="J6121" t="str">
            <v>INSTITUCION EDUCATIVA DISTRITAL LICEO CELEDON</v>
          </cell>
          <cell r="K6121">
            <v>45505666</v>
          </cell>
        </row>
        <row r="6122">
          <cell r="I6122">
            <v>891780112</v>
          </cell>
          <cell r="J6122" t="str">
            <v>Fondo de Servicio Educativo IED Hugo J. Bermúdez</v>
          </cell>
          <cell r="K6122">
            <v>111583326</v>
          </cell>
        </row>
        <row r="6123">
          <cell r="I6123">
            <v>891780115</v>
          </cell>
          <cell r="J6123" t="str">
            <v>INSTITUCION EDUCATIVA DISTRITAL ESCUELA NORMAL SUPERIOR SAN PEDRO ALEJANDRINO</v>
          </cell>
          <cell r="K6123">
            <v>155892818</v>
          </cell>
        </row>
        <row r="6124">
          <cell r="I6124">
            <v>891780163</v>
          </cell>
          <cell r="J6124" t="str">
            <v>INSTITUCION EDUCATIVA SAN JUAN DEL CORDOBA</v>
          </cell>
          <cell r="K6124">
            <v>148038589</v>
          </cell>
        </row>
        <row r="6125">
          <cell r="I6125">
            <v>891780183</v>
          </cell>
          <cell r="J6125" t="str">
            <v>INSTITUCION EDUCATIVA DEPARTAMENTAL FRANCISCO DE PAULA SANTANDER</v>
          </cell>
          <cell r="K6125">
            <v>191241021</v>
          </cell>
        </row>
        <row r="6126">
          <cell r="I6126">
            <v>891780198</v>
          </cell>
          <cell r="J6126" t="str">
            <v>INSTITUCION EDUCATIVA DISTRITAL INEM SIMON BOLIVAR</v>
          </cell>
          <cell r="K6126">
            <v>205431284</v>
          </cell>
        </row>
        <row r="6127">
          <cell r="I6127">
            <v>891780218</v>
          </cell>
          <cell r="J6127" t="str">
            <v>Fondos de Servicios Docntes IED Magdalena</v>
          </cell>
          <cell r="K6127">
            <v>167135311</v>
          </cell>
        </row>
        <row r="6128">
          <cell r="I6128">
            <v>891780221</v>
          </cell>
          <cell r="J6128" t="str">
            <v>INSTITUCION EDUCATIVA DEPARTAMENTAL  SANTA TERESA DE JESUS</v>
          </cell>
          <cell r="K6128">
            <v>159563440</v>
          </cell>
        </row>
        <row r="6129">
          <cell r="I6129">
            <v>891780222</v>
          </cell>
          <cell r="J6129" t="str">
            <v>FODO DE SERVICIOS EDUCATIVOS INSTITUCION EDUCATIVA LICEO PIVIJAY CONPES</v>
          </cell>
          <cell r="K6129">
            <v>92346832</v>
          </cell>
        </row>
        <row r="6130">
          <cell r="I6130">
            <v>891780237</v>
          </cell>
          <cell r="J6130" t="str">
            <v>Fondo de Servicio Educativo IED LAURA VICUÑA</v>
          </cell>
          <cell r="K6130">
            <v>177138660</v>
          </cell>
        </row>
        <row r="6131">
          <cell r="I6131">
            <v>891780238</v>
          </cell>
          <cell r="J6131" t="str">
            <v>INSTITUCION EDUCATIVA GABRIEL ESCOBAR BALLESTAS</v>
          </cell>
          <cell r="K6131">
            <v>177151789</v>
          </cell>
        </row>
        <row r="6132">
          <cell r="I6132">
            <v>891800307</v>
          </cell>
          <cell r="J6132" t="str">
            <v>Institución Educativa Colegio de Sugamuxi Fondo de Servicios</v>
          </cell>
          <cell r="K6132">
            <v>155022450</v>
          </cell>
        </row>
        <row r="6133">
          <cell r="I6133">
            <v>891800440</v>
          </cell>
          <cell r="J6133" t="str">
            <v>INSTITUCION EDUCATIVA TECNICA Y ACADÉMICA  ANTONIO NARIÑO - VILLA DE LEYVA</v>
          </cell>
          <cell r="K6133">
            <v>105726640</v>
          </cell>
        </row>
        <row r="6134">
          <cell r="I6134">
            <v>891800466</v>
          </cell>
          <cell r="J6134" t="str">
            <v>MUNICIPIO DE PUERTO BOYACA</v>
          </cell>
          <cell r="K6134">
            <v>434968212</v>
          </cell>
        </row>
        <row r="6135">
          <cell r="I6135">
            <v>891800467</v>
          </cell>
          <cell r="J6135" t="str">
            <v>IE TECNICA JOSE IGNACIO DE MARQUEZ</v>
          </cell>
          <cell r="K6135">
            <v>113409289</v>
          </cell>
        </row>
        <row r="6136">
          <cell r="I6136">
            <v>891800470</v>
          </cell>
          <cell r="J6136" t="str">
            <v>TRANSFERENCIAS DE LA ESCULA NORMAL SUPERIOR SANTIAGO DE TUNJA</v>
          </cell>
          <cell r="K6136">
            <v>241846527</v>
          </cell>
        </row>
        <row r="6137">
          <cell r="I6137">
            <v>891800475</v>
          </cell>
          <cell r="J6137" t="str">
            <v>MUNICIPIO DE CHIQUINQUIRA</v>
          </cell>
          <cell r="K6137">
            <v>514035235</v>
          </cell>
        </row>
        <row r="6138">
          <cell r="I6138">
            <v>891800493</v>
          </cell>
          <cell r="J6138" t="str">
            <v>INSTITUCION EDUCATIVA SILVINO RODRIGUEZ FONDO DE SERVICIOS EDUCATIVOS</v>
          </cell>
          <cell r="K6138">
            <v>205010146</v>
          </cell>
        </row>
        <row r="6139">
          <cell r="I6139">
            <v>891800498</v>
          </cell>
          <cell r="J6139" t="str">
            <v>DEPARTAMENTO DE BOYACA</v>
          </cell>
          <cell r="K6139">
            <v>297574360620</v>
          </cell>
        </row>
        <row r="6140">
          <cell r="I6140">
            <v>891800577</v>
          </cell>
          <cell r="J6140" t="str">
            <v>FONDO DE SERVICIOS EDUCATIVOS</v>
          </cell>
          <cell r="K6140">
            <v>41833288</v>
          </cell>
        </row>
        <row r="6141">
          <cell r="I6141">
            <v>891800615</v>
          </cell>
          <cell r="J6141" t="str">
            <v>INSTITUCION EDUCATIVA TECNICA ANTONIO NARIÑO</v>
          </cell>
          <cell r="K6141">
            <v>229955192</v>
          </cell>
        </row>
        <row r="6142">
          <cell r="I6142">
            <v>891800678</v>
          </cell>
          <cell r="J6142" t="str">
            <v>INSTITUTO TECNICO INDUSTRIAL</v>
          </cell>
          <cell r="K6142">
            <v>158222782</v>
          </cell>
        </row>
        <row r="6143">
          <cell r="I6143">
            <v>891800679</v>
          </cell>
          <cell r="J6143" t="str">
            <v>INSTITUCION EDUCATIVA TECNICA PIO ALBERTO FERRO PEÑA</v>
          </cell>
          <cell r="K6143">
            <v>78398693</v>
          </cell>
        </row>
        <row r="6144">
          <cell r="I6144">
            <v>891800694</v>
          </cell>
          <cell r="J6144" t="str">
            <v>INSTITUCION EDUCATIVA  GARAVITO</v>
          </cell>
          <cell r="K6144">
            <v>15797856</v>
          </cell>
        </row>
        <row r="6145">
          <cell r="I6145">
            <v>891800754</v>
          </cell>
          <cell r="J6145" t="str">
            <v>COLEGIO TECNICO NACIONALIZADO DE SAMACA</v>
          </cell>
          <cell r="K6145">
            <v>164871526</v>
          </cell>
        </row>
        <row r="6146">
          <cell r="I6146">
            <v>891800846</v>
          </cell>
          <cell r="J6146" t="str">
            <v>MUNICIPIO DE TUNJA</v>
          </cell>
          <cell r="K6146">
            <v>37834027747</v>
          </cell>
        </row>
        <row r="6147">
          <cell r="I6147">
            <v>891800860</v>
          </cell>
          <cell r="J6147" t="str">
            <v>MUNICIPIO DE TIBANA</v>
          </cell>
          <cell r="K6147">
            <v>89810238</v>
          </cell>
        </row>
        <row r="6148">
          <cell r="I6148">
            <v>891800896</v>
          </cell>
          <cell r="J6148" t="str">
            <v>MUNICIPIO DE GUAYATA</v>
          </cell>
          <cell r="K6148">
            <v>34174420</v>
          </cell>
        </row>
        <row r="6149">
          <cell r="I6149">
            <v>891800907</v>
          </cell>
          <cell r="J6149" t="str">
            <v>INSTITUCION EDUCATIVA  TEC AGRARIA LIBARDO CUERVO PATARROYO</v>
          </cell>
          <cell r="K6149">
            <v>28656444</v>
          </cell>
        </row>
        <row r="6150">
          <cell r="I6150">
            <v>891800930</v>
          </cell>
          <cell r="J6150" t="str">
            <v>FONDO DE SERVICIOS EDUCATIVOS</v>
          </cell>
          <cell r="K6150">
            <v>76167036</v>
          </cell>
        </row>
        <row r="6151">
          <cell r="I6151">
            <v>891800986</v>
          </cell>
          <cell r="J6151" t="str">
            <v>MUNICIPIO DE VENTAQUEMADA</v>
          </cell>
          <cell r="K6151">
            <v>139675291</v>
          </cell>
        </row>
        <row r="6152">
          <cell r="I6152">
            <v>891801061</v>
          </cell>
          <cell r="J6152" t="str">
            <v>MUNICIPIO DE SOTAQUIRA</v>
          </cell>
          <cell r="K6152">
            <v>72975952</v>
          </cell>
        </row>
        <row r="6153">
          <cell r="I6153">
            <v>891801124</v>
          </cell>
          <cell r="J6153" t="str">
            <v>INSTITUCION EDUCATIVA  SAN JOSE DE LA FLORIDA</v>
          </cell>
          <cell r="K6153">
            <v>50533696</v>
          </cell>
        </row>
        <row r="6154">
          <cell r="I6154">
            <v>891801129</v>
          </cell>
          <cell r="J6154" t="str">
            <v>MUNICIPIO DE MACANAL</v>
          </cell>
          <cell r="K6154">
            <v>42827967</v>
          </cell>
        </row>
        <row r="6155">
          <cell r="I6155">
            <v>891801203</v>
          </cell>
          <cell r="J6155" t="str">
            <v>INSTITUCION EDUCATIVA SAN FELIPE</v>
          </cell>
          <cell r="K6155">
            <v>45581706</v>
          </cell>
        </row>
        <row r="6156">
          <cell r="I6156">
            <v>891801221</v>
          </cell>
          <cell r="J6156" t="str">
            <v>INSTITUCION EDUCATIVA  HORIZONTES</v>
          </cell>
          <cell r="K6156">
            <v>45002686</v>
          </cell>
        </row>
        <row r="6157">
          <cell r="I6157">
            <v>891801240</v>
          </cell>
          <cell r="J6157" t="str">
            <v>MUNICIPIO DE PAIPA</v>
          </cell>
          <cell r="K6157">
            <v>250628280</v>
          </cell>
        </row>
        <row r="6158">
          <cell r="I6158">
            <v>891801244</v>
          </cell>
          <cell r="J6158" t="str">
            <v>MUNICIPIO DE RAQUIRA</v>
          </cell>
          <cell r="K6158">
            <v>81965345</v>
          </cell>
        </row>
        <row r="6159">
          <cell r="I6159">
            <v>891801268</v>
          </cell>
          <cell r="J6159" t="str">
            <v>MUNICIPIO DE VILLA DE LEIVA</v>
          </cell>
          <cell r="K6159">
            <v>109199174</v>
          </cell>
        </row>
        <row r="6160">
          <cell r="I6160">
            <v>891801269</v>
          </cell>
          <cell r="J6160" t="str">
            <v>INSTITUCION EDUCATIVA JUANA CAPORAL DEL MUNICIPIO DE COPER</v>
          </cell>
          <cell r="K6160">
            <v>38148328</v>
          </cell>
        </row>
        <row r="6161">
          <cell r="I6161">
            <v>891801280</v>
          </cell>
          <cell r="J6161" t="str">
            <v>MUNICIPIO DE RAMIRIQUI</v>
          </cell>
          <cell r="K6161">
            <v>106003716</v>
          </cell>
        </row>
        <row r="6162">
          <cell r="I6162">
            <v>891801281</v>
          </cell>
          <cell r="J6162" t="str">
            <v>MUNICIPIO DE ALMEIDA</v>
          </cell>
          <cell r="K6162">
            <v>17057082</v>
          </cell>
        </row>
        <row r="6163">
          <cell r="I6163">
            <v>891801282</v>
          </cell>
          <cell r="J6163" t="str">
            <v>MUNICIPIO DE SAN EDUARDO</v>
          </cell>
          <cell r="K6163">
            <v>20151005</v>
          </cell>
        </row>
        <row r="6164">
          <cell r="I6164">
            <v>891801286</v>
          </cell>
          <cell r="J6164" t="str">
            <v>MUNICIPIO DE SAN MIGUEL DE SEMA</v>
          </cell>
          <cell r="K6164">
            <v>39484326</v>
          </cell>
        </row>
        <row r="6165">
          <cell r="I6165">
            <v>891801347</v>
          </cell>
          <cell r="J6165" t="str">
            <v>MUNICIPIO DE VIRACACHA</v>
          </cell>
          <cell r="K6165">
            <v>30063950</v>
          </cell>
        </row>
        <row r="6166">
          <cell r="I6166">
            <v>891801357</v>
          </cell>
          <cell r="J6166" t="str">
            <v>MUNICIPIO DE CHINAVITA</v>
          </cell>
          <cell r="K6166">
            <v>33027456</v>
          </cell>
        </row>
        <row r="6167">
          <cell r="I6167">
            <v>891801362</v>
          </cell>
          <cell r="J6167" t="str">
            <v>MUNICIPIO DE OTANCHE</v>
          </cell>
          <cell r="K6167">
            <v>104266358</v>
          </cell>
        </row>
        <row r="6168">
          <cell r="I6168">
            <v>891801363</v>
          </cell>
          <cell r="J6168" t="str">
            <v>MUNICIPIO DE COPER</v>
          </cell>
          <cell r="K6168">
            <v>39773853</v>
          </cell>
        </row>
        <row r="6169">
          <cell r="I6169">
            <v>891801368</v>
          </cell>
          <cell r="J6169" t="str">
            <v>MUNICIPIO DE PAUNA</v>
          </cell>
          <cell r="K6169">
            <v>98747194</v>
          </cell>
        </row>
        <row r="6170">
          <cell r="I6170">
            <v>891801369</v>
          </cell>
          <cell r="J6170" t="str">
            <v>MUNICIPIO DE SAN PABLO DE BORBUR</v>
          </cell>
          <cell r="K6170">
            <v>99318527</v>
          </cell>
        </row>
        <row r="6171">
          <cell r="I6171">
            <v>891801376</v>
          </cell>
          <cell r="J6171" t="str">
            <v>MUNICIPIO DE JENESANO</v>
          </cell>
          <cell r="K6171">
            <v>65064048</v>
          </cell>
        </row>
        <row r="6172">
          <cell r="I6172">
            <v>891801487</v>
          </cell>
          <cell r="J6172" t="str">
            <v>FONDO DESERVICIOS EDUCATIVOS INSTITUCION EDUCATIVA JOSE SANTOS GUTIERREZ</v>
          </cell>
          <cell r="K6172">
            <v>44894150</v>
          </cell>
        </row>
        <row r="6173">
          <cell r="I6173">
            <v>891801582</v>
          </cell>
          <cell r="J6173" t="str">
            <v>INSTITUCION EDUCATIVA TECNICA Y ACADEMICA NUESTRA SEÑORA DEL ROSARIO</v>
          </cell>
          <cell r="K6173">
            <v>33094604</v>
          </cell>
        </row>
        <row r="6174">
          <cell r="I6174">
            <v>891801787</v>
          </cell>
          <cell r="J6174" t="str">
            <v>MUNICIPIO DE TURMEQUE</v>
          </cell>
          <cell r="K6174">
            <v>72866703</v>
          </cell>
        </row>
        <row r="6175">
          <cell r="I6175">
            <v>891801796</v>
          </cell>
          <cell r="J6175" t="str">
            <v>MUNICIPIO DE CALDAS</v>
          </cell>
          <cell r="K6175">
            <v>35737485</v>
          </cell>
        </row>
        <row r="6176">
          <cell r="I6176">
            <v>891801873</v>
          </cell>
          <cell r="J6176" t="str">
            <v>FONDO DE  SERVICIOS EDUCATIVOS INSTITUCION EDUCATIVA HAYDEE CAMACHO SAAVEDRA</v>
          </cell>
          <cell r="K6176">
            <v>76433862</v>
          </cell>
        </row>
        <row r="6177">
          <cell r="I6177">
            <v>891801911</v>
          </cell>
          <cell r="J6177" t="str">
            <v>MUNICIPIO DE SIACHOQUE</v>
          </cell>
          <cell r="K6177">
            <v>106043980</v>
          </cell>
        </row>
        <row r="6178">
          <cell r="I6178">
            <v>891801932</v>
          </cell>
          <cell r="J6178" t="str">
            <v>MUNICIPIO DE COMBITA</v>
          </cell>
          <cell r="K6178">
            <v>77619171</v>
          </cell>
        </row>
        <row r="6179">
          <cell r="I6179">
            <v>891801962</v>
          </cell>
          <cell r="J6179" t="str">
            <v>MUNICIPIO DE CHITA</v>
          </cell>
          <cell r="K6179">
            <v>184267657</v>
          </cell>
        </row>
        <row r="6180">
          <cell r="I6180">
            <v>891801979</v>
          </cell>
          <cell r="J6180" t="str">
            <v>INSTITUCION EDUCATIVA DE BOYACA</v>
          </cell>
          <cell r="K6180">
            <v>37038339</v>
          </cell>
        </row>
        <row r="6181">
          <cell r="I6181">
            <v>891801988</v>
          </cell>
          <cell r="J6181" t="str">
            <v>MUNICIPIO DE CIENEGA</v>
          </cell>
          <cell r="K6181">
            <v>41005629</v>
          </cell>
        </row>
        <row r="6182">
          <cell r="I6182">
            <v>891801994</v>
          </cell>
          <cell r="J6182" t="str">
            <v>MUNICIPIO DE MOTAVITA</v>
          </cell>
          <cell r="K6182">
            <v>56614061</v>
          </cell>
        </row>
        <row r="6183">
          <cell r="I6183">
            <v>891802030</v>
          </cell>
          <cell r="J6183" t="str">
            <v>I. E RIO DE PIEDRAS</v>
          </cell>
          <cell r="K6183">
            <v>35844440</v>
          </cell>
        </row>
        <row r="6184">
          <cell r="I6184">
            <v>891802089</v>
          </cell>
          <cell r="J6184" t="str">
            <v>MUNICIPIO DE CUCAITA</v>
          </cell>
          <cell r="K6184">
            <v>45835657</v>
          </cell>
        </row>
        <row r="6185">
          <cell r="I6185">
            <v>891802106</v>
          </cell>
          <cell r="J6185" t="str">
            <v>MUNICIPIO DE ZETAQUIRA</v>
          </cell>
          <cell r="K6185">
            <v>63613949</v>
          </cell>
        </row>
        <row r="6186">
          <cell r="I6186">
            <v>891802151</v>
          </cell>
          <cell r="J6186" t="str">
            <v>MUNICIPIO DE SAN LUIS DE GACENO</v>
          </cell>
          <cell r="K6186">
            <v>54777856</v>
          </cell>
        </row>
        <row r="6187">
          <cell r="I6187">
            <v>891808260</v>
          </cell>
          <cell r="J6187" t="str">
            <v>MUNICIPIO DE BUENAVISTA</v>
          </cell>
          <cell r="K6187">
            <v>57405712</v>
          </cell>
        </row>
        <row r="6188">
          <cell r="I6188">
            <v>891855015</v>
          </cell>
          <cell r="J6188" t="str">
            <v>MUNICIPIO PAZ DE RIO</v>
          </cell>
          <cell r="K6188">
            <v>46603816</v>
          </cell>
        </row>
        <row r="6189">
          <cell r="I6189">
            <v>891855016</v>
          </cell>
          <cell r="J6189" t="str">
            <v>MUNICIPIO DE SOATA</v>
          </cell>
          <cell r="K6189">
            <v>95976447</v>
          </cell>
        </row>
        <row r="6190">
          <cell r="I6190">
            <v>891855017</v>
          </cell>
          <cell r="J6190" t="str">
            <v>MUNICIPIO DE YOPAL</v>
          </cell>
          <cell r="K6190">
            <v>45538614129</v>
          </cell>
        </row>
        <row r="6191">
          <cell r="I6191">
            <v>891855041</v>
          </cell>
          <cell r="J6191" t="str">
            <v>Institucion Educativa Integrado Joaquin Gonzalez Camargo</v>
          </cell>
          <cell r="K6191">
            <v>256718166</v>
          </cell>
        </row>
        <row r="6192">
          <cell r="I6192">
            <v>891855043</v>
          </cell>
          <cell r="J6192" t="str">
            <v>FONDO DE SERVICIOS EDUCATIVOS</v>
          </cell>
          <cell r="K6192">
            <v>43384002</v>
          </cell>
        </row>
        <row r="6193">
          <cell r="I6193">
            <v>891855098</v>
          </cell>
          <cell r="J6193" t="str">
            <v>INSTITUCION EDUCATIVA BRAULIO GONZALEZ - FSE</v>
          </cell>
          <cell r="K6193">
            <v>241004878</v>
          </cell>
        </row>
        <row r="6194">
          <cell r="I6194">
            <v>891855130</v>
          </cell>
          <cell r="J6194" t="str">
            <v>MUNICIPIO DE SOGAMOSO</v>
          </cell>
          <cell r="K6194">
            <v>29001154009</v>
          </cell>
        </row>
        <row r="6195">
          <cell r="I6195">
            <v>891855134</v>
          </cell>
          <cell r="J6195" t="str">
            <v>INSTITUCION EDUCATIVA TECNICA RAMON IGNACIO AVELLA</v>
          </cell>
          <cell r="K6195">
            <v>192538847</v>
          </cell>
        </row>
        <row r="6196">
          <cell r="I6196">
            <v>891855138</v>
          </cell>
          <cell r="J6196" t="str">
            <v>MUNICIPIO DE DUITAMA</v>
          </cell>
          <cell r="K6196">
            <v>29090819384</v>
          </cell>
        </row>
        <row r="6197">
          <cell r="I6197">
            <v>891855144</v>
          </cell>
          <cell r="J6197" t="str">
            <v>COLEGIO GUILLERMO LEON VALENCIA</v>
          </cell>
          <cell r="K6197">
            <v>303440247</v>
          </cell>
        </row>
        <row r="6198">
          <cell r="I6198">
            <v>891855145</v>
          </cell>
          <cell r="J6198" t="str">
            <v>FONDO DE SERVICIOS EDUCATIVOS INSTITUCION EDUCATIVA CARLOS ARTURO TORRES PEÑA</v>
          </cell>
          <cell r="K6198">
            <v>93165100</v>
          </cell>
        </row>
        <row r="6199">
          <cell r="I6199">
            <v>891855200</v>
          </cell>
          <cell r="J6199" t="str">
            <v>MUNICIPIO DE AGUAZUL</v>
          </cell>
          <cell r="K6199">
            <v>329583478</v>
          </cell>
        </row>
        <row r="6200">
          <cell r="I6200">
            <v>891855222</v>
          </cell>
          <cell r="J6200" t="str">
            <v>MUNICIPIO DE NOBSA</v>
          </cell>
          <cell r="K6200">
            <v>115894653</v>
          </cell>
        </row>
        <row r="6201">
          <cell r="I6201">
            <v>891855272</v>
          </cell>
          <cell r="J6201" t="str">
            <v>INSTITUCION EDUCATIVA TECNICA DE MONGUI</v>
          </cell>
          <cell r="K6201">
            <v>27460881</v>
          </cell>
        </row>
        <row r="6202">
          <cell r="I6202">
            <v>891855310</v>
          </cell>
          <cell r="J6202" t="str">
            <v>Fondo de servicios educativos Institucion Educativa Tecnico Industrial Gustavo Jimenez</v>
          </cell>
          <cell r="K6202">
            <v>232989644</v>
          </cell>
        </row>
        <row r="6203">
          <cell r="I6203">
            <v>891855361</v>
          </cell>
          <cell r="J6203" t="str">
            <v>MUNICIPIO DE TIBASOSA</v>
          </cell>
          <cell r="K6203">
            <v>102900028</v>
          </cell>
        </row>
        <row r="6204">
          <cell r="I6204">
            <v>891855501</v>
          </cell>
          <cell r="J6204" t="str">
            <v>COLEGIO TECNICO NACIONAL DE NOBSA</v>
          </cell>
          <cell r="K6204">
            <v>115016317</v>
          </cell>
        </row>
        <row r="6205">
          <cell r="I6205">
            <v>891855511</v>
          </cell>
          <cell r="J6205" t="str">
            <v>COLEGIO ARMANDO SOLANO</v>
          </cell>
          <cell r="K6205">
            <v>92565632</v>
          </cell>
        </row>
        <row r="6206">
          <cell r="I6206">
            <v>891855514</v>
          </cell>
          <cell r="J6206" t="str">
            <v>FONDO DE SERVICIOS EDUCATIVOS INSTITUCION EDUCATIVA JUAN JOSE RONDON</v>
          </cell>
          <cell r="K6206">
            <v>66670919</v>
          </cell>
        </row>
        <row r="6207">
          <cell r="I6207">
            <v>891855520</v>
          </cell>
          <cell r="J6207" t="str">
            <v>INST ITUCION EDUCATIVA TECNICO INDUSTRIAL MARISCAL SUCRE</v>
          </cell>
          <cell r="K6207">
            <v>25191056</v>
          </cell>
        </row>
        <row r="6208">
          <cell r="I6208">
            <v>891855523</v>
          </cell>
          <cell r="J6208" t="str">
            <v>INSTITUCION EDUCATIVA  JORGE GUILLERMO MOJICA MARQUEZ</v>
          </cell>
          <cell r="K6208">
            <v>68678168</v>
          </cell>
        </row>
        <row r="6209">
          <cell r="I6209">
            <v>891855609</v>
          </cell>
          <cell r="J6209" t="str">
            <v>COLEGIO NACIONALIZADO JUAN JOSE RONDON</v>
          </cell>
          <cell r="K6209">
            <v>122032551</v>
          </cell>
        </row>
        <row r="6210">
          <cell r="I6210">
            <v>891855618</v>
          </cell>
          <cell r="J6210" t="str">
            <v>INSTITUTO TECNICO SANTO TOMAS DE AQUINO</v>
          </cell>
          <cell r="K6210">
            <v>182737637</v>
          </cell>
        </row>
        <row r="6211">
          <cell r="I6211">
            <v>891855735</v>
          </cell>
          <cell r="J6211" t="str">
            <v>MUNICIPIO DE MONGUA</v>
          </cell>
          <cell r="K6211">
            <v>48504477</v>
          </cell>
        </row>
        <row r="6212">
          <cell r="I6212">
            <v>891855748</v>
          </cell>
          <cell r="J6212" t="str">
            <v>MUNICIPIO DE CORRALES</v>
          </cell>
          <cell r="K6212">
            <v>21648431</v>
          </cell>
        </row>
        <row r="6213">
          <cell r="I6213">
            <v>891855769</v>
          </cell>
          <cell r="J6213" t="str">
            <v>MUNICIPIO DE CUITIVA</v>
          </cell>
          <cell r="K6213">
            <v>17843028</v>
          </cell>
        </row>
        <row r="6214">
          <cell r="I6214">
            <v>891855842</v>
          </cell>
          <cell r="J6214" t="str">
            <v>INSTITUCION EDUCATIVA TECNICA LISANDRO CELY</v>
          </cell>
          <cell r="K6214">
            <v>45908141</v>
          </cell>
        </row>
        <row r="6215">
          <cell r="I6215">
            <v>891855994</v>
          </cell>
          <cell r="J6215" t="str">
            <v>INSTITUCION EDUCATIVA TECNICA CARLOS JULIO UMAÑA TORRES</v>
          </cell>
          <cell r="K6215">
            <v>36918677</v>
          </cell>
        </row>
        <row r="6216">
          <cell r="I6216">
            <v>891856077</v>
          </cell>
          <cell r="J6216" t="str">
            <v>MUNICIPIO DE IZA</v>
          </cell>
          <cell r="K6216">
            <v>18362204</v>
          </cell>
        </row>
        <row r="6217">
          <cell r="I6217">
            <v>891856131</v>
          </cell>
          <cell r="J6217" t="str">
            <v>MUNICIPIO DE TASCO</v>
          </cell>
          <cell r="K6217">
            <v>54925038</v>
          </cell>
        </row>
        <row r="6218">
          <cell r="I6218">
            <v>891856167</v>
          </cell>
          <cell r="J6218" t="str">
            <v>FONDO DE SERVICIOS EDUCATIVOS DEL COLEGIO DE BOYACA DE DUITAMA</v>
          </cell>
          <cell r="K6218">
            <v>112799609</v>
          </cell>
        </row>
        <row r="6219">
          <cell r="I6219">
            <v>891856191</v>
          </cell>
          <cell r="J6219" t="str">
            <v>INSTITUCION EDUCATIVA TECNICA AGROPECUARIA DE PAJARITO</v>
          </cell>
          <cell r="K6219">
            <v>31464048</v>
          </cell>
        </row>
        <row r="6220">
          <cell r="I6220">
            <v>891856257</v>
          </cell>
          <cell r="J6220" t="str">
            <v>MUNICIPIO DE LA UVITA</v>
          </cell>
          <cell r="K6220">
            <v>32620035</v>
          </cell>
        </row>
        <row r="6221">
          <cell r="I6221">
            <v>891856288</v>
          </cell>
          <cell r="J6221" t="str">
            <v>MUNICIPIO DE FIRAVITOBA</v>
          </cell>
          <cell r="K6221">
            <v>45942568</v>
          </cell>
        </row>
        <row r="6222">
          <cell r="I6222">
            <v>891856294</v>
          </cell>
          <cell r="J6222" t="str">
            <v>MUNICIPIO DE BOAVITA</v>
          </cell>
          <cell r="K6222">
            <v>73968671</v>
          </cell>
        </row>
        <row r="6223">
          <cell r="I6223">
            <v>891856312</v>
          </cell>
          <cell r="J6223" t="str">
            <v>INSTITUTO TECNICO CARLOS ALBERTO OLANO VALDERRAMA</v>
          </cell>
          <cell r="K6223">
            <v>56994224</v>
          </cell>
        </row>
        <row r="6224">
          <cell r="I6224">
            <v>891856464</v>
          </cell>
          <cell r="J6224" t="str">
            <v>MUNICIPIO DE PESCA</v>
          </cell>
          <cell r="K6224">
            <v>75161709</v>
          </cell>
        </row>
        <row r="6225">
          <cell r="I6225">
            <v>891856472</v>
          </cell>
          <cell r="J6225" t="str">
            <v>MUNICIPIO SUSACON</v>
          </cell>
          <cell r="K6225">
            <v>29511790</v>
          </cell>
        </row>
        <row r="6226">
          <cell r="I6226">
            <v>891856555</v>
          </cell>
          <cell r="J6226" t="str">
            <v>MUNICIPIO DE MONGUI</v>
          </cell>
          <cell r="K6226">
            <v>53491074</v>
          </cell>
        </row>
        <row r="6227">
          <cell r="I6227">
            <v>891856593</v>
          </cell>
          <cell r="J6227" t="str">
            <v>MUNICIPIO DE JERICO</v>
          </cell>
          <cell r="K6227">
            <v>54156851</v>
          </cell>
        </row>
        <row r="6228">
          <cell r="I6228">
            <v>891856614</v>
          </cell>
          <cell r="J6228" t="str">
            <v>INSTITUCION EDUCATIVA JORGE ELIECER GAITAN</v>
          </cell>
          <cell r="K6228">
            <v>81689489</v>
          </cell>
        </row>
        <row r="6229">
          <cell r="I6229">
            <v>891856625</v>
          </cell>
          <cell r="J6229" t="str">
            <v>MUNICIPIO DE TOPAGA</v>
          </cell>
          <cell r="K6229">
            <v>37931061</v>
          </cell>
        </row>
        <row r="6230">
          <cell r="I6230">
            <v>891857764</v>
          </cell>
          <cell r="J6230" t="str">
            <v>MUNICIPIO DE GAMEZA</v>
          </cell>
          <cell r="K6230">
            <v>53090625</v>
          </cell>
        </row>
        <row r="6231">
          <cell r="I6231">
            <v>891857805</v>
          </cell>
          <cell r="J6231" t="str">
            <v>MUNICIPIO DE CERINZA</v>
          </cell>
          <cell r="K6231">
            <v>37350901</v>
          </cell>
        </row>
        <row r="6232">
          <cell r="I6232">
            <v>891857815</v>
          </cell>
          <cell r="J6232" t="str">
            <v>Institución Educativa Jorge Clemente Palacios</v>
          </cell>
          <cell r="K6232">
            <v>56482604</v>
          </cell>
        </row>
        <row r="6233">
          <cell r="I6233">
            <v>891857821</v>
          </cell>
          <cell r="J6233" t="str">
            <v>MUNICIPIO DE SAN MATEO</v>
          </cell>
          <cell r="K6233">
            <v>48898724</v>
          </cell>
        </row>
        <row r="6234">
          <cell r="I6234">
            <v>891857823</v>
          </cell>
          <cell r="J6234" t="str">
            <v>MUNICIPIO DE SABANALARGA</v>
          </cell>
          <cell r="K6234">
            <v>41908468</v>
          </cell>
        </row>
        <row r="6235">
          <cell r="I6235">
            <v>891857824</v>
          </cell>
          <cell r="J6235" t="str">
            <v>MUNICIPIO DE MONTERREY</v>
          </cell>
          <cell r="K6235">
            <v>142509437</v>
          </cell>
        </row>
        <row r="6236">
          <cell r="I6236">
            <v>891857844</v>
          </cell>
          <cell r="J6236" t="str">
            <v>MUNICIPIO DE EL COCUY</v>
          </cell>
          <cell r="K6236">
            <v>53803001</v>
          </cell>
        </row>
        <row r="6237">
          <cell r="I6237">
            <v>891857861</v>
          </cell>
          <cell r="J6237" t="str">
            <v>MUNICIPIO DE TRINIDAD</v>
          </cell>
          <cell r="K6237">
            <v>167247738</v>
          </cell>
        </row>
        <row r="6238">
          <cell r="I6238">
            <v>891857862</v>
          </cell>
          <cell r="J6238" t="str">
            <v>FONDO DE SERVICIOS EDUCATIVOS INSTITUCION EDUCATIVA TECNICA PIO MORANTES TUTAZA</v>
          </cell>
          <cell r="K6238">
            <v>10086524</v>
          </cell>
        </row>
        <row r="6239">
          <cell r="I6239">
            <v>891857890</v>
          </cell>
          <cell r="J6239" t="str">
            <v>IET SERGIO CAMARGO</v>
          </cell>
          <cell r="K6239">
            <v>24083927</v>
          </cell>
        </row>
        <row r="6240">
          <cell r="I6240">
            <v>891863547</v>
          </cell>
          <cell r="J6240" t="str">
            <v>INSTITUCION EDUCATIVA TECNIA NUESTRA SEÑORA DEL CARMEN</v>
          </cell>
          <cell r="K6240">
            <v>31330345</v>
          </cell>
        </row>
        <row r="6241">
          <cell r="I6241">
            <v>891885135</v>
          </cell>
          <cell r="J6241" t="str">
            <v>COLEGIO NACIONALIZADO DE FIRAVITOBA</v>
          </cell>
          <cell r="K6241">
            <v>55120273</v>
          </cell>
        </row>
        <row r="6242">
          <cell r="I6242">
            <v>891900012</v>
          </cell>
          <cell r="J6242" t="str">
            <v>INSTITUCION EDUCATIVA GILBERTO ALZATE AVENDAÑO</v>
          </cell>
          <cell r="K6242">
            <v>44120567</v>
          </cell>
        </row>
        <row r="6243">
          <cell r="I6243">
            <v>891900272</v>
          </cell>
          <cell r="J6243" t="str">
            <v>MUNICIPIO DE TULUA</v>
          </cell>
          <cell r="K6243">
            <v>41138366467</v>
          </cell>
        </row>
        <row r="6244">
          <cell r="I6244">
            <v>891900285</v>
          </cell>
          <cell r="J6244" t="str">
            <v>INSTITUCION EDUCATIVA JULIA RESTREPO</v>
          </cell>
          <cell r="K6244">
            <v>220927848</v>
          </cell>
        </row>
        <row r="6245">
          <cell r="I6245">
            <v>891900286</v>
          </cell>
          <cell r="J6245" t="str">
            <v>INSTITUCION EDUCATIVA GIMNASIO DEL PACIFICO</v>
          </cell>
          <cell r="K6245">
            <v>172409601</v>
          </cell>
        </row>
        <row r="6246">
          <cell r="I6246">
            <v>891900289</v>
          </cell>
          <cell r="J6246" t="str">
            <v>MUNICIPIO DE ROLDANILLO</v>
          </cell>
          <cell r="K6246">
            <v>327105674</v>
          </cell>
        </row>
        <row r="6247">
          <cell r="I6247">
            <v>891900324</v>
          </cell>
          <cell r="J6247" t="str">
            <v>INSTITUCION EDUCATIVA MODERNA DE TULUA</v>
          </cell>
          <cell r="K6247">
            <v>198108053</v>
          </cell>
        </row>
        <row r="6248">
          <cell r="I6248">
            <v>891900353</v>
          </cell>
          <cell r="J6248" t="str">
            <v>MUNICIPIO DE BUGALAGRANDE</v>
          </cell>
          <cell r="K6248">
            <v>138632389</v>
          </cell>
        </row>
        <row r="6249">
          <cell r="I6249">
            <v>891900357</v>
          </cell>
          <cell r="J6249" t="str">
            <v>MUNICIPIO DE RIOFRIO</v>
          </cell>
          <cell r="K6249">
            <v>167812393</v>
          </cell>
        </row>
        <row r="6250">
          <cell r="I6250">
            <v>891900443</v>
          </cell>
          <cell r="J6250" t="str">
            <v>MUNICIPIO DE ANDALUCIA</v>
          </cell>
          <cell r="K6250">
            <v>174238001</v>
          </cell>
        </row>
        <row r="6251">
          <cell r="I6251">
            <v>891900461</v>
          </cell>
          <cell r="J6251" t="str">
            <v>IE NUESTRA SEÑORA DE LA CONSOLACION</v>
          </cell>
          <cell r="K6251">
            <v>65151471</v>
          </cell>
        </row>
        <row r="6252">
          <cell r="I6252">
            <v>891900493</v>
          </cell>
          <cell r="J6252" t="str">
            <v>MUNICIPIO DE CARTAGO</v>
          </cell>
          <cell r="K6252">
            <v>26699495229</v>
          </cell>
        </row>
        <row r="6253">
          <cell r="I6253">
            <v>891900536</v>
          </cell>
          <cell r="J6253" t="str">
            <v>IE SEVILLA</v>
          </cell>
          <cell r="K6253">
            <v>159409564</v>
          </cell>
        </row>
        <row r="6254">
          <cell r="I6254">
            <v>891900537</v>
          </cell>
          <cell r="J6254" t="str">
            <v>IE GENERAL SANTANDER</v>
          </cell>
          <cell r="K6254">
            <v>114632172</v>
          </cell>
        </row>
        <row r="6255">
          <cell r="I6255">
            <v>891900624</v>
          </cell>
          <cell r="J6255" t="str">
            <v>MUNICIPIO DE ZARZAL</v>
          </cell>
          <cell r="K6255">
            <v>351078308</v>
          </cell>
        </row>
        <row r="6256">
          <cell r="I6256">
            <v>891900649</v>
          </cell>
          <cell r="J6256" t="str">
            <v>INSTITUCION EDUCATIVA TECNICO INDUSTRIAL CARLOS SARMIENTO LORA</v>
          </cell>
          <cell r="K6256">
            <v>113165301</v>
          </cell>
        </row>
        <row r="6257">
          <cell r="I6257">
            <v>891900660</v>
          </cell>
          <cell r="J6257" t="str">
            <v>MUNICIPIO  DE  CAICEDONIA</v>
          </cell>
          <cell r="K6257">
            <v>270256651</v>
          </cell>
        </row>
        <row r="6258">
          <cell r="I6258">
            <v>891900666</v>
          </cell>
          <cell r="J6258" t="str">
            <v>IE FRAY JOSE JOAQUIN ESCOBAR</v>
          </cell>
          <cell r="K6258">
            <v>58287762</v>
          </cell>
        </row>
        <row r="6259">
          <cell r="I6259">
            <v>891900722</v>
          </cell>
          <cell r="J6259" t="str">
            <v>IE TECNICA AGROPECUARIA TORO</v>
          </cell>
          <cell r="K6259">
            <v>68685999</v>
          </cell>
        </row>
        <row r="6260">
          <cell r="I6260">
            <v>891900764</v>
          </cell>
          <cell r="J6260" t="str">
            <v>MUNICIPIO DE TRUJILLO</v>
          </cell>
          <cell r="K6260">
            <v>166425847</v>
          </cell>
        </row>
        <row r="6261">
          <cell r="I6261">
            <v>891900829</v>
          </cell>
          <cell r="J6261" t="str">
            <v>I. BELISARIO PEÑA PIÑEIRO</v>
          </cell>
          <cell r="K6261">
            <v>112603741</v>
          </cell>
        </row>
        <row r="6262">
          <cell r="I6262">
            <v>891900830</v>
          </cell>
          <cell r="J6262" t="str">
            <v>NORMAL NACIONAL</v>
          </cell>
          <cell r="K6262">
            <v>92619573</v>
          </cell>
        </row>
        <row r="6263">
          <cell r="I6263">
            <v>891900837</v>
          </cell>
          <cell r="J6263" t="str">
            <v>IE NUESTRA SEÑORA DE CHIQUINQUIRA</v>
          </cell>
          <cell r="K6263">
            <v>136316560</v>
          </cell>
        </row>
        <row r="6264">
          <cell r="I6264">
            <v>891900838</v>
          </cell>
          <cell r="J6264" t="str">
            <v>FONDO DE SERVICIOS EDUCATIVOS INTITUCION EDUCATIVA ANTONIO NARIÑO</v>
          </cell>
          <cell r="K6264">
            <v>98012612</v>
          </cell>
        </row>
        <row r="6265">
          <cell r="I6265">
            <v>891900855</v>
          </cell>
          <cell r="J6265" t="str">
            <v>INSTITUCION EDUCATIVA SIMON BOLIVAR</v>
          </cell>
          <cell r="K6265">
            <v>94932979</v>
          </cell>
        </row>
        <row r="6266">
          <cell r="I6266">
            <v>891900862</v>
          </cell>
          <cell r="J6266" t="str">
            <v>INSTITUCION EDUCATIVA COLEGIO MANUEL DOLORES MONDRAGON</v>
          </cell>
          <cell r="K6266">
            <v>66831145</v>
          </cell>
        </row>
        <row r="6267">
          <cell r="I6267">
            <v>891900886</v>
          </cell>
          <cell r="J6267" t="str">
            <v>INSTITUCION EDUCATIVA NORMAL SUPERIOR NUESTRA SEÑORA DE LAS MERCEDES</v>
          </cell>
          <cell r="K6267">
            <v>157559970</v>
          </cell>
        </row>
        <row r="6268">
          <cell r="I6268">
            <v>891900895</v>
          </cell>
          <cell r="J6268" t="str">
            <v>INSTITUCION EDUCATIVA JULIAN TRUJILLO</v>
          </cell>
          <cell r="K6268">
            <v>72298037</v>
          </cell>
        </row>
        <row r="6269">
          <cell r="I6269">
            <v>891900902</v>
          </cell>
          <cell r="J6269" t="str">
            <v>MUNICIPIO DE OBANDO VALLE</v>
          </cell>
          <cell r="K6269">
            <v>128162587</v>
          </cell>
        </row>
        <row r="6270">
          <cell r="I6270">
            <v>891900940</v>
          </cell>
          <cell r="J6270" t="str">
            <v>IE ELEAZAR LIBREROS SALAMANCA</v>
          </cell>
          <cell r="K6270">
            <v>157212823</v>
          </cell>
        </row>
        <row r="6271">
          <cell r="I6271">
            <v>891900945</v>
          </cell>
          <cell r="J6271" t="str">
            <v>MUNICIPIO DE BOLIVAR</v>
          </cell>
          <cell r="K6271">
            <v>147699622</v>
          </cell>
        </row>
        <row r="6272">
          <cell r="I6272">
            <v>891900985</v>
          </cell>
          <cell r="J6272" t="str">
            <v>MUNICIPIO DE TORO</v>
          </cell>
          <cell r="K6272">
            <v>162664964</v>
          </cell>
        </row>
        <row r="6273">
          <cell r="I6273">
            <v>891901019</v>
          </cell>
          <cell r="J6273" t="str">
            <v>MUNICIPIO DE ARGELIA</v>
          </cell>
          <cell r="K6273">
            <v>56832216</v>
          </cell>
        </row>
        <row r="6274">
          <cell r="I6274">
            <v>891901021</v>
          </cell>
          <cell r="J6274" t="str">
            <v>INSTITUCION EDUCATIVA SOR MARIA JULIANA FONDO DE SERVICIOS EDUCATIVOS</v>
          </cell>
          <cell r="K6274">
            <v>227718433</v>
          </cell>
        </row>
        <row r="6275">
          <cell r="I6275">
            <v>891901023</v>
          </cell>
          <cell r="J6275" t="str">
            <v>INSTITUCION EDUCATIVA INDALECIO PENILLA TRANSFERENCIAS MUNICIPALES</v>
          </cell>
          <cell r="K6275">
            <v>96128755</v>
          </cell>
        </row>
        <row r="6276">
          <cell r="I6276">
            <v>891901024</v>
          </cell>
          <cell r="J6276" t="str">
            <v>INSTITUCION EDUCATIVA ACADEMICO - FONDO DE SERVICIOS EDUCATIVOS</v>
          </cell>
          <cell r="K6276">
            <v>145944711</v>
          </cell>
        </row>
        <row r="6277">
          <cell r="I6277">
            <v>891901079</v>
          </cell>
          <cell r="J6277" t="str">
            <v>MUNICIPIO DE ALCALA</v>
          </cell>
          <cell r="K6277">
            <v>139473376</v>
          </cell>
        </row>
        <row r="6278">
          <cell r="I6278">
            <v>891901083</v>
          </cell>
          <cell r="J6278" t="str">
            <v>I.E PRIMITIVO CRESPO</v>
          </cell>
          <cell r="K6278">
            <v>80430329</v>
          </cell>
        </row>
        <row r="6279">
          <cell r="I6279">
            <v>891901084</v>
          </cell>
          <cell r="J6279" t="str">
            <v>FONDOS DE SERVICIOS EDUCATIVOS DE LA INSTITUCION EDUCATIVA SAN JOSE</v>
          </cell>
          <cell r="K6279">
            <v>74033188</v>
          </cell>
        </row>
        <row r="6280">
          <cell r="I6280">
            <v>891901100</v>
          </cell>
          <cell r="J6280" t="str">
            <v>IE SANTA ANA DE LOS CABALLEROS</v>
          </cell>
          <cell r="K6280">
            <v>133895493</v>
          </cell>
        </row>
        <row r="6281">
          <cell r="I6281">
            <v>891901104</v>
          </cell>
          <cell r="J6281" t="str">
            <v>IE GILBERTO ALZATE AVENDAÑO</v>
          </cell>
          <cell r="K6281">
            <v>32934342</v>
          </cell>
        </row>
        <row r="6282">
          <cell r="I6282">
            <v>891901108</v>
          </cell>
          <cell r="J6282" t="str">
            <v>INSTITUCION EDUCATIVA ARGEMIRO ESCOBAR CARDONA</v>
          </cell>
          <cell r="K6282">
            <v>121617898</v>
          </cell>
        </row>
        <row r="6283">
          <cell r="I6283">
            <v>891901109</v>
          </cell>
          <cell r="J6283" t="str">
            <v>MUNICIPIO DE LA UNION VALLE</v>
          </cell>
          <cell r="K6283">
            <v>280393498</v>
          </cell>
        </row>
        <row r="6284">
          <cell r="I6284">
            <v>891901114</v>
          </cell>
          <cell r="J6284" t="str">
            <v>INSTITUCION EDUCATIVA JOSE MARIA FALLA</v>
          </cell>
          <cell r="K6284">
            <v>92108985</v>
          </cell>
        </row>
        <row r="6285">
          <cell r="I6285">
            <v>891901154</v>
          </cell>
          <cell r="J6285" t="str">
            <v>INSTITUCION EDUCATIVA SAN JOSE</v>
          </cell>
          <cell r="K6285">
            <v>43655389</v>
          </cell>
        </row>
        <row r="6286">
          <cell r="I6286">
            <v>891901156</v>
          </cell>
          <cell r="J6286" t="str">
            <v>INSTITUCION EDUCATIVA AGRICOLA CAMPOALEGRE</v>
          </cell>
          <cell r="K6286">
            <v>48124906</v>
          </cell>
        </row>
        <row r="6287">
          <cell r="I6287">
            <v>891901160</v>
          </cell>
          <cell r="J6287" t="str">
            <v>INSTITUCION EDUCATIVA LA PRESENTACION</v>
          </cell>
          <cell r="K6287">
            <v>45964123</v>
          </cell>
        </row>
        <row r="6288">
          <cell r="I6288">
            <v>891901223</v>
          </cell>
          <cell r="J6288" t="str">
            <v>MUNICIPIO DE EL DOVIO</v>
          </cell>
          <cell r="K6288">
            <v>137001655</v>
          </cell>
        </row>
        <row r="6289">
          <cell r="I6289">
            <v>891901226</v>
          </cell>
          <cell r="J6289" t="str">
            <v>INSTITUCION EDUCATIVA LEOCADIO SALAZAR</v>
          </cell>
          <cell r="K6289">
            <v>47579368</v>
          </cell>
        </row>
        <row r="6290">
          <cell r="I6290">
            <v>891901408</v>
          </cell>
          <cell r="J6290" t="str">
            <v>INSTITUCION EDUCATIVA SANTA MARTA</v>
          </cell>
          <cell r="K6290">
            <v>39357745</v>
          </cell>
        </row>
        <row r="6291">
          <cell r="I6291">
            <v>891902273</v>
          </cell>
          <cell r="J6291" t="str">
            <v>I. E. EL PLACER</v>
          </cell>
          <cell r="K6291">
            <v>25120207</v>
          </cell>
        </row>
        <row r="6292">
          <cell r="I6292">
            <v>891903368</v>
          </cell>
          <cell r="J6292" t="str">
            <v>INSTITUCION EDUCATIVA QUEBRADAGRANDE</v>
          </cell>
          <cell r="K6292">
            <v>45098619</v>
          </cell>
        </row>
        <row r="6293">
          <cell r="I6293">
            <v>891903387</v>
          </cell>
          <cell r="J6293" t="str">
            <v>INSTITUCION EDUCATIVA LA MARINA FONDOS DE SERVICIOS EDUCATIVOS</v>
          </cell>
          <cell r="K6293">
            <v>84179432</v>
          </cell>
        </row>
        <row r="6294">
          <cell r="I6294">
            <v>891904107</v>
          </cell>
          <cell r="J6294" t="str">
            <v>INSTITUCION EDUCATIVA EFRAIN VARELA VACA</v>
          </cell>
          <cell r="K6294">
            <v>140190473</v>
          </cell>
        </row>
        <row r="6295">
          <cell r="I6295">
            <v>892000082</v>
          </cell>
          <cell r="J6295" t="str">
            <v>FOSE INSTITUCION EDUCATIVA INSTITUTO TECNICO INDUSTRIAL</v>
          </cell>
          <cell r="K6295">
            <v>180219964</v>
          </cell>
        </row>
        <row r="6296">
          <cell r="I6296">
            <v>892000148</v>
          </cell>
          <cell r="J6296" t="str">
            <v>DEPARTAMENTO DEL META</v>
          </cell>
          <cell r="K6296">
            <v>137386087633</v>
          </cell>
        </row>
        <row r="6297">
          <cell r="I6297">
            <v>892000234</v>
          </cell>
          <cell r="J6297" t="str">
            <v xml:space="preserve">COLEGIO  NACIONALIZADO FEMENINO DE BACHILLERATO </v>
          </cell>
          <cell r="K6297">
            <v>135122566</v>
          </cell>
        </row>
        <row r="6298">
          <cell r="I6298">
            <v>892000489</v>
          </cell>
          <cell r="J6298" t="str">
            <v>Institucion Educativa Jose Maria Cordoba</v>
          </cell>
          <cell r="K6298">
            <v>118076738</v>
          </cell>
        </row>
        <row r="6299">
          <cell r="I6299">
            <v>892000580</v>
          </cell>
          <cell r="J6299" t="str">
            <v>Institucion Educativa Emiliano Restrepo Echavarria</v>
          </cell>
          <cell r="K6299">
            <v>147830729</v>
          </cell>
        </row>
        <row r="6300">
          <cell r="I6300">
            <v>892000680</v>
          </cell>
          <cell r="J6300" t="str">
            <v>Institucion Educativa Jose Eustasio Rivera</v>
          </cell>
          <cell r="K6300">
            <v>77551174</v>
          </cell>
        </row>
        <row r="6301">
          <cell r="I6301">
            <v>892000686</v>
          </cell>
          <cell r="J6301" t="str">
            <v>Institucion Educativa Juan Bautista Arnaud</v>
          </cell>
          <cell r="K6301">
            <v>22101493</v>
          </cell>
        </row>
        <row r="6302">
          <cell r="I6302">
            <v>892000697</v>
          </cell>
          <cell r="J6302" t="str">
            <v>Institucion Educativa San Juan de Arama</v>
          </cell>
          <cell r="K6302">
            <v>67331133</v>
          </cell>
        </row>
        <row r="6303">
          <cell r="I6303">
            <v>892000705</v>
          </cell>
          <cell r="J6303" t="str">
            <v>UNIDAD EDUCATIVA  GENERAL SANTANDER</v>
          </cell>
          <cell r="K6303">
            <v>142222946</v>
          </cell>
        </row>
        <row r="6304">
          <cell r="I6304">
            <v>892000718</v>
          </cell>
          <cell r="J6304" t="str">
            <v>UNIDAD EDUCATIVA NORMAL SUPERIOR MARIA INMACULADA</v>
          </cell>
          <cell r="K6304">
            <v>122523464</v>
          </cell>
        </row>
        <row r="6305">
          <cell r="I6305">
            <v>892000812</v>
          </cell>
          <cell r="J6305" t="str">
            <v>MUNICIPIO DE CUBARRAL</v>
          </cell>
          <cell r="K6305">
            <v>58753926</v>
          </cell>
        </row>
        <row r="6306">
          <cell r="I6306">
            <v>892001457</v>
          </cell>
          <cell r="J6306" t="str">
            <v>MUNICIPIO DE ACACIAS</v>
          </cell>
          <cell r="K6306">
            <v>592622828</v>
          </cell>
        </row>
        <row r="6307">
          <cell r="I6307">
            <v>892001633</v>
          </cell>
          <cell r="J6307" t="str">
            <v>Colegio Nacionalizado Jorge Eliecer Gaitan</v>
          </cell>
          <cell r="K6307">
            <v>216307686</v>
          </cell>
        </row>
        <row r="6308">
          <cell r="I6308">
            <v>892002124</v>
          </cell>
          <cell r="J6308" t="str">
            <v>Institucion Educativa Cabuyaro</v>
          </cell>
          <cell r="K6308">
            <v>67690352</v>
          </cell>
        </row>
        <row r="6309">
          <cell r="I6309">
            <v>892003504</v>
          </cell>
          <cell r="J6309" t="str">
            <v>Institucion Educativa de Desarrollo Rural el Dorado</v>
          </cell>
          <cell r="K6309">
            <v>79212902</v>
          </cell>
        </row>
        <row r="6310">
          <cell r="I6310">
            <v>892099105</v>
          </cell>
          <cell r="J6310" t="str">
            <v>MUNICIPIO DE INIRIDA</v>
          </cell>
          <cell r="K6310">
            <v>372812433</v>
          </cell>
        </row>
        <row r="6311">
          <cell r="I6311">
            <v>892099118</v>
          </cell>
          <cell r="J6311" t="str">
            <v>INSTITUCION EDUCATIVA COLEGIO NACIONALIZDO JOSE ANTONIO GALAN</v>
          </cell>
          <cell r="K6311">
            <v>147298934</v>
          </cell>
        </row>
        <row r="6312">
          <cell r="I6312">
            <v>892099128</v>
          </cell>
          <cell r="J6312" t="str">
            <v>ESCUELA NORMAL SUPERIOR DE VILLAVICENCIO</v>
          </cell>
          <cell r="K6312">
            <v>149389618</v>
          </cell>
        </row>
        <row r="6313">
          <cell r="I6313">
            <v>892099132</v>
          </cell>
          <cell r="J6313" t="str">
            <v>COLEGIO CALDAS FONDO DE FOMENTO DOCENTE</v>
          </cell>
          <cell r="K6313">
            <v>187286184</v>
          </cell>
        </row>
        <row r="6314">
          <cell r="I6314">
            <v>892099140</v>
          </cell>
          <cell r="J6314" t="str">
            <v>INSTITUCION EDUCATIVA CAMILO TORREZ ANTES COLEGIO NACIONALIZADO CAMILO TORRES</v>
          </cell>
          <cell r="K6314">
            <v>249127413</v>
          </cell>
        </row>
        <row r="6315">
          <cell r="I6315">
            <v>892099144</v>
          </cell>
          <cell r="J6315" t="str">
            <v>INSTITUTO NACIONAL DE ENSEÑANZA MEDIA INEM LUIS LOPEZ DE MESA</v>
          </cell>
          <cell r="K6315">
            <v>232139531</v>
          </cell>
        </row>
        <row r="6316">
          <cell r="I6316">
            <v>892099149</v>
          </cell>
          <cell r="J6316" t="str">
            <v>DEPARTAMENTO DEL GUAINIA</v>
          </cell>
          <cell r="K6316">
            <v>26779042361</v>
          </cell>
        </row>
        <row r="6317">
          <cell r="I6317">
            <v>892099159</v>
          </cell>
          <cell r="J6317" t="str">
            <v>Institucion Educativa Colegio Enrique Olaya Herrera</v>
          </cell>
          <cell r="K6317">
            <v>82409157</v>
          </cell>
        </row>
        <row r="6318">
          <cell r="I6318">
            <v>892099167</v>
          </cell>
          <cell r="J6318" t="str">
            <v>Institucion Educativa Pablo Emilio Riveros</v>
          </cell>
          <cell r="K6318">
            <v>110995204</v>
          </cell>
        </row>
        <row r="6319">
          <cell r="I6319">
            <v>892099170</v>
          </cell>
          <cell r="J6319" t="str">
            <v>Institucion Educativa Instituto Agricola Guacavia</v>
          </cell>
          <cell r="K6319">
            <v>56219253</v>
          </cell>
        </row>
        <row r="6320">
          <cell r="I6320">
            <v>892099173</v>
          </cell>
          <cell r="J6320" t="str">
            <v>MUNICIPIO DE VISTA HERMOSA</v>
          </cell>
          <cell r="K6320">
            <v>260049097</v>
          </cell>
        </row>
        <row r="6321">
          <cell r="I6321">
            <v>892099183</v>
          </cell>
          <cell r="J6321" t="str">
            <v>MUNICIPIO DE FUENTE DE ORO</v>
          </cell>
          <cell r="K6321">
            <v>114820909</v>
          </cell>
        </row>
        <row r="6322">
          <cell r="I6322">
            <v>892099184</v>
          </cell>
          <cell r="J6322" t="str">
            <v>MUNICIPIO DE CUMARAL</v>
          </cell>
          <cell r="K6322">
            <v>172032203</v>
          </cell>
        </row>
        <row r="6323">
          <cell r="I6323">
            <v>892099186</v>
          </cell>
          <cell r="J6323" t="str">
            <v>Instituto Educativo Colegio Nacionalizado John F. Kenedy</v>
          </cell>
          <cell r="K6323">
            <v>29313108</v>
          </cell>
        </row>
        <row r="6324">
          <cell r="I6324">
            <v>892099216</v>
          </cell>
          <cell r="J6324" t="str">
            <v>DEPARTAMENTO DEL CASANARE</v>
          </cell>
          <cell r="K6324">
            <v>80926833575</v>
          </cell>
        </row>
        <row r="6325">
          <cell r="I6325">
            <v>892099232</v>
          </cell>
          <cell r="J6325" t="str">
            <v>MUNICIPIO DE CABUYARO</v>
          </cell>
          <cell r="K6325">
            <v>57554336</v>
          </cell>
        </row>
        <row r="6326">
          <cell r="I6326">
            <v>892099233</v>
          </cell>
          <cell r="J6326" t="str">
            <v>MUNICIPIO DE MITU</v>
          </cell>
          <cell r="K6326">
            <v>406481173</v>
          </cell>
        </row>
        <row r="6327">
          <cell r="I6327">
            <v>892099234</v>
          </cell>
          <cell r="J6327" t="str">
            <v>MUNICIPIO DE LA MACARENA</v>
          </cell>
          <cell r="K6327">
            <v>329835093</v>
          </cell>
        </row>
        <row r="6328">
          <cell r="I6328">
            <v>892099242</v>
          </cell>
          <cell r="J6328" t="str">
            <v>MUNICIPIO DE LEJANIAS</v>
          </cell>
          <cell r="K6328">
            <v>93933266</v>
          </cell>
        </row>
        <row r="6329">
          <cell r="I6329">
            <v>892099243</v>
          </cell>
          <cell r="J6329" t="str">
            <v>MUNICIPIO DE GRANADA</v>
          </cell>
          <cell r="K6329">
            <v>597613835</v>
          </cell>
        </row>
        <row r="6330">
          <cell r="I6330">
            <v>892099246</v>
          </cell>
          <cell r="J6330" t="str">
            <v>MUNICIPIO DE SAN JUANITO</v>
          </cell>
          <cell r="K6330">
            <v>14979699</v>
          </cell>
        </row>
        <row r="6331">
          <cell r="I6331">
            <v>892099278</v>
          </cell>
          <cell r="J6331" t="str">
            <v>MUNICIPIO DE EL CASTILLO</v>
          </cell>
          <cell r="K6331">
            <v>91758317</v>
          </cell>
        </row>
        <row r="6332">
          <cell r="I6332">
            <v>892099285</v>
          </cell>
          <cell r="J6332" t="str">
            <v>Institucion Educativa Castilla</v>
          </cell>
          <cell r="K6332">
            <v>126785077</v>
          </cell>
        </row>
        <row r="6333">
          <cell r="I6333">
            <v>892099286</v>
          </cell>
          <cell r="J6333" t="str">
            <v>INSTITUCION EDUCATIVA COLEGIO DEPARTAMENTAL LA ESPERANZA</v>
          </cell>
          <cell r="K6333">
            <v>170552888</v>
          </cell>
        </row>
        <row r="6334">
          <cell r="I6334">
            <v>892099309</v>
          </cell>
          <cell r="J6334" t="str">
            <v>MUNICIPIO DE PUERTO LLERAS</v>
          </cell>
          <cell r="K6334">
            <v>110468169</v>
          </cell>
        </row>
        <row r="6335">
          <cell r="I6335">
            <v>892099317</v>
          </cell>
          <cell r="J6335" t="str">
            <v>MUNICIPIO DE MESETAS</v>
          </cell>
          <cell r="K6335">
            <v>182574441</v>
          </cell>
        </row>
        <row r="6336">
          <cell r="I6336">
            <v>892099324</v>
          </cell>
          <cell r="J6336" t="str">
            <v>MUNICIPIO DE VILLAVICENCIO</v>
          </cell>
          <cell r="K6336">
            <v>109073425924</v>
          </cell>
        </row>
        <row r="6337">
          <cell r="I6337">
            <v>892099392</v>
          </cell>
          <cell r="J6337" t="str">
            <v>MUNICIPIO DE OROCUE</v>
          </cell>
          <cell r="K6337">
            <v>194432553</v>
          </cell>
        </row>
        <row r="6338">
          <cell r="I6338">
            <v>892099412</v>
          </cell>
          <cell r="J6338" t="str">
            <v>Inxtitucion Educativa Hogar Juvenil Simon Bolivar</v>
          </cell>
          <cell r="K6338">
            <v>18815601</v>
          </cell>
        </row>
        <row r="6339">
          <cell r="I6339">
            <v>892099414</v>
          </cell>
          <cell r="J6339" t="str">
            <v>INSTITUCION EDUCATIVA MANUELA BELTRAN</v>
          </cell>
          <cell r="K6339">
            <v>107010135</v>
          </cell>
        </row>
        <row r="6340">
          <cell r="I6340">
            <v>892099428</v>
          </cell>
          <cell r="J6340" t="str">
            <v>Institucion Educativa Colegio Agropecuario</v>
          </cell>
          <cell r="K6340">
            <v>17243062</v>
          </cell>
        </row>
        <row r="6341">
          <cell r="I6341">
            <v>892099460</v>
          </cell>
          <cell r="J6341" t="str">
            <v>INSTITUCION EDUCATIVA EDUARDO CARRANZA</v>
          </cell>
          <cell r="K6341">
            <v>129109347</v>
          </cell>
        </row>
        <row r="6342">
          <cell r="I6342">
            <v>892099472</v>
          </cell>
          <cell r="J6342" t="str">
            <v>Institucion Educativa Remolino</v>
          </cell>
          <cell r="K6342">
            <v>60933197</v>
          </cell>
        </row>
        <row r="6343">
          <cell r="I6343">
            <v>892099475</v>
          </cell>
          <cell r="J6343" t="str">
            <v>MUNICIPIO DE VILLANUEVA</v>
          </cell>
          <cell r="K6343">
            <v>266163709</v>
          </cell>
        </row>
        <row r="6344">
          <cell r="I6344">
            <v>892099494</v>
          </cell>
          <cell r="J6344" t="str">
            <v>MUNICIPIO DE ARAUQUITA</v>
          </cell>
          <cell r="K6344">
            <v>443987943</v>
          </cell>
        </row>
        <row r="6345">
          <cell r="I6345">
            <v>892099508</v>
          </cell>
          <cell r="J6345" t="str">
            <v>COLEGIO DEPARTAMENTAL AGROPECUARIO LAS MERCEDES</v>
          </cell>
          <cell r="K6345">
            <v>42502547</v>
          </cell>
        </row>
        <row r="6346">
          <cell r="I6346">
            <v>892099548</v>
          </cell>
          <cell r="J6346" t="str">
            <v>MUNICIPIO DE SAN MARTIN</v>
          </cell>
          <cell r="K6346">
            <v>197377068</v>
          </cell>
        </row>
        <row r="6347">
          <cell r="I6347">
            <v>892100045</v>
          </cell>
          <cell r="J6347" t="str">
            <v>LA INSTITUCION EDUCATIVA ALMIRANTE PADILLA</v>
          </cell>
          <cell r="K6347">
            <v>155444372</v>
          </cell>
        </row>
        <row r="6348">
          <cell r="I6348">
            <v>892115007</v>
          </cell>
          <cell r="J6348" t="str">
            <v>MUNICIPIO DE RIOHACHA</v>
          </cell>
          <cell r="K6348">
            <v>74423948426</v>
          </cell>
        </row>
        <row r="6349">
          <cell r="I6349">
            <v>892115013</v>
          </cell>
          <cell r="J6349" t="str">
            <v>INSTITUCION EDUCATIVA AGROPECUARIA DE FONSECA</v>
          </cell>
          <cell r="K6349">
            <v>108019123</v>
          </cell>
        </row>
        <row r="6350">
          <cell r="I6350">
            <v>892115015</v>
          </cell>
          <cell r="J6350" t="str">
            <v>DEPARTAMENTO DE LA GUAJIRA</v>
          </cell>
          <cell r="K6350">
            <v>118605445693</v>
          </cell>
        </row>
        <row r="6351">
          <cell r="I6351">
            <v>892115024</v>
          </cell>
          <cell r="J6351" t="str">
            <v>MUNICIPIO DE MANAURE</v>
          </cell>
          <cell r="K6351">
            <v>2234341389</v>
          </cell>
        </row>
        <row r="6352">
          <cell r="I6352">
            <v>892115090</v>
          </cell>
          <cell r="J6352" t="str">
            <v>Institucion Educativa Tecnica Rural Agricola de Tomarrazon</v>
          </cell>
          <cell r="K6352">
            <v>98940260</v>
          </cell>
        </row>
        <row r="6353">
          <cell r="I6353">
            <v>892115145</v>
          </cell>
          <cell r="J6353" t="str">
            <v>INSTITUCIN EDUCATIVA NUESTRA SEORA DEL CARMEN</v>
          </cell>
          <cell r="K6353">
            <v>95112498</v>
          </cell>
        </row>
        <row r="6354">
          <cell r="I6354">
            <v>892115155</v>
          </cell>
          <cell r="J6354" t="str">
            <v>MUNICIPIO DE URIBIA</v>
          </cell>
          <cell r="K6354">
            <v>47313926512</v>
          </cell>
        </row>
        <row r="6355">
          <cell r="I6355">
            <v>892115179</v>
          </cell>
          <cell r="J6355" t="str">
            <v>MUNICIPIO DE SAN JUAN DEL CESAR</v>
          </cell>
          <cell r="K6355">
            <v>524269893</v>
          </cell>
        </row>
        <row r="6356">
          <cell r="I6356">
            <v>892115181</v>
          </cell>
          <cell r="J6356" t="str">
            <v>INSTITUCION EDUCATIVA ROIG Y VILLALBA</v>
          </cell>
          <cell r="K6356">
            <v>109885032</v>
          </cell>
        </row>
        <row r="6357">
          <cell r="I6357">
            <v>892115191</v>
          </cell>
          <cell r="J6357" t="str">
            <v>INSTITUCION ETNOEDUCATIVA MONTE ALVERNIA</v>
          </cell>
          <cell r="K6357">
            <v>95379249</v>
          </cell>
        </row>
        <row r="6358">
          <cell r="I6358">
            <v>892115198</v>
          </cell>
          <cell r="J6358" t="str">
            <v>MUNICIPIO DE VILLANUEVA</v>
          </cell>
          <cell r="K6358">
            <v>260283597</v>
          </cell>
        </row>
        <row r="6359">
          <cell r="I6359">
            <v>892115240</v>
          </cell>
          <cell r="J6359" t="str">
            <v>INSTITUCION EDUCATIVA TECNICA AGRICOLA ISMAEL RODRIGUEZ FUENTES</v>
          </cell>
          <cell r="K6359">
            <v>31658688</v>
          </cell>
        </row>
        <row r="6360">
          <cell r="I6360">
            <v>892115277</v>
          </cell>
          <cell r="J6360" t="str">
            <v>INSTITUCION MANUEL ANTONIO DAVILA</v>
          </cell>
          <cell r="K6360">
            <v>52513808</v>
          </cell>
        </row>
        <row r="6361">
          <cell r="I6361">
            <v>892115313</v>
          </cell>
          <cell r="J6361" t="str">
            <v>INSTITUCIN EDUCATIVA PAULO VI</v>
          </cell>
          <cell r="K6361">
            <v>118043100</v>
          </cell>
        </row>
        <row r="6362">
          <cell r="I6362">
            <v>892115351</v>
          </cell>
          <cell r="J6362" t="str">
            <v>Institucion Educativa Helion Pinedo Rios</v>
          </cell>
          <cell r="K6362">
            <v>104019630</v>
          </cell>
        </row>
        <row r="6363">
          <cell r="I6363">
            <v>892115470</v>
          </cell>
          <cell r="J6363" t="str">
            <v>INSTITUCION RURAL HUGUES MANUEL LACOUTURE</v>
          </cell>
          <cell r="K6363">
            <v>33806779</v>
          </cell>
        </row>
        <row r="6364">
          <cell r="I6364">
            <v>892120019</v>
          </cell>
          <cell r="J6364" t="str">
            <v>INSTITUCION EDUCATIVA N. 5</v>
          </cell>
          <cell r="K6364">
            <v>118929825</v>
          </cell>
        </row>
        <row r="6365">
          <cell r="I6365">
            <v>892120020</v>
          </cell>
          <cell r="J6365" t="str">
            <v>MUNICIPIO DE MAICAO</v>
          </cell>
          <cell r="K6365">
            <v>56880808317</v>
          </cell>
        </row>
        <row r="6366">
          <cell r="I6366">
            <v>892120103</v>
          </cell>
          <cell r="J6366" t="str">
            <v>INSTITUCION EDUCATIVA AGRICOLA RURAL NO 12</v>
          </cell>
          <cell r="K6366">
            <v>65178664</v>
          </cell>
        </row>
        <row r="6367">
          <cell r="I6367">
            <v>892140002</v>
          </cell>
          <cell r="J6367" t="str">
            <v>INSTITUCION EDUCATIVA ROQUE DE ALBA</v>
          </cell>
          <cell r="K6367">
            <v>101355864</v>
          </cell>
        </row>
        <row r="6368">
          <cell r="I6368">
            <v>892140013</v>
          </cell>
          <cell r="J6368" t="str">
            <v>INSTITUCION EDUCATIVA TECNICA DE PROMOCION SOCIAL</v>
          </cell>
          <cell r="K6368">
            <v>46051474</v>
          </cell>
        </row>
        <row r="6369">
          <cell r="I6369">
            <v>892160007</v>
          </cell>
          <cell r="J6369" t="str">
            <v>INSTITUCION EDUCATIVA NORMAL SUPERIOR</v>
          </cell>
          <cell r="K6369">
            <v>110883651</v>
          </cell>
        </row>
        <row r="6370">
          <cell r="I6370">
            <v>892170005</v>
          </cell>
          <cell r="J6370" t="str">
            <v>INSTITUCION EDUCATIVA JUAN JACOBO ARAGON</v>
          </cell>
          <cell r="K6370">
            <v>126710014</v>
          </cell>
        </row>
        <row r="6371">
          <cell r="I6371">
            <v>892200058</v>
          </cell>
          <cell r="J6371" t="str">
            <v>MUNICIPIO DE CAIMITO</v>
          </cell>
          <cell r="K6371">
            <v>200096351</v>
          </cell>
        </row>
        <row r="6372">
          <cell r="I6372">
            <v>892200156</v>
          </cell>
          <cell r="J6372" t="str">
            <v>INSTITUCION EDUCATIVA ANTONIO LENIS</v>
          </cell>
          <cell r="K6372">
            <v>231017860</v>
          </cell>
        </row>
        <row r="6373">
          <cell r="I6373">
            <v>892200312</v>
          </cell>
          <cell r="J6373" t="str">
            <v>MUNICIPIO DE PALMITO</v>
          </cell>
          <cell r="K6373">
            <v>259692706</v>
          </cell>
        </row>
        <row r="6374">
          <cell r="I6374">
            <v>892200591</v>
          </cell>
          <cell r="J6374" t="str">
            <v>MUNICIPIO DE SAN MARCOS</v>
          </cell>
          <cell r="K6374">
            <v>810920880</v>
          </cell>
        </row>
        <row r="6375">
          <cell r="I6375">
            <v>892200592</v>
          </cell>
          <cell r="J6375" t="str">
            <v>MUNICIPIO DE SAN ONOFRE</v>
          </cell>
          <cell r="K6375">
            <v>952601461</v>
          </cell>
        </row>
        <row r="6376">
          <cell r="I6376">
            <v>892200686</v>
          </cell>
          <cell r="J6376" t="str">
            <v>INSTITUCION EDUCATIVA JOSE IGNACIO LOPEZ</v>
          </cell>
          <cell r="K6376">
            <v>83344294</v>
          </cell>
        </row>
        <row r="6377">
          <cell r="I6377">
            <v>892200737</v>
          </cell>
          <cell r="J6377" t="str">
            <v>INSTITUCION EDUCATIVA TECNICO INDUSTRIAL ANTONIO PRIETO</v>
          </cell>
          <cell r="K6377">
            <v>233993795</v>
          </cell>
        </row>
        <row r="6378">
          <cell r="I6378">
            <v>892200740</v>
          </cell>
          <cell r="J6378" t="str">
            <v>MUNICIPIO DE CHALAN</v>
          </cell>
          <cell r="K6378">
            <v>76511694</v>
          </cell>
        </row>
        <row r="6379">
          <cell r="I6379">
            <v>892200745</v>
          </cell>
          <cell r="J6379" t="str">
            <v>Fondo de servicios educativos CDR</v>
          </cell>
          <cell r="K6379">
            <v>43749288</v>
          </cell>
        </row>
        <row r="6380">
          <cell r="I6380">
            <v>892200839</v>
          </cell>
          <cell r="J6380" t="str">
            <v>MUNICIPIO DE TOLU EN REESTRUCTURACION</v>
          </cell>
          <cell r="K6380">
            <v>326125737</v>
          </cell>
        </row>
        <row r="6381">
          <cell r="I6381">
            <v>892201066</v>
          </cell>
          <cell r="J6381" t="str">
            <v>Institucion Educativa Nuestra Señora de las Mercedes</v>
          </cell>
          <cell r="K6381">
            <v>59358753</v>
          </cell>
        </row>
        <row r="6382">
          <cell r="I6382">
            <v>892201067</v>
          </cell>
          <cell r="J6382" t="str">
            <v>INSTITUCION EDUCATIVA POLICARPA SALAVARRIETA</v>
          </cell>
          <cell r="K6382">
            <v>163723656</v>
          </cell>
        </row>
        <row r="6383">
          <cell r="I6383">
            <v>892201149</v>
          </cell>
          <cell r="J6383" t="str">
            <v>INSTITUCION EDUCATIVA LICEO CARMELO PERCY VERGARA</v>
          </cell>
          <cell r="K6383">
            <v>227622706</v>
          </cell>
        </row>
        <row r="6384">
          <cell r="I6384">
            <v>892201151</v>
          </cell>
          <cell r="J6384" t="str">
            <v>INSTITUCION EDUCATIVA SAN JUAN BAUTISTA</v>
          </cell>
          <cell r="K6384">
            <v>42370217</v>
          </cell>
        </row>
        <row r="6385">
          <cell r="I6385">
            <v>892201169</v>
          </cell>
          <cell r="J6385" t="str">
            <v>FONDO DE GRATUIDAD DE LA INSTITUCION EDUCATIVA TECNICO AGROPECUARIA DE BUENAVISTA</v>
          </cell>
          <cell r="K6385">
            <v>124076978</v>
          </cell>
        </row>
        <row r="6386">
          <cell r="I6386">
            <v>892201233</v>
          </cell>
          <cell r="J6386" t="str">
            <v>I.E. ANTONIA SANTOS</v>
          </cell>
          <cell r="K6386">
            <v>162018868</v>
          </cell>
        </row>
        <row r="6387">
          <cell r="I6387">
            <v>892201254</v>
          </cell>
          <cell r="J6387" t="str">
            <v>Fondo de servicios educativos Institución Educativa Mariscal Sucre</v>
          </cell>
          <cell r="K6387">
            <v>172045541</v>
          </cell>
        </row>
        <row r="6388">
          <cell r="I6388">
            <v>892201270</v>
          </cell>
          <cell r="J6388" t="str">
            <v>INSTITUCION EDUCATIVA TECNICO AGROPECUARIO GUILLERMO PATRON</v>
          </cell>
          <cell r="K6388">
            <v>51220120</v>
          </cell>
        </row>
        <row r="6389">
          <cell r="I6389">
            <v>892201282</v>
          </cell>
          <cell r="J6389" t="str">
            <v>MUNICIPIO DE SAN JUAN DE BETULIA</v>
          </cell>
          <cell r="K6389">
            <v>164448459</v>
          </cell>
        </row>
        <row r="6390">
          <cell r="I6390">
            <v>892201286</v>
          </cell>
          <cell r="J6390" t="str">
            <v>MUNICIPIO DE  BUENAVISTA</v>
          </cell>
          <cell r="K6390">
            <v>132753761</v>
          </cell>
        </row>
        <row r="6391">
          <cell r="I6391">
            <v>892201287</v>
          </cell>
          <cell r="J6391" t="str">
            <v>MUNICIPIO DE LOS PALMITOS</v>
          </cell>
          <cell r="K6391">
            <v>290430532</v>
          </cell>
        </row>
        <row r="6392">
          <cell r="I6392">
            <v>892201296</v>
          </cell>
          <cell r="J6392" t="str">
            <v>MUNICIPIO DE MORROA</v>
          </cell>
          <cell r="K6392">
            <v>193646453</v>
          </cell>
        </row>
        <row r="6393">
          <cell r="I6393">
            <v>892280020</v>
          </cell>
          <cell r="J6393" t="str">
            <v>INSTITUCION EDUCATIVA NORMAL SUPERIOR DE SINCELEJO</v>
          </cell>
          <cell r="K6393">
            <v>296558014</v>
          </cell>
        </row>
        <row r="6394">
          <cell r="I6394">
            <v>892280021</v>
          </cell>
          <cell r="J6394" t="str">
            <v>DEPARTAMENTO DE SUCRE</v>
          </cell>
          <cell r="K6394">
            <v>224884774328</v>
          </cell>
        </row>
        <row r="6395">
          <cell r="I6395">
            <v>892280030</v>
          </cell>
          <cell r="J6395" t="str">
            <v>INSTITUCION EDUCATIVA SIMON ARAUJO</v>
          </cell>
          <cell r="K6395">
            <v>256718800</v>
          </cell>
        </row>
        <row r="6396">
          <cell r="I6396">
            <v>892280032</v>
          </cell>
          <cell r="J6396" t="str">
            <v>MUNICIPIO DE COROZAL</v>
          </cell>
          <cell r="K6396">
            <v>738825745</v>
          </cell>
        </row>
        <row r="6397">
          <cell r="I6397">
            <v>892280053</v>
          </cell>
          <cell r="J6397" t="str">
            <v>MUNICIPIO DE COLOSO</v>
          </cell>
          <cell r="K6397">
            <v>139312082</v>
          </cell>
        </row>
        <row r="6398">
          <cell r="I6398">
            <v>892280055</v>
          </cell>
          <cell r="J6398" t="str">
            <v>MUNICIPIO DE SAMPUES</v>
          </cell>
          <cell r="K6398">
            <v>741084813</v>
          </cell>
        </row>
        <row r="6399">
          <cell r="I6399">
            <v>892280057</v>
          </cell>
          <cell r="J6399" t="str">
            <v>MUNICIPIO DE MAJAGUAL</v>
          </cell>
          <cell r="K6399">
            <v>761177711</v>
          </cell>
        </row>
        <row r="6400">
          <cell r="I6400">
            <v>892280061</v>
          </cell>
          <cell r="J6400" t="str">
            <v>MUNICIPIO DE SUCRE SUCRE</v>
          </cell>
          <cell r="K6400">
            <v>510647039</v>
          </cell>
        </row>
        <row r="6401">
          <cell r="I6401">
            <v>892280063</v>
          </cell>
          <cell r="J6401" t="str">
            <v>MUNICIPIO DE SAN PEDRO</v>
          </cell>
          <cell r="K6401">
            <v>251359059</v>
          </cell>
        </row>
        <row r="6402">
          <cell r="I6402">
            <v>892280075</v>
          </cell>
          <cell r="J6402" t="str">
            <v>I.E. HERIBERTO GARCIA GARRIDO</v>
          </cell>
          <cell r="K6402">
            <v>133790361</v>
          </cell>
        </row>
        <row r="6403">
          <cell r="I6403">
            <v>892300110</v>
          </cell>
          <cell r="J6403" t="str">
            <v>FONDO DE SERVICIOS EDUCATIVOS INSTITUCION JOSE MARIA CAMPO SERRANO</v>
          </cell>
          <cell r="K6403">
            <v>158982705</v>
          </cell>
        </row>
        <row r="6404">
          <cell r="I6404">
            <v>892300123</v>
          </cell>
          <cell r="J6404" t="str">
            <v>MUNICIPIO DE RIO DE ORO</v>
          </cell>
          <cell r="K6404">
            <v>195428919</v>
          </cell>
        </row>
        <row r="6405">
          <cell r="I6405">
            <v>892300220</v>
          </cell>
          <cell r="J6405" t="str">
            <v>FONDOS DE SERVICIOS EDUCATIVOS INSTITUCION EDUCATIVA NACIONAL AGUSTIN CODAZZI</v>
          </cell>
          <cell r="K6405">
            <v>287617829</v>
          </cell>
        </row>
        <row r="6406">
          <cell r="I6406">
            <v>892300265</v>
          </cell>
          <cell r="J6406" t="str">
            <v>NORMAL MARIA INMACULADA DE MANAURE CESAR</v>
          </cell>
          <cell r="K6406">
            <v>128954314</v>
          </cell>
        </row>
        <row r="6407">
          <cell r="I6407">
            <v>892300282</v>
          </cell>
          <cell r="J6407" t="str">
            <v>FONDO DE SERVICIOS EDUCATIVOS DE LA INSTITUCION EDUCATIVA CAMILO TORRES</v>
          </cell>
          <cell r="K6407">
            <v>114004963</v>
          </cell>
        </row>
        <row r="6408">
          <cell r="I6408">
            <v>892300284</v>
          </cell>
          <cell r="J6408" t="str">
            <v>I.E. Colegio Femenino Prudencia Daza</v>
          </cell>
          <cell r="K6408">
            <v>149298602</v>
          </cell>
        </row>
        <row r="6409">
          <cell r="I6409">
            <v>892300302</v>
          </cell>
          <cell r="J6409" t="str">
            <v>FONDO DE SERVICIOS EDUCATIVOS ESCUELA NORMAL</v>
          </cell>
          <cell r="K6409">
            <v>43498608</v>
          </cell>
        </row>
        <row r="6410">
          <cell r="I6410">
            <v>892300303</v>
          </cell>
          <cell r="J6410" t="str">
            <v>FONDOS DE SERVICIOS EDUCATIVOS COLEGIO NACIONAL ALFONSO LOPEZ PUMAREJO</v>
          </cell>
          <cell r="K6410">
            <v>54791942</v>
          </cell>
        </row>
        <row r="6411">
          <cell r="I6411">
            <v>892300306</v>
          </cell>
          <cell r="J6411" t="str">
            <v>I.E. Pedro Castro Monsalvo</v>
          </cell>
          <cell r="K6411">
            <v>235879326</v>
          </cell>
        </row>
        <row r="6412">
          <cell r="I6412">
            <v>892300325</v>
          </cell>
          <cell r="J6412" t="str">
            <v>INSTITUCION TECNICA EDUCATIVA  CONCENTRACION DE DESARROLLO RURAL</v>
          </cell>
          <cell r="K6412">
            <v>57144318</v>
          </cell>
        </row>
        <row r="6413">
          <cell r="I6413">
            <v>892300448</v>
          </cell>
          <cell r="J6413" t="str">
            <v>INSTITUCION EDUCATIVA ALFONSO LOPEZ PUMAREJO</v>
          </cell>
          <cell r="K6413">
            <v>167416206</v>
          </cell>
        </row>
        <row r="6414">
          <cell r="I6414">
            <v>892300577</v>
          </cell>
          <cell r="J6414" t="str">
            <v>INSTITUTO AGRICOLA ROSA JAIME</v>
          </cell>
          <cell r="K6414">
            <v>91479580</v>
          </cell>
        </row>
        <row r="6415">
          <cell r="I6415">
            <v>892300619</v>
          </cell>
          <cell r="J6415" t="str">
            <v>COLEGIO JORGE ELIECER GAITAN DE GONZALEZ CESAR FONDOS DOCENTES</v>
          </cell>
          <cell r="K6415">
            <v>40917391</v>
          </cell>
        </row>
        <row r="6416">
          <cell r="I6416">
            <v>892300650</v>
          </cell>
          <cell r="J6416" t="str">
            <v>INSTITUCION EDUCATIVA JUAN MEJIA GOMEZ</v>
          </cell>
          <cell r="K6416">
            <v>137258153</v>
          </cell>
        </row>
        <row r="6417">
          <cell r="I6417">
            <v>892300668</v>
          </cell>
          <cell r="J6417" t="str">
            <v>FONDO DE SERVICIOS EDUCATIVOS</v>
          </cell>
          <cell r="K6417">
            <v>88846556</v>
          </cell>
        </row>
        <row r="6418">
          <cell r="I6418">
            <v>892300680</v>
          </cell>
          <cell r="J6418" t="str">
            <v>INSTITUCION EDUCATIVA GUILLERMO LEON VALENCIA</v>
          </cell>
          <cell r="K6418">
            <v>204170991</v>
          </cell>
        </row>
        <row r="6419">
          <cell r="I6419">
            <v>892300815</v>
          </cell>
          <cell r="J6419" t="str">
            <v>MUNICIPIO DE CHIMICHAGUA</v>
          </cell>
          <cell r="K6419">
            <v>606671709</v>
          </cell>
        </row>
        <row r="6420">
          <cell r="I6420">
            <v>892301093</v>
          </cell>
          <cell r="J6420" t="str">
            <v>MUNICIPIO DE SAN MARTIN</v>
          </cell>
          <cell r="K6420">
            <v>246544529</v>
          </cell>
        </row>
        <row r="6421">
          <cell r="I6421">
            <v>892301119</v>
          </cell>
          <cell r="J6421" t="str">
            <v>INSTITUCION EDUCATIVA AGROPECUARIA AGUSTIN RANGEL</v>
          </cell>
          <cell r="K6421">
            <v>73868420</v>
          </cell>
        </row>
        <row r="6422">
          <cell r="I6422">
            <v>892301130</v>
          </cell>
          <cell r="J6422" t="str">
            <v>MUNICIPIO DE BOSCONIA</v>
          </cell>
          <cell r="K6422">
            <v>563032309</v>
          </cell>
        </row>
        <row r="6423">
          <cell r="I6423">
            <v>892301541</v>
          </cell>
          <cell r="J6423" t="str">
            <v>MUNICIPIO DE ASTREA</v>
          </cell>
          <cell r="K6423">
            <v>350512379</v>
          </cell>
        </row>
        <row r="6424">
          <cell r="I6424">
            <v>892301735</v>
          </cell>
          <cell r="J6424" t="str">
            <v>FONDO DE SERVICIOS EDUCATIVOS DE LA INSTITUCION EDUCATIVA SAN ALBERTO MAGNO</v>
          </cell>
          <cell r="K6424">
            <v>134640018</v>
          </cell>
        </row>
        <row r="6425">
          <cell r="I6425">
            <v>892301761</v>
          </cell>
          <cell r="J6425" t="str">
            <v>MUNICIPIO DE MANAURE BALCON DEL CESAR</v>
          </cell>
          <cell r="K6425">
            <v>148223488</v>
          </cell>
        </row>
        <row r="6426">
          <cell r="I6426">
            <v>892399992</v>
          </cell>
          <cell r="J6426" t="str">
            <v>COLEGIO NACIONAL LOPERENA</v>
          </cell>
          <cell r="K6426">
            <v>235074530</v>
          </cell>
        </row>
        <row r="6427">
          <cell r="I6427">
            <v>892399999</v>
          </cell>
          <cell r="J6427" t="str">
            <v>DEPARTAMENTO DEL CESAR</v>
          </cell>
          <cell r="K6427">
            <v>210101129748</v>
          </cell>
        </row>
        <row r="6428">
          <cell r="I6428">
            <v>892400038</v>
          </cell>
          <cell r="J6428" t="str">
            <v>DEPARTAMENTO ARCHIPIELAGO DE SAN ANDRES PROVIDENCIA Y SANTA CATALINA</v>
          </cell>
          <cell r="K6428">
            <v>17291571755</v>
          </cell>
        </row>
        <row r="6429">
          <cell r="I6429">
            <v>892400283</v>
          </cell>
          <cell r="J6429" t="str">
            <v>INSTITUCIÓN EDUCATIVA TÉCNICO INDUSTRIAL</v>
          </cell>
          <cell r="K6429">
            <v>46952833</v>
          </cell>
        </row>
        <row r="6430">
          <cell r="I6430">
            <v>892400354</v>
          </cell>
          <cell r="J6430" t="str">
            <v>CENTRO EDUCATIVO BOMBONA</v>
          </cell>
          <cell r="K6430">
            <v>62071344</v>
          </cell>
        </row>
        <row r="6431">
          <cell r="I6431">
            <v>892400713</v>
          </cell>
          <cell r="J6431" t="str">
            <v>INSTITUCIÓN EDUCATIVA BOLIVARIANO</v>
          </cell>
          <cell r="K6431">
            <v>76548825</v>
          </cell>
        </row>
        <row r="6432">
          <cell r="I6432">
            <v>899999061</v>
          </cell>
          <cell r="J6432" t="str">
            <v>BOGOTA DISTRITO CAPITAL</v>
          </cell>
          <cell r="K6432">
            <v>1107380348298</v>
          </cell>
        </row>
        <row r="6433">
          <cell r="I6433">
            <v>899999078</v>
          </cell>
          <cell r="J6433" t="str">
            <v>INSTITUCION EDUCATIVA LICEO  NACIONAL JOSE JOAQUIN CASAS</v>
          </cell>
          <cell r="K6433">
            <v>179895463</v>
          </cell>
        </row>
        <row r="6434">
          <cell r="I6434">
            <v>899999099</v>
          </cell>
          <cell r="J6434" t="str">
            <v>INSTITUCION EDUCATIVA DE DESARROLLO RURAL</v>
          </cell>
          <cell r="K6434">
            <v>87126867</v>
          </cell>
        </row>
        <row r="6435">
          <cell r="I6435">
            <v>899999105</v>
          </cell>
          <cell r="J6435" t="str">
            <v>INSTITUCION EDUCATIVA DEPARTAMENTAL LA MERCED</v>
          </cell>
          <cell r="K6435">
            <v>228690260</v>
          </cell>
        </row>
        <row r="6436">
          <cell r="I6436">
            <v>899999106</v>
          </cell>
          <cell r="J6436" t="str">
            <v>IED ANTONIO NARIÑO</v>
          </cell>
          <cell r="K6436">
            <v>144195500</v>
          </cell>
        </row>
        <row r="6437">
          <cell r="I6437">
            <v>899999114</v>
          </cell>
          <cell r="J6437" t="str">
            <v>DEPARTAMENTO DE CUNDINAMARCA</v>
          </cell>
          <cell r="K6437">
            <v>399895921053</v>
          </cell>
        </row>
        <row r="6438">
          <cell r="I6438">
            <v>899999121</v>
          </cell>
          <cell r="J6438" t="str">
            <v>INSTITUTO NACIONAL FEMENINO LORENCITA VILLEGAS DE SANTOS</v>
          </cell>
          <cell r="K6438">
            <v>64572321</v>
          </cell>
        </row>
        <row r="6439">
          <cell r="I6439">
            <v>899999132</v>
          </cell>
          <cell r="J6439" t="str">
            <v>INSTITUCION EDUCATIVA MUNICIPAL MANUELA AYALA DE GAITAN</v>
          </cell>
          <cell r="K6439">
            <v>130511635</v>
          </cell>
        </row>
        <row r="6440">
          <cell r="I6440">
            <v>899999139</v>
          </cell>
          <cell r="J6440" t="str">
            <v>IED COLEGIO NACIONAL NICOLAS ESGUERRA</v>
          </cell>
          <cell r="K6440">
            <v>143026084</v>
          </cell>
        </row>
        <row r="6441">
          <cell r="I6441">
            <v>899999172</v>
          </cell>
          <cell r="J6441" t="str">
            <v>MUNICIPIO DE CHIA</v>
          </cell>
          <cell r="K6441">
            <v>19896263369</v>
          </cell>
        </row>
        <row r="6442">
          <cell r="I6442">
            <v>899999173</v>
          </cell>
          <cell r="J6442" t="str">
            <v>ALCALDIA MUNICIPAL DE SAN FRANCISCO CUNDINAMARCA</v>
          </cell>
          <cell r="K6442">
            <v>71645175</v>
          </cell>
        </row>
        <row r="6443">
          <cell r="I6443">
            <v>899999177</v>
          </cell>
          <cell r="J6443" t="str">
            <v>Intitucion Educativa Deptal General Carlos Alban</v>
          </cell>
          <cell r="K6443">
            <v>52921468</v>
          </cell>
        </row>
        <row r="6444">
          <cell r="I6444">
            <v>899999193</v>
          </cell>
          <cell r="J6444" t="str">
            <v>INSTITUCION EDUCATIVA DEPARTAMENTAL IGNACIO PESCADOR</v>
          </cell>
          <cell r="K6444">
            <v>110642621</v>
          </cell>
        </row>
        <row r="6445">
          <cell r="I6445">
            <v>899999269</v>
          </cell>
          <cell r="J6445" t="str">
            <v>IED CLEMENCIA DE CAYCEDO</v>
          </cell>
          <cell r="K6445">
            <v>86273833</v>
          </cell>
        </row>
        <row r="6446">
          <cell r="I6446">
            <v>899999272</v>
          </cell>
          <cell r="J6446" t="str">
            <v>COLEGIO DEPARTAMENTAL CALIXTO GAITAN</v>
          </cell>
          <cell r="K6446">
            <v>28205302</v>
          </cell>
        </row>
        <row r="6447">
          <cell r="I6447">
            <v>899999273</v>
          </cell>
          <cell r="J6447" t="str">
            <v>FONDO DE SERVICIOS DOCENTE IED NORMAL SUPERIOR</v>
          </cell>
          <cell r="K6447">
            <v>51106237</v>
          </cell>
        </row>
        <row r="6448">
          <cell r="I6448">
            <v>899999277</v>
          </cell>
          <cell r="J6448" t="str">
            <v>INSTITUCION EDUCATIVA DISTRITAL INTEGRADO DE FONTIBON</v>
          </cell>
          <cell r="K6448">
            <v>156425634</v>
          </cell>
        </row>
        <row r="6449">
          <cell r="I6449">
            <v>899999289</v>
          </cell>
          <cell r="J6449" t="str">
            <v>FONDOS SERVICIOS EDUCATIVOS</v>
          </cell>
          <cell r="K6449">
            <v>236849099</v>
          </cell>
        </row>
        <row r="6450">
          <cell r="I6450">
            <v>899999292</v>
          </cell>
          <cell r="J6450" t="str">
            <v>INSTITUCION EDUCATIVA DE USAQUEN</v>
          </cell>
          <cell r="K6450">
            <v>139196400</v>
          </cell>
        </row>
        <row r="6451">
          <cell r="I6451">
            <v>899999302</v>
          </cell>
          <cell r="J6451" t="str">
            <v>MUNICIPO DE LETICIA</v>
          </cell>
          <cell r="K6451">
            <v>532333739</v>
          </cell>
        </row>
        <row r="6452">
          <cell r="I6452">
            <v>899999312</v>
          </cell>
          <cell r="J6452" t="str">
            <v>MUNICIPIO  DE VILLETA</v>
          </cell>
          <cell r="K6452">
            <v>212204895</v>
          </cell>
        </row>
        <row r="6453">
          <cell r="I6453">
            <v>899999314</v>
          </cell>
          <cell r="J6453" t="str">
            <v>MUNICIPIO DE SUBACHOQUE</v>
          </cell>
          <cell r="K6453">
            <v>109522581</v>
          </cell>
        </row>
        <row r="6454">
          <cell r="I6454">
            <v>899999318</v>
          </cell>
          <cell r="J6454" t="str">
            <v>MUNICIPIO DE ZIPAQUIRA</v>
          </cell>
          <cell r="K6454">
            <v>22582928118</v>
          </cell>
        </row>
        <row r="6455">
          <cell r="I6455">
            <v>899999328</v>
          </cell>
          <cell r="J6455" t="str">
            <v>MUNICIPIO DE FACATATIVA</v>
          </cell>
          <cell r="K6455">
            <v>25452038716</v>
          </cell>
        </row>
        <row r="6456">
          <cell r="I6456">
            <v>899999331</v>
          </cell>
          <cell r="J6456" t="str">
            <v>MUNICIPIO DE GACHETA</v>
          </cell>
          <cell r="K6456">
            <v>104330394</v>
          </cell>
        </row>
        <row r="6457">
          <cell r="I6457">
            <v>899999334</v>
          </cell>
          <cell r="J6457" t="str">
            <v>Fondo de Servicios Educativos de la Institucion Educativa Integrado de Soacha</v>
          </cell>
          <cell r="K6457">
            <v>258759452</v>
          </cell>
        </row>
        <row r="6458">
          <cell r="I6458">
            <v>899999336</v>
          </cell>
          <cell r="J6458" t="str">
            <v>GOBERNACION DEL AMAZONAS</v>
          </cell>
          <cell r="K6458">
            <v>28774265271</v>
          </cell>
        </row>
        <row r="6459">
          <cell r="I6459">
            <v>899999342</v>
          </cell>
          <cell r="J6459" t="str">
            <v>MUNICIPIO DE MOSQUERA</v>
          </cell>
          <cell r="K6459">
            <v>17612528464</v>
          </cell>
        </row>
        <row r="6460">
          <cell r="I6460">
            <v>899999343</v>
          </cell>
          <cell r="J6460" t="str">
            <v>COLEGIO DEPARTAMENTAL BALDOMERO SANIN CANO</v>
          </cell>
          <cell r="K6460">
            <v>31294802</v>
          </cell>
        </row>
        <row r="6461">
          <cell r="I6461">
            <v>899999349</v>
          </cell>
          <cell r="J6461" t="str">
            <v>FSE INTS. TECN. JOSE DE SAN M.</v>
          </cell>
          <cell r="K6461">
            <v>169855151</v>
          </cell>
        </row>
        <row r="6462">
          <cell r="I6462">
            <v>899999351</v>
          </cell>
          <cell r="J6462" t="str">
            <v>INSTITUTO DEPARTAMENTAL LA FLORIDA</v>
          </cell>
          <cell r="K6462">
            <v>47821121</v>
          </cell>
        </row>
        <row r="6463">
          <cell r="I6463">
            <v>899999357</v>
          </cell>
          <cell r="J6463" t="str">
            <v>MUNICIPIO DE CHOCONTA</v>
          </cell>
          <cell r="K6463">
            <v>186751411</v>
          </cell>
        </row>
        <row r="6464">
          <cell r="I6464">
            <v>899999362</v>
          </cell>
          <cell r="J6464" t="str">
            <v>MUNICIPIO DE GUACHETA</v>
          </cell>
          <cell r="K6464">
            <v>124239521</v>
          </cell>
        </row>
        <row r="6465">
          <cell r="I6465">
            <v>899999363</v>
          </cell>
          <cell r="J6465" t="str">
            <v>INSTITUCION DEPARTAMENTAL FIDEL LEON TRIANA</v>
          </cell>
          <cell r="K6465">
            <v>46553914</v>
          </cell>
        </row>
        <row r="6466">
          <cell r="I6466">
            <v>899999364</v>
          </cell>
          <cell r="J6466" t="str">
            <v>MUNICIPIO DE FOMEQUE</v>
          </cell>
          <cell r="K6466">
            <v>101398563</v>
          </cell>
        </row>
        <row r="6467">
          <cell r="I6467">
            <v>899999366</v>
          </cell>
          <cell r="J6467" t="str">
            <v>MUNICIPIO DE NEMOCON</v>
          </cell>
          <cell r="K6467">
            <v>110245359</v>
          </cell>
        </row>
        <row r="6468">
          <cell r="I6468">
            <v>899999373</v>
          </cell>
          <cell r="J6468" t="str">
            <v>FONDO DE SERVICIOS EDUCATIVOS IED INTEGRADO</v>
          </cell>
          <cell r="K6468">
            <v>30970955</v>
          </cell>
        </row>
        <row r="6469">
          <cell r="I6469">
            <v>899999375</v>
          </cell>
          <cell r="J6469" t="str">
            <v>COLEGIO DEPARTAMENTAL MARCO FIDEL SUAREZ</v>
          </cell>
          <cell r="K6469">
            <v>39743213</v>
          </cell>
        </row>
        <row r="6470">
          <cell r="I6470">
            <v>899999380</v>
          </cell>
          <cell r="J6470" t="str">
            <v>FONDO DE SERVICIOS EDUCATIVOS IED SAN NICOLAS</v>
          </cell>
          <cell r="K6470">
            <v>46969529</v>
          </cell>
        </row>
        <row r="6471">
          <cell r="I6471">
            <v>899999382</v>
          </cell>
          <cell r="J6471" t="str">
            <v>IED INTEGRADA AGUSTIN PARRA</v>
          </cell>
          <cell r="K6471">
            <v>195255486</v>
          </cell>
        </row>
        <row r="6472">
          <cell r="I6472">
            <v>899999384</v>
          </cell>
          <cell r="J6472" t="str">
            <v>MUNICIPIO DE SIMIJACA</v>
          </cell>
          <cell r="K6472">
            <v>111767635</v>
          </cell>
        </row>
        <row r="6473">
          <cell r="I6473">
            <v>899999388</v>
          </cell>
          <cell r="J6473" t="str">
            <v>MUNICIPIO DE UNE</v>
          </cell>
          <cell r="K6473">
            <v>62708121</v>
          </cell>
        </row>
        <row r="6474">
          <cell r="I6474">
            <v>899999397</v>
          </cell>
          <cell r="J6474" t="str">
            <v>IED INTEGRADA DE TAUSA</v>
          </cell>
          <cell r="K6474">
            <v>103230444</v>
          </cell>
        </row>
        <row r="6475">
          <cell r="I6475">
            <v>899999398</v>
          </cell>
          <cell r="J6475" t="str">
            <v>MUNICIPIO DE SUPATA</v>
          </cell>
          <cell r="K6475">
            <v>50208046</v>
          </cell>
        </row>
        <row r="6476">
          <cell r="I6476">
            <v>899999400</v>
          </cell>
          <cell r="J6476" t="str">
            <v xml:space="preserve"> MUNICIPIO DE CHAGUANI</v>
          </cell>
          <cell r="K6476">
            <v>34898311</v>
          </cell>
        </row>
        <row r="6477">
          <cell r="I6477">
            <v>899999401</v>
          </cell>
          <cell r="J6477" t="str">
            <v>MUNICIPIO DE MACHETA</v>
          </cell>
          <cell r="K6477">
            <v>64789466</v>
          </cell>
        </row>
        <row r="6478">
          <cell r="I6478">
            <v>899999407</v>
          </cell>
          <cell r="J6478" t="str">
            <v>MUNICIPIO DE UTICA</v>
          </cell>
          <cell r="K6478">
            <v>39467617</v>
          </cell>
        </row>
        <row r="6479">
          <cell r="I6479">
            <v>899999413</v>
          </cell>
          <cell r="J6479" t="str">
            <v>MUNICIPIO DE PUERTO SALGAR</v>
          </cell>
          <cell r="K6479">
            <v>146753733</v>
          </cell>
        </row>
        <row r="6480">
          <cell r="I6480">
            <v>899999415</v>
          </cell>
          <cell r="J6480" t="str">
            <v>MUNICIPIO DE SESQUILE</v>
          </cell>
          <cell r="K6480">
            <v>88130014</v>
          </cell>
        </row>
        <row r="6481">
          <cell r="I6481">
            <v>899999416</v>
          </cell>
          <cell r="J6481" t="str">
            <v>COLEGIO DEPARTAMENTAL SAN JUAN DE RIOSECO</v>
          </cell>
          <cell r="K6481">
            <v>49505969</v>
          </cell>
        </row>
        <row r="6482">
          <cell r="I6482">
            <v>899999419</v>
          </cell>
          <cell r="J6482" t="str">
            <v>MUNICIPIO DE GACHANCIPA</v>
          </cell>
          <cell r="K6482">
            <v>87687740</v>
          </cell>
        </row>
        <row r="6483">
          <cell r="I6483">
            <v>899999420</v>
          </cell>
          <cell r="J6483" t="str">
            <v xml:space="preserve"> MUNICIPIO DE FOSCA</v>
          </cell>
          <cell r="K6483">
            <v>56405293</v>
          </cell>
        </row>
        <row r="6484">
          <cell r="I6484">
            <v>899999426</v>
          </cell>
          <cell r="J6484" t="str">
            <v>MUNICIPIO DE ANOLAIMA</v>
          </cell>
          <cell r="K6484">
            <v>145443368</v>
          </cell>
        </row>
        <row r="6485">
          <cell r="I6485">
            <v>899999428</v>
          </cell>
          <cell r="J6485" t="str">
            <v>MUNICIPIO DE TOCANCIPA</v>
          </cell>
          <cell r="K6485">
            <v>255288299</v>
          </cell>
        </row>
        <row r="6486">
          <cell r="I6486">
            <v>899999430</v>
          </cell>
          <cell r="J6486" t="str">
            <v>MUNICIPIO DE SUESCA</v>
          </cell>
          <cell r="K6486">
            <v>127962317</v>
          </cell>
        </row>
        <row r="6487">
          <cell r="I6487">
            <v>899999431</v>
          </cell>
          <cell r="J6487" t="str">
            <v>MUNICIPIO DE QUIPILE</v>
          </cell>
          <cell r="K6487">
            <v>87690176</v>
          </cell>
        </row>
        <row r="6488">
          <cell r="I6488">
            <v>899999432</v>
          </cell>
          <cell r="J6488" t="str">
            <v>MUNICIPIO DE QUEBRADANEGRA</v>
          </cell>
          <cell r="K6488">
            <v>40624878</v>
          </cell>
        </row>
        <row r="6489">
          <cell r="I6489">
            <v>899999433</v>
          </cell>
          <cell r="J6489" t="str">
            <v>MUNICIPIO DE FUNZA</v>
          </cell>
          <cell r="K6489">
            <v>364446026</v>
          </cell>
        </row>
        <row r="6490">
          <cell r="I6490">
            <v>899999435</v>
          </cell>
          <cell r="J6490" t="str">
            <v>FONDO SERVICIOS EDUCATIVOS</v>
          </cell>
          <cell r="K6490">
            <v>108205664</v>
          </cell>
        </row>
        <row r="6491">
          <cell r="I6491">
            <v>899999439</v>
          </cell>
          <cell r="J6491" t="str">
            <v>INSTITUCION EDUCATIVA DEPARTAMENTAL SAN ANTONIO DEL  TEQUENDAMA</v>
          </cell>
          <cell r="K6491">
            <v>58756097</v>
          </cell>
        </row>
        <row r="6492">
          <cell r="I6492">
            <v>899999443</v>
          </cell>
          <cell r="J6492" t="str">
            <v>MUNICIPIO DE TABIO</v>
          </cell>
          <cell r="K6492">
            <v>133873278</v>
          </cell>
        </row>
        <row r="6493">
          <cell r="I6493">
            <v>899999445</v>
          </cell>
          <cell r="J6493" t="str">
            <v>MUNICIPIO DE VILLPINZON</v>
          </cell>
          <cell r="K6493">
            <v>165266269</v>
          </cell>
        </row>
        <row r="6494">
          <cell r="I6494">
            <v>899999447</v>
          </cell>
          <cell r="J6494" t="str">
            <v>MUNICIPIO DE VILLAGOMEZ</v>
          </cell>
          <cell r="K6494">
            <v>22347325</v>
          </cell>
        </row>
        <row r="6495">
          <cell r="I6495">
            <v>899999448</v>
          </cell>
          <cell r="J6495" t="str">
            <v>MUNICIPIO DE VERGARA</v>
          </cell>
          <cell r="K6495">
            <v>71050322</v>
          </cell>
        </row>
        <row r="6496">
          <cell r="I6496">
            <v>899999450</v>
          </cell>
          <cell r="J6496" t="str">
            <v>MUNICIPIO DE ALBAN</v>
          </cell>
          <cell r="K6496">
            <v>53871818</v>
          </cell>
        </row>
        <row r="6497">
          <cell r="I6497">
            <v>899999460</v>
          </cell>
          <cell r="J6497" t="str">
            <v>MUNICIPIO DE EL PEÑON</v>
          </cell>
          <cell r="K6497">
            <v>54886363</v>
          </cell>
        </row>
        <row r="6498">
          <cell r="I6498">
            <v>899999462</v>
          </cell>
          <cell r="J6498" t="str">
            <v>MUNICIPIO DE CAQUEZA</v>
          </cell>
          <cell r="K6498">
            <v>151339482</v>
          </cell>
        </row>
        <row r="6499">
          <cell r="I6499">
            <v>899999465</v>
          </cell>
          <cell r="J6499" t="str">
            <v>MUNICIPIO DE CAJICA</v>
          </cell>
          <cell r="K6499">
            <v>350689892</v>
          </cell>
        </row>
        <row r="6500">
          <cell r="I6500">
            <v>899999466</v>
          </cell>
          <cell r="J6500" t="str">
            <v>MUNICIPIO DE COGUA</v>
          </cell>
          <cell r="K6500">
            <v>139409214</v>
          </cell>
        </row>
        <row r="6501">
          <cell r="I6501">
            <v>899999467</v>
          </cell>
          <cell r="J6501" t="str">
            <v>MUNICIPIO DE CHIPAQUE</v>
          </cell>
          <cell r="K6501">
            <v>74008242</v>
          </cell>
        </row>
        <row r="6502">
          <cell r="I6502">
            <v>899999470</v>
          </cell>
          <cell r="J6502" t="str">
            <v>MUNICIPIO DE MEDINA</v>
          </cell>
          <cell r="K6502">
            <v>91866278</v>
          </cell>
        </row>
        <row r="6503">
          <cell r="I6503">
            <v>899999473</v>
          </cell>
          <cell r="J6503" t="str">
            <v>COLEGIO SAN GABRIEL</v>
          </cell>
          <cell r="K6503">
            <v>140591730</v>
          </cell>
        </row>
        <row r="6504">
          <cell r="I6504">
            <v>899999475</v>
          </cell>
          <cell r="J6504" t="str">
            <v>MUNICIPIO DE PACHO</v>
          </cell>
          <cell r="K6504">
            <v>252865256</v>
          </cell>
        </row>
        <row r="6505">
          <cell r="I6505">
            <v>899999481</v>
          </cell>
          <cell r="J6505" t="str">
            <v>MUNICIPIO DE TAUSA</v>
          </cell>
          <cell r="K6505">
            <v>72206246</v>
          </cell>
        </row>
        <row r="6506">
          <cell r="I6506">
            <v>899999700</v>
          </cell>
          <cell r="J6506" t="str">
            <v>MUNICIPIO DE SUSA</v>
          </cell>
          <cell r="K6506">
            <v>53603354</v>
          </cell>
        </row>
        <row r="6507">
          <cell r="I6507">
            <v>899999701</v>
          </cell>
          <cell r="J6507" t="str">
            <v>MUNICIPIO DE GUADUAS</v>
          </cell>
          <cell r="K6507">
            <v>221867723</v>
          </cell>
        </row>
        <row r="6508">
          <cell r="I6508">
            <v>899999703</v>
          </cell>
          <cell r="J6508" t="str">
            <v>IED ALFONSO PABON PABON</v>
          </cell>
          <cell r="K6508">
            <v>54346726</v>
          </cell>
        </row>
        <row r="6509">
          <cell r="I6509">
            <v>899999704</v>
          </cell>
          <cell r="J6509" t="str">
            <v>MUNICIPIO DE PAIME</v>
          </cell>
          <cell r="K6509">
            <v>61470934</v>
          </cell>
        </row>
        <row r="6510">
          <cell r="I6510">
            <v>899999707</v>
          </cell>
          <cell r="J6510" t="str">
            <v>MUNICIPIO  DE  NILO</v>
          </cell>
          <cell r="K6510">
            <v>55588624</v>
          </cell>
        </row>
        <row r="6511">
          <cell r="I6511">
            <v>899999708</v>
          </cell>
          <cell r="J6511" t="str">
            <v>MUNICIPIO DE BITUIMA</v>
          </cell>
          <cell r="K6511">
            <v>23802177</v>
          </cell>
        </row>
        <row r="6512">
          <cell r="I6512">
            <v>899999709</v>
          </cell>
          <cell r="J6512" t="str">
            <v>MUNICIPIO DE VIANI</v>
          </cell>
          <cell r="K6512">
            <v>40158377</v>
          </cell>
        </row>
        <row r="6513">
          <cell r="I6513">
            <v>899999712</v>
          </cell>
          <cell r="J6513" t="str">
            <v>MUNICIPIO DE LA CALERA CUNDINAMARCA</v>
          </cell>
          <cell r="K6513">
            <v>149998758</v>
          </cell>
        </row>
        <row r="6514">
          <cell r="I6514">
            <v>899999718</v>
          </cell>
          <cell r="J6514" t="str">
            <v>MUNICIPIO DE NOCAIMA</v>
          </cell>
          <cell r="K6514">
            <v>58925286</v>
          </cell>
        </row>
        <row r="6515">
          <cell r="I6515">
            <v>899999721</v>
          </cell>
          <cell r="J6515" t="str">
            <v>MUNICIPIO DE LA PEÑA</v>
          </cell>
          <cell r="K6515">
            <v>66501358</v>
          </cell>
        </row>
        <row r="6516">
          <cell r="I6516">
            <v>899999723</v>
          </cell>
          <cell r="J6516" t="str">
            <v>IED REPUBLICA DE COREA</v>
          </cell>
          <cell r="K6516">
            <v>57204389</v>
          </cell>
        </row>
        <row r="6517">
          <cell r="I6517">
            <v>899999724</v>
          </cell>
          <cell r="J6517" t="str">
            <v>IED GENERAL SANTANDER - RECURSOS COMPES</v>
          </cell>
          <cell r="K6517">
            <v>181878923</v>
          </cell>
        </row>
        <row r="6518">
          <cell r="I6518">
            <v>899999731</v>
          </cell>
          <cell r="J6518" t="str">
            <v>INSTITUCION EDUCATIVA DISTRITAL NIDIA QUINTERO DE TURBAY</v>
          </cell>
          <cell r="K6518">
            <v>109212027</v>
          </cell>
        </row>
        <row r="6519">
          <cell r="I6519">
            <v>899999732</v>
          </cell>
          <cell r="J6519" t="str">
            <v>colegio john f.kennedy institucion educativa distrital</v>
          </cell>
          <cell r="K6519">
            <v>171260456</v>
          </cell>
        </row>
        <row r="6520">
          <cell r="I6520">
            <v>899999735</v>
          </cell>
          <cell r="J6520" t="str">
            <v>I.E.D REPUBLICA DE ESTADOS UNIDOS DE AMERICA</v>
          </cell>
          <cell r="K6520">
            <v>57960794</v>
          </cell>
        </row>
        <row r="6521">
          <cell r="I6521">
            <v>899999741</v>
          </cell>
          <cell r="J6521" t="str">
            <v>INSTITUCION EDUCATIVA DISTRITAL SORRENTO</v>
          </cell>
          <cell r="K6521">
            <v>173289277</v>
          </cell>
        </row>
        <row r="6522">
          <cell r="I6522">
            <v>900000010</v>
          </cell>
          <cell r="J6522" t="str">
            <v>INSTITUCION EDUCATIVA JOSE ACEVEDO Y GOMEZ</v>
          </cell>
          <cell r="K6522">
            <v>37127079</v>
          </cell>
        </row>
        <row r="6523">
          <cell r="I6523">
            <v>900000045</v>
          </cell>
          <cell r="J6523" t="str">
            <v>asoc. Educativa san jose de almagra</v>
          </cell>
          <cell r="K6523">
            <v>16571499</v>
          </cell>
        </row>
        <row r="6524">
          <cell r="I6524">
            <v>900000064</v>
          </cell>
          <cell r="J6524" t="str">
            <v>FONDO DE SERVICIOS EDUCATIVOS</v>
          </cell>
          <cell r="K6524">
            <v>9747600</v>
          </cell>
        </row>
        <row r="6525">
          <cell r="I6525">
            <v>900000128</v>
          </cell>
          <cell r="J6525" t="str">
            <v>FONDO DE SERVICIOS EDUCATIVOS</v>
          </cell>
          <cell r="K6525">
            <v>49234005</v>
          </cell>
        </row>
        <row r="6526">
          <cell r="I6526">
            <v>900000159</v>
          </cell>
          <cell r="J6526" t="str">
            <v>INSTITUCION EDUCATIVA SAN JUAN BOSCO</v>
          </cell>
          <cell r="K6526">
            <v>113387085</v>
          </cell>
        </row>
        <row r="6527">
          <cell r="I6527">
            <v>900000193</v>
          </cell>
          <cell r="J6527" t="str">
            <v>CENTRO EDUCATIVO RURAL NTRA SRA DE FATIMA</v>
          </cell>
          <cell r="K6527">
            <v>158911313</v>
          </cell>
        </row>
        <row r="6528">
          <cell r="I6528">
            <v>900000238</v>
          </cell>
          <cell r="J6528" t="str">
            <v>SISTEMA GENERAL DE PARTICIPACION</v>
          </cell>
          <cell r="K6528">
            <v>83260840</v>
          </cell>
        </row>
        <row r="6529">
          <cell r="I6529">
            <v>900000241</v>
          </cell>
          <cell r="J6529" t="str">
            <v>INSTITUCION EDUCATIVA BOCA DONCELLA</v>
          </cell>
          <cell r="K6529">
            <v>13102127</v>
          </cell>
        </row>
        <row r="6530">
          <cell r="I6530">
            <v>900000258</v>
          </cell>
          <cell r="J6530" t="str">
            <v>institución educativa integrado obando</v>
          </cell>
          <cell r="K6530">
            <v>47412955</v>
          </cell>
        </row>
        <row r="6531">
          <cell r="I6531">
            <v>900000413</v>
          </cell>
          <cell r="J6531" t="str">
            <v>C.EDUC.CAROLINA</v>
          </cell>
          <cell r="K6531">
            <v>22196346</v>
          </cell>
        </row>
        <row r="6532">
          <cell r="I6532">
            <v>900000426</v>
          </cell>
          <cell r="J6532" t="str">
            <v>INSTITUCION EDUCATIVA SAN RAFEL DEL PIRU</v>
          </cell>
          <cell r="K6532">
            <v>84432384</v>
          </cell>
        </row>
        <row r="6533">
          <cell r="I6533">
            <v>900000508</v>
          </cell>
          <cell r="J6533" t="str">
            <v>INSTITUCION EDUCATIVA LA PLANADA</v>
          </cell>
          <cell r="K6533">
            <v>27299697</v>
          </cell>
        </row>
        <row r="6534">
          <cell r="I6534">
            <v>900000512</v>
          </cell>
          <cell r="J6534" t="str">
            <v>INSTITUCION EDUCATIVA JUAN PABLO II</v>
          </cell>
          <cell r="K6534">
            <v>122950732</v>
          </cell>
        </row>
        <row r="6535">
          <cell r="I6535">
            <v>900000524</v>
          </cell>
          <cell r="J6535" t="str">
            <v>CENTRO EDUCATIVO SAN JUDAS TADEO</v>
          </cell>
          <cell r="K6535">
            <v>11727750</v>
          </cell>
        </row>
        <row r="6536">
          <cell r="I6536">
            <v>900000573</v>
          </cell>
          <cell r="J6536" t="str">
            <v>INSTITUCION EDUCATIVA JUSTINIANO ECHAVARRIA</v>
          </cell>
          <cell r="K6536">
            <v>49104699</v>
          </cell>
        </row>
        <row r="6537">
          <cell r="I6537">
            <v>900000583</v>
          </cell>
          <cell r="J6537" t="str">
            <v>I.E. SAN VICENTE</v>
          </cell>
          <cell r="K6537">
            <v>31179272</v>
          </cell>
        </row>
        <row r="6538">
          <cell r="I6538">
            <v>900000585</v>
          </cell>
          <cell r="J6538" t="str">
            <v>INSTITUCION EDUCATIVA MUNICIPAL LUIS EDUARDO MORA OSEJO</v>
          </cell>
          <cell r="K6538">
            <v>167985712</v>
          </cell>
        </row>
        <row r="6539">
          <cell r="I6539">
            <v>900000591</v>
          </cell>
          <cell r="J6539" t="str">
            <v>CENTRO EDUCATIVO VILLA CLARA</v>
          </cell>
          <cell r="K6539">
            <v>57660438</v>
          </cell>
        </row>
        <row r="6540">
          <cell r="I6540">
            <v>900000607</v>
          </cell>
          <cell r="J6540" t="str">
            <v>IED EL CARMEN</v>
          </cell>
          <cell r="K6540">
            <v>101322754</v>
          </cell>
        </row>
        <row r="6541">
          <cell r="I6541">
            <v>900000622</v>
          </cell>
          <cell r="J6541" t="str">
            <v>INSTITUCION EDUCATIVA BADILLO</v>
          </cell>
          <cell r="K6541">
            <v>30385415</v>
          </cell>
        </row>
        <row r="6542">
          <cell r="I6542">
            <v>900000634</v>
          </cell>
          <cell r="J6542" t="str">
            <v>INSTITUCION EDUCATIVA NUESTRA SEÑORA DE LA NAVAL</v>
          </cell>
          <cell r="K6542">
            <v>25467479</v>
          </cell>
        </row>
        <row r="6543">
          <cell r="I6543">
            <v>900000649</v>
          </cell>
          <cell r="J6543" t="str">
            <v>INSTITUCION EDUCATIVA LA MORALIA</v>
          </cell>
          <cell r="K6543">
            <v>36606651</v>
          </cell>
        </row>
        <row r="6544">
          <cell r="I6544">
            <v>900000659</v>
          </cell>
          <cell r="J6544" t="str">
            <v>CENTRO EDUCATIVO PUERTO TEJADA</v>
          </cell>
          <cell r="K6544">
            <v>21565736</v>
          </cell>
        </row>
        <row r="6545">
          <cell r="I6545">
            <v>900000685</v>
          </cell>
          <cell r="J6545" t="str">
            <v>FONDO DE SERVICIOS EDUCATIVOS</v>
          </cell>
          <cell r="K6545">
            <v>12614266</v>
          </cell>
        </row>
        <row r="6546">
          <cell r="I6546">
            <v>900000714</v>
          </cell>
          <cell r="J6546" t="str">
            <v>CENTRO EDUCATIVO RURAL PUERTO SANTO</v>
          </cell>
          <cell r="K6546">
            <v>28121879</v>
          </cell>
        </row>
        <row r="6547">
          <cell r="I6547">
            <v>900000717</v>
          </cell>
          <cell r="J6547" t="str">
            <v>CENTRO EDUCATIVO CAMPO HERMOSO</v>
          </cell>
          <cell r="K6547">
            <v>13999561</v>
          </cell>
        </row>
        <row r="6548">
          <cell r="I6548">
            <v>900000720</v>
          </cell>
          <cell r="J6548" t="str">
            <v>CENTRO EDUCATIVO MATEGUADUA</v>
          </cell>
          <cell r="K6548">
            <v>24378561</v>
          </cell>
        </row>
        <row r="6549">
          <cell r="I6549">
            <v>900000730</v>
          </cell>
          <cell r="J6549" t="str">
            <v>INSTITUCION EDUCATIVA RURAL SANTA TERESA</v>
          </cell>
          <cell r="K6549">
            <v>18030366</v>
          </cell>
        </row>
        <row r="6550">
          <cell r="I6550">
            <v>900000747</v>
          </cell>
          <cell r="J6550" t="str">
            <v>CEENTRO EDUCATIVO BERLIN</v>
          </cell>
          <cell r="K6550">
            <v>17552099</v>
          </cell>
        </row>
        <row r="6551">
          <cell r="I6551">
            <v>900000773</v>
          </cell>
          <cell r="J6551" t="str">
            <v>INSTITUCIONEDUCATIVA EL POBLADO</v>
          </cell>
          <cell r="K6551">
            <v>66167690</v>
          </cell>
        </row>
        <row r="6552">
          <cell r="I6552">
            <v>900000801</v>
          </cell>
          <cell r="J6552" t="str">
            <v>Centro Ecucativo Cispataca</v>
          </cell>
          <cell r="K6552">
            <v>31685351</v>
          </cell>
        </row>
        <row r="6553">
          <cell r="I6553">
            <v>900000818</v>
          </cell>
          <cell r="J6553" t="str">
            <v>CENTRO EDUCATIVO EL DIAMANTE</v>
          </cell>
          <cell r="K6553">
            <v>9007729</v>
          </cell>
        </row>
        <row r="6554">
          <cell r="I6554">
            <v>900000828</v>
          </cell>
          <cell r="J6554" t="str">
            <v>INSTITUCION EDUCATIVA DEPARTAMENTAL BUSCAVIDA</v>
          </cell>
          <cell r="K6554">
            <v>13812986</v>
          </cell>
        </row>
        <row r="6555">
          <cell r="I6555">
            <v>900000857</v>
          </cell>
          <cell r="J6555" t="str">
            <v>CENTRO EDUCATIVO HORIZONTE</v>
          </cell>
          <cell r="K6555">
            <v>13061034</v>
          </cell>
        </row>
        <row r="6556">
          <cell r="I6556">
            <v>900000876</v>
          </cell>
          <cell r="J6556" t="str">
            <v>INSTITUCION EDUCATIVA MUNICIPAL CIUDADEL DE LA PAZ</v>
          </cell>
          <cell r="K6556">
            <v>53694985</v>
          </cell>
        </row>
        <row r="6557">
          <cell r="I6557">
            <v>900000881</v>
          </cell>
          <cell r="J6557" t="str">
            <v>CENTRO EDUCATIVO RURAL DISPERSO LOS ENCANTOS GUAIM</v>
          </cell>
          <cell r="K6557">
            <v>23539205</v>
          </cell>
        </row>
        <row r="6558">
          <cell r="I6558">
            <v>900000887</v>
          </cell>
          <cell r="J6558" t="str">
            <v>INSTITUCION EDUCATIVA EL TUNEL</v>
          </cell>
          <cell r="K6558">
            <v>27593300</v>
          </cell>
        </row>
        <row r="6559">
          <cell r="I6559">
            <v>900000905</v>
          </cell>
          <cell r="J6559" t="str">
            <v>INSTITUCION EDUCATIVA CONCHA MEDINA DE SILVA</v>
          </cell>
          <cell r="K6559">
            <v>15854180</v>
          </cell>
        </row>
        <row r="6560">
          <cell r="I6560">
            <v>900000909</v>
          </cell>
          <cell r="J6560" t="str">
            <v>CENTRO EDUCATIVO LOMA ALTA</v>
          </cell>
          <cell r="K6560">
            <v>12291897</v>
          </cell>
        </row>
        <row r="6561">
          <cell r="I6561">
            <v>900000912</v>
          </cell>
          <cell r="J6561" t="str">
            <v>Institucion Educativa Calibio Fondo de Servicios Educativos</v>
          </cell>
          <cell r="K6561">
            <v>38372847</v>
          </cell>
        </row>
        <row r="6562">
          <cell r="I6562">
            <v>900000941</v>
          </cell>
          <cell r="J6562" t="str">
            <v>institucion educativa marco fidel</v>
          </cell>
          <cell r="K6562">
            <v>53673491</v>
          </cell>
        </row>
        <row r="6563">
          <cell r="I6563">
            <v>900000956</v>
          </cell>
          <cell r="J6563" t="str">
            <v>CENTRO EDUCATIVO RURAL EL CONTENTO</v>
          </cell>
          <cell r="K6563">
            <v>37941541</v>
          </cell>
        </row>
        <row r="6564">
          <cell r="I6564">
            <v>900001000</v>
          </cell>
          <cell r="J6564" t="str">
            <v>SERVICIOS EDUCATIVOSCIUDADELA HENRY MARIN</v>
          </cell>
          <cell r="K6564">
            <v>37407482</v>
          </cell>
        </row>
        <row r="6565">
          <cell r="I6565">
            <v>900001006</v>
          </cell>
          <cell r="J6565" t="str">
            <v>institución educativa agrícola santa maría</v>
          </cell>
          <cell r="K6565">
            <v>33217420</v>
          </cell>
        </row>
        <row r="6566">
          <cell r="I6566">
            <v>900001010</v>
          </cell>
          <cell r="J6566" t="str">
            <v>CENTRO EDUCATIVO SANA ISABEL</v>
          </cell>
          <cell r="K6566">
            <v>30838986</v>
          </cell>
        </row>
        <row r="6567">
          <cell r="I6567">
            <v>900001029</v>
          </cell>
          <cell r="J6567" t="str">
            <v>FONDO DE SERVICIOS EDUCATIVOS DEL CENTRO EDUCATIVO</v>
          </cell>
          <cell r="K6567">
            <v>21904318</v>
          </cell>
        </row>
        <row r="6568">
          <cell r="I6568">
            <v>900001056</v>
          </cell>
          <cell r="J6568" t="str">
            <v>CENTRO EDUCATIVO LA ANGUILLA DEL MPIO DE MILAN</v>
          </cell>
          <cell r="K6568">
            <v>13444900</v>
          </cell>
        </row>
        <row r="6569">
          <cell r="I6569">
            <v>900001090</v>
          </cell>
          <cell r="J6569" t="str">
            <v>institucion educativa lso uvos</v>
          </cell>
          <cell r="K6569">
            <v>26773769</v>
          </cell>
        </row>
        <row r="6570">
          <cell r="I6570">
            <v>900001097</v>
          </cell>
          <cell r="J6570" t="str">
            <v>INSTITUCION EDUCATIVA LA CARBONERA</v>
          </cell>
          <cell r="K6570">
            <v>29218278</v>
          </cell>
        </row>
        <row r="6571">
          <cell r="I6571">
            <v>900001101</v>
          </cell>
          <cell r="J6571" t="str">
            <v>CENTRO EDUCATIVO EL ARIZAL</v>
          </cell>
          <cell r="K6571">
            <v>18083155</v>
          </cell>
        </row>
        <row r="6572">
          <cell r="I6572">
            <v>900001110</v>
          </cell>
          <cell r="J6572" t="str">
            <v>institución educativa integral san bernardo</v>
          </cell>
          <cell r="K6572">
            <v>16548614</v>
          </cell>
        </row>
        <row r="6573">
          <cell r="I6573">
            <v>900001142</v>
          </cell>
          <cell r="J6573" t="str">
            <v>INSTITUCION EDUCATIVA SANTA ISABEL</v>
          </cell>
          <cell r="K6573">
            <v>38517577</v>
          </cell>
        </row>
        <row r="6574">
          <cell r="I6574">
            <v>900001185</v>
          </cell>
          <cell r="J6574" t="str">
            <v>CENTRO EDUCATIVO CRISTALINA TRONCALES</v>
          </cell>
          <cell r="K6574">
            <v>16901972</v>
          </cell>
        </row>
        <row r="6575">
          <cell r="I6575">
            <v>900001305</v>
          </cell>
          <cell r="J6575" t="str">
            <v>CENTRO EDUCATIVO EL CONTENTO ARRIBA</v>
          </cell>
          <cell r="K6575">
            <v>19257636</v>
          </cell>
        </row>
        <row r="6576">
          <cell r="I6576">
            <v>900001321</v>
          </cell>
          <cell r="J6576" t="str">
            <v>INSTITUCION EDUCATIVA SEBASTIAN DE BELALCAZAR</v>
          </cell>
          <cell r="K6576">
            <v>97075353</v>
          </cell>
        </row>
        <row r="6577">
          <cell r="I6577">
            <v>900001322</v>
          </cell>
          <cell r="J6577" t="str">
            <v>CENTRO EDUCATIVO ANTONIO NARINO</v>
          </cell>
          <cell r="K6577">
            <v>18422494</v>
          </cell>
        </row>
        <row r="6578">
          <cell r="I6578">
            <v>900001324</v>
          </cell>
          <cell r="J6578" t="str">
            <v>INSTITUCION EDUCATIVA EL CARMEN</v>
          </cell>
          <cell r="K6578">
            <v>22050023</v>
          </cell>
        </row>
        <row r="6579">
          <cell r="I6579">
            <v>900001338</v>
          </cell>
          <cell r="J6579" t="str">
            <v>CENTRO EDUCATIVO DE POST PRIMARIA SAN ANTONIO</v>
          </cell>
          <cell r="K6579">
            <v>24007349</v>
          </cell>
        </row>
        <row r="6580">
          <cell r="I6580">
            <v>900001356</v>
          </cell>
          <cell r="J6580" t="str">
            <v>INSTITUCION EDUCATIVA LICEO QUINDIO</v>
          </cell>
          <cell r="K6580">
            <v>55015738</v>
          </cell>
        </row>
        <row r="6581">
          <cell r="I6581">
            <v>900001431</v>
          </cell>
          <cell r="J6581" t="str">
            <v>CENTRO EDUCATIVO LA MUNOZ</v>
          </cell>
          <cell r="K6581">
            <v>14421637</v>
          </cell>
        </row>
        <row r="6582">
          <cell r="I6582">
            <v>900001452</v>
          </cell>
          <cell r="J6582" t="str">
            <v>CENTRO EDUCATIVO NEVES ARRIBA</v>
          </cell>
          <cell r="K6582">
            <v>10635397</v>
          </cell>
        </row>
        <row r="6583">
          <cell r="I6583">
            <v>900001464</v>
          </cell>
          <cell r="J6583" t="str">
            <v>FONDO DE SERVICIO EDUCATIVO RURAL LA BODEGA</v>
          </cell>
          <cell r="K6583">
            <v>15280422</v>
          </cell>
        </row>
        <row r="6584">
          <cell r="I6584">
            <v>900001483</v>
          </cell>
          <cell r="J6584" t="str">
            <v>INSTITUCION EDUCATIVA TIMBA</v>
          </cell>
          <cell r="K6584">
            <v>52050492</v>
          </cell>
        </row>
        <row r="6585">
          <cell r="I6585">
            <v>900001502</v>
          </cell>
          <cell r="J6585" t="str">
            <v>CE La Marta</v>
          </cell>
          <cell r="K6585">
            <v>9534196</v>
          </cell>
        </row>
        <row r="6586">
          <cell r="I6586">
            <v>900001513</v>
          </cell>
          <cell r="J6586" t="str">
            <v>INSTITUCION EDUCATIVA TECNICA AGROPECUARIA Y ORFEBRERIA TOMASA NAJERA</v>
          </cell>
          <cell r="K6586">
            <v>106060262</v>
          </cell>
        </row>
        <row r="6587">
          <cell r="I6587">
            <v>900001524</v>
          </cell>
          <cell r="J6587" t="str">
            <v>INSTITUCION EDUCATIVA JUNIN</v>
          </cell>
          <cell r="K6587">
            <v>26686432</v>
          </cell>
        </row>
        <row r="6588">
          <cell r="I6588">
            <v>900001530</v>
          </cell>
          <cell r="J6588" t="str">
            <v>C.Educativo Bellavista</v>
          </cell>
          <cell r="K6588">
            <v>7399259</v>
          </cell>
        </row>
        <row r="6589">
          <cell r="I6589">
            <v>900001535</v>
          </cell>
          <cell r="J6589" t="str">
            <v>INSTITUCION EDUCATIVA EL TABLON</v>
          </cell>
          <cell r="K6589">
            <v>48263913</v>
          </cell>
        </row>
        <row r="6590">
          <cell r="I6590">
            <v>900001618</v>
          </cell>
          <cell r="J6590" t="str">
            <v>FONDO DE SERVICIO EDUCATIVO INST TEC JUAN PABLO I PAZ Y FUTURO</v>
          </cell>
          <cell r="K6590">
            <v>126545222</v>
          </cell>
        </row>
        <row r="6591">
          <cell r="I6591">
            <v>900001638</v>
          </cell>
          <cell r="J6591" t="str">
            <v>INSTITUCION EDUCATIVA LUIS EDUARDO CALVO-IMET</v>
          </cell>
          <cell r="K6591">
            <v>98394591</v>
          </cell>
        </row>
        <row r="6592">
          <cell r="I6592">
            <v>900001640</v>
          </cell>
          <cell r="J6592" t="str">
            <v>CENTRO EDUCATIVOGRANARIO</v>
          </cell>
          <cell r="K6592">
            <v>14196878</v>
          </cell>
        </row>
        <row r="6593">
          <cell r="I6593">
            <v>900001660</v>
          </cell>
          <cell r="J6593" t="str">
            <v>FONDO DE SERVICIOS EDUCATIVOS</v>
          </cell>
          <cell r="K6593">
            <v>44860157</v>
          </cell>
        </row>
        <row r="6594">
          <cell r="I6594">
            <v>900001714</v>
          </cell>
          <cell r="J6594" t="str">
            <v>CENTRO EDUCATIVO EL LOBO</v>
          </cell>
          <cell r="K6594">
            <v>17933300</v>
          </cell>
        </row>
        <row r="6595">
          <cell r="I6595">
            <v>900001722</v>
          </cell>
          <cell r="J6595" t="str">
            <v>CENTRO EDUCATIVO JORDANIA</v>
          </cell>
          <cell r="K6595">
            <v>21739632</v>
          </cell>
        </row>
        <row r="6596">
          <cell r="I6596">
            <v>900001782</v>
          </cell>
          <cell r="J6596" t="str">
            <v>INSTITUCION EDUCATIVA ARENOSO</v>
          </cell>
          <cell r="K6596">
            <v>44074629</v>
          </cell>
        </row>
        <row r="6597">
          <cell r="I6597">
            <v>900001797</v>
          </cell>
          <cell r="J6597" t="str">
            <v>IE ETNOEDUCATIVA BILINGUE INGA</v>
          </cell>
          <cell r="K6597">
            <v>15571083</v>
          </cell>
        </row>
        <row r="6598">
          <cell r="I6598">
            <v>900001844</v>
          </cell>
          <cell r="J6598" t="str">
            <v>institución educativa el oasis</v>
          </cell>
          <cell r="K6598">
            <v>100727429</v>
          </cell>
        </row>
        <row r="6599">
          <cell r="I6599">
            <v>900001845</v>
          </cell>
          <cell r="J6599" t="str">
            <v>IE BENJAMIN CORREA ALVAREZ - Titiribí</v>
          </cell>
          <cell r="K6599">
            <v>40306580</v>
          </cell>
        </row>
        <row r="6600">
          <cell r="I6600">
            <v>900001877</v>
          </cell>
          <cell r="J6600" t="str">
            <v>INSTITUCION EDUCATIVA CECILIA</v>
          </cell>
          <cell r="K6600">
            <v>59688557</v>
          </cell>
        </row>
        <row r="6601">
          <cell r="I6601">
            <v>900001882</v>
          </cell>
          <cell r="J6601" t="str">
            <v>I.E. SAN VICENTE</v>
          </cell>
          <cell r="K6601">
            <v>69798218</v>
          </cell>
        </row>
        <row r="6602">
          <cell r="I6602">
            <v>900001912</v>
          </cell>
          <cell r="J6602" t="str">
            <v>INSTITUCION EDUCATIVA EFRAIN OROZCO</v>
          </cell>
          <cell r="K6602">
            <v>83308338</v>
          </cell>
        </row>
        <row r="6603">
          <cell r="I6603">
            <v>900001935</v>
          </cell>
          <cell r="J6603" t="str">
            <v>INSTITUCION EDUCATIVA ISLA GRANDE</v>
          </cell>
          <cell r="K6603">
            <v>19190605</v>
          </cell>
        </row>
        <row r="6604">
          <cell r="I6604">
            <v>900001940</v>
          </cell>
          <cell r="J6604" t="str">
            <v>CENTRO EDUCATIVO RURAL MARACARI</v>
          </cell>
          <cell r="K6604">
            <v>140205472</v>
          </cell>
        </row>
        <row r="6605">
          <cell r="I6605">
            <v>900001976</v>
          </cell>
          <cell r="J6605" t="str">
            <v>CENTRO EDUCATIVO RURAL LA INDEPENDENCIA</v>
          </cell>
          <cell r="K6605">
            <v>10948203</v>
          </cell>
        </row>
        <row r="6606">
          <cell r="I6606">
            <v>900001981</v>
          </cell>
          <cell r="J6606" t="str">
            <v>Institución Educativa Moralito</v>
          </cell>
          <cell r="K6606">
            <v>15813751</v>
          </cell>
        </row>
        <row r="6607">
          <cell r="I6607">
            <v>900002009</v>
          </cell>
          <cell r="J6607" t="str">
            <v>IE LOS CAUCHOS</v>
          </cell>
          <cell r="K6607">
            <v>60755601</v>
          </cell>
        </row>
        <row r="6608">
          <cell r="I6608">
            <v>900002012</v>
          </cell>
          <cell r="J6608" t="str">
            <v>I.E. LOS LAURELES</v>
          </cell>
          <cell r="K6608">
            <v>13952006</v>
          </cell>
        </row>
        <row r="6609">
          <cell r="I6609">
            <v>900002137</v>
          </cell>
          <cell r="J6609" t="str">
            <v>INSTITUCIÓN EDUCATIVA PATIO BONITO</v>
          </cell>
          <cell r="K6609">
            <v>20372623</v>
          </cell>
        </row>
        <row r="6610">
          <cell r="I6610">
            <v>900002280</v>
          </cell>
          <cell r="J6610" t="str">
            <v>CENTRO EDUCATIVO ILUSION MATICURU</v>
          </cell>
          <cell r="K6610">
            <v>22090732</v>
          </cell>
        </row>
        <row r="6611">
          <cell r="I6611">
            <v>900002352</v>
          </cell>
          <cell r="J6611" t="str">
            <v>CENTRO EDUCATIVO BOCANA POSETAS</v>
          </cell>
          <cell r="K6611">
            <v>15391684</v>
          </cell>
        </row>
        <row r="6612">
          <cell r="I6612">
            <v>900002386</v>
          </cell>
          <cell r="J6612" t="str">
            <v>FSE. I.E. RURAL PATIO BONITO</v>
          </cell>
          <cell r="K6612">
            <v>24940898</v>
          </cell>
        </row>
        <row r="6613">
          <cell r="I6613">
            <v>900002407</v>
          </cell>
          <cell r="J6613" t="str">
            <v>CENTRO EDUCATIVO CHONTILLOSA MEDIO</v>
          </cell>
          <cell r="K6613">
            <v>27914801</v>
          </cell>
        </row>
        <row r="6614">
          <cell r="I6614">
            <v>900002420</v>
          </cell>
          <cell r="J6614" t="str">
            <v>CENTRO EDUCATVIOAGUA BLANCA CUZUMBE</v>
          </cell>
          <cell r="K6614">
            <v>13908529</v>
          </cell>
        </row>
        <row r="6615">
          <cell r="I6615">
            <v>900002482</v>
          </cell>
          <cell r="J6615" t="str">
            <v>institucion educativa ciudadela jose maria cordoba</v>
          </cell>
          <cell r="K6615">
            <v>73717037</v>
          </cell>
        </row>
        <row r="6616">
          <cell r="I6616">
            <v>900002484</v>
          </cell>
          <cell r="J6616" t="str">
            <v>CENTRO EDUCATIVO LA  GALLINETA</v>
          </cell>
          <cell r="K6616">
            <v>15653451</v>
          </cell>
        </row>
        <row r="6617">
          <cell r="I6617">
            <v>900002532</v>
          </cell>
          <cell r="J6617" t="str">
            <v>CENTRO EDUCATIVO RURAL MARAVELEZ</v>
          </cell>
          <cell r="K6617">
            <v>21900880</v>
          </cell>
        </row>
        <row r="6618">
          <cell r="I6618">
            <v>900002598</v>
          </cell>
          <cell r="J6618" t="str">
            <v>CENTRO EDUCATIVO EL LIBERTADOR</v>
          </cell>
          <cell r="K6618">
            <v>18287544</v>
          </cell>
        </row>
        <row r="6619">
          <cell r="I6619">
            <v>900002620</v>
          </cell>
          <cell r="J6619" t="str">
            <v>FONDO DE SERVICIOS EDUCATIVOS</v>
          </cell>
          <cell r="K6619">
            <v>37413969</v>
          </cell>
        </row>
        <row r="6620">
          <cell r="I6620">
            <v>900002661</v>
          </cell>
          <cell r="J6620" t="str">
            <v>INSTITUCION EDUCATIVA LAS  GUACAS</v>
          </cell>
          <cell r="K6620">
            <v>35906844</v>
          </cell>
        </row>
        <row r="6621">
          <cell r="I6621">
            <v>900002680</v>
          </cell>
          <cell r="J6621" t="str">
            <v>INSTITUCION EDUCATIVA MANUEL FRANCISCO OBREGON</v>
          </cell>
          <cell r="K6621">
            <v>118513774</v>
          </cell>
        </row>
        <row r="6622">
          <cell r="I6622">
            <v>900002745</v>
          </cell>
          <cell r="J6622" t="str">
            <v>CENTRO EDUCATIVO PLAYA RICA</v>
          </cell>
          <cell r="K6622">
            <v>17366237</v>
          </cell>
        </row>
        <row r="6623">
          <cell r="I6623">
            <v>900002781</v>
          </cell>
          <cell r="J6623" t="str">
            <v>INSTITUCION EDUCATIVA MERCEDES ABREGO</v>
          </cell>
          <cell r="K6623">
            <v>10221449</v>
          </cell>
        </row>
        <row r="6624">
          <cell r="I6624">
            <v>900002878</v>
          </cell>
          <cell r="J6624" t="str">
            <v>INSTITUCION EDUCATIVA BOSQUES DE PINARES</v>
          </cell>
          <cell r="K6624">
            <v>99516679</v>
          </cell>
        </row>
        <row r="6625">
          <cell r="I6625">
            <v>900002880</v>
          </cell>
          <cell r="J6625" t="str">
            <v>INSTITUCION EDUCATIVA SAN FRANCISCO LORETOYACO</v>
          </cell>
          <cell r="K6625">
            <v>93642923</v>
          </cell>
        </row>
        <row r="6626">
          <cell r="I6626">
            <v>900002920</v>
          </cell>
          <cell r="J6626" t="str">
            <v>CENTRO EDUCATIVO PUEBLO NUEVO</v>
          </cell>
          <cell r="K6626">
            <v>13412360</v>
          </cell>
        </row>
        <row r="6627">
          <cell r="I6627">
            <v>900002926</v>
          </cell>
          <cell r="J6627" t="str">
            <v>INSTITUCION EDUCATIVA MONTELORO</v>
          </cell>
          <cell r="K6627">
            <v>20923831</v>
          </cell>
        </row>
        <row r="6628">
          <cell r="I6628">
            <v>900002953</v>
          </cell>
          <cell r="J6628" t="str">
            <v>I.E. Virgen del Carmen</v>
          </cell>
          <cell r="K6628">
            <v>47669746</v>
          </cell>
        </row>
        <row r="6629">
          <cell r="I6629">
            <v>900003106</v>
          </cell>
          <cell r="J6629" t="str">
            <v>CENTRO EDUCATIVO LOS GUAYABOS</v>
          </cell>
          <cell r="K6629">
            <v>16323350</v>
          </cell>
        </row>
        <row r="6630">
          <cell r="I6630">
            <v>900003108</v>
          </cell>
          <cell r="J6630" t="str">
            <v>IE JUAN HENRIQUE  WHITE - Dabeiba</v>
          </cell>
          <cell r="K6630">
            <v>128706661</v>
          </cell>
        </row>
        <row r="6631">
          <cell r="I6631">
            <v>900003118</v>
          </cell>
          <cell r="J6631" t="str">
            <v>CENTRO EDUCATIVO SARDINATA</v>
          </cell>
          <cell r="K6631">
            <v>35004386</v>
          </cell>
        </row>
        <row r="6632">
          <cell r="I6632">
            <v>900003142</v>
          </cell>
          <cell r="J6632" t="str">
            <v>INSTITUCION EDUCATIVA HECTOR ANGEL ARCILA</v>
          </cell>
          <cell r="K6632">
            <v>44332104</v>
          </cell>
        </row>
        <row r="6633">
          <cell r="I6633">
            <v>900003176</v>
          </cell>
          <cell r="J6633" t="str">
            <v>INSTITUCION EDUCATIVA PERPETUO SOCORRO</v>
          </cell>
          <cell r="K6633">
            <v>46033561</v>
          </cell>
        </row>
        <row r="6634">
          <cell r="I6634">
            <v>900003201</v>
          </cell>
          <cell r="J6634" t="str">
            <v>FONDO DE SERVICIOS EDUCATIVOS INSTITUCION EDUCATIVA GENERAL SANTANDER</v>
          </cell>
          <cell r="K6634">
            <v>78092990</v>
          </cell>
        </row>
        <row r="6635">
          <cell r="I6635">
            <v>900003210</v>
          </cell>
          <cell r="J6635" t="str">
            <v>CENT EDUC RUR BUENAVISTA</v>
          </cell>
          <cell r="K6635">
            <v>24397700</v>
          </cell>
        </row>
        <row r="6636">
          <cell r="I6636">
            <v>900003222</v>
          </cell>
          <cell r="J6636" t="str">
            <v>centro educativo pitalito</v>
          </cell>
          <cell r="K6636">
            <v>12716350</v>
          </cell>
        </row>
        <row r="6637">
          <cell r="I6637">
            <v>900003259</v>
          </cell>
          <cell r="J6637" t="str">
            <v>CENTRO EDUCATIVO CAMPO ALEGRE</v>
          </cell>
          <cell r="K6637">
            <v>17515799</v>
          </cell>
        </row>
        <row r="6638">
          <cell r="I6638">
            <v>900003295</v>
          </cell>
          <cell r="J6638" t="str">
            <v>FONDO DE SERVICIOS EDUCATIVOS CENTRO EDUCATIVO LA LLANA</v>
          </cell>
          <cell r="K6638">
            <v>31319633</v>
          </cell>
        </row>
        <row r="6639">
          <cell r="I6639">
            <v>900003329</v>
          </cell>
          <cell r="J6639" t="str">
            <v>CENTRO EDUCATIVO RURAL LOS LIMONES</v>
          </cell>
          <cell r="K6639">
            <v>17468250</v>
          </cell>
        </row>
        <row r="6640">
          <cell r="I6640">
            <v>900003362</v>
          </cell>
          <cell r="J6640" t="str">
            <v>CENTRO EDUCATIVO - LIBANO MONTERREY</v>
          </cell>
          <cell r="K6640">
            <v>22686215</v>
          </cell>
        </row>
        <row r="6641">
          <cell r="I6641">
            <v>900003424</v>
          </cell>
          <cell r="J6641" t="str">
            <v>FONDO DE SERVICIOS EDUCATIVOS CENTRO EDUCATIVO FUNDACION</v>
          </cell>
          <cell r="K6641">
            <v>12466994</v>
          </cell>
        </row>
        <row r="6642">
          <cell r="I6642">
            <v>900003429</v>
          </cell>
          <cell r="J6642" t="str">
            <v>IE DIVINO NIÑO LA MADERA</v>
          </cell>
          <cell r="K6642">
            <v>46622603</v>
          </cell>
        </row>
        <row r="6643">
          <cell r="I6643">
            <v>900003571</v>
          </cell>
          <cell r="J6643" t="str">
            <v>FONDO DE SERVICIO EDUCATIVO PASO NUEVO</v>
          </cell>
          <cell r="K6643">
            <v>14674334</v>
          </cell>
        </row>
        <row r="6644">
          <cell r="I6644">
            <v>900003720</v>
          </cell>
          <cell r="J6644" t="str">
            <v>INSTITUCION EDUCATIVA NUESTRA SEÑORA DE LAS MERCEDES</v>
          </cell>
          <cell r="K6644">
            <v>50871342</v>
          </cell>
        </row>
        <row r="6645">
          <cell r="I6645">
            <v>900003752</v>
          </cell>
          <cell r="J6645" t="str">
            <v>CENTRO EDUCATIVO RURAL ARIZONA</v>
          </cell>
          <cell r="K6645">
            <v>18644912</v>
          </cell>
        </row>
        <row r="6646">
          <cell r="I6646">
            <v>900003769</v>
          </cell>
          <cell r="J6646" t="str">
            <v>INSTITUCION EDUCATIVA DEPARTAMENTAL BAJO EL PALMAR</v>
          </cell>
          <cell r="K6646">
            <v>19579507</v>
          </cell>
        </row>
        <row r="6647">
          <cell r="I6647">
            <v>900003985</v>
          </cell>
          <cell r="J6647" t="str">
            <v>INSTITUCION EDUCATIVA LIBRE</v>
          </cell>
          <cell r="K6647">
            <v>60926961</v>
          </cell>
        </row>
        <row r="6648">
          <cell r="I6648">
            <v>900004187</v>
          </cell>
          <cell r="J6648" t="str">
            <v>Fondo de Servicio Educativo  IED SIMON RODRIGUEZ</v>
          </cell>
          <cell r="K6648">
            <v>77032030</v>
          </cell>
        </row>
        <row r="6649">
          <cell r="I6649">
            <v>900004605</v>
          </cell>
          <cell r="J6649" t="str">
            <v>IE RUR SAN PEDRO</v>
          </cell>
          <cell r="K6649">
            <v>11264595</v>
          </cell>
        </row>
        <row r="6650">
          <cell r="I6650">
            <v>900004669</v>
          </cell>
          <cell r="J6650" t="str">
            <v>CENTRO EDUCATIVO BARRANCA</v>
          </cell>
          <cell r="K6650">
            <v>15702396</v>
          </cell>
        </row>
        <row r="6651">
          <cell r="I6651">
            <v>900004702</v>
          </cell>
          <cell r="J6651" t="str">
            <v>CENTRO EDUCATIVO   EL TIGRE  DE VILLA CLARETH</v>
          </cell>
          <cell r="K6651">
            <v>41389967</v>
          </cell>
        </row>
        <row r="6652">
          <cell r="I6652">
            <v>900004708</v>
          </cell>
          <cell r="J6652" t="str">
            <v>CENTRO EDUCATIVO SAN ISIDRO</v>
          </cell>
          <cell r="K6652">
            <v>58119470</v>
          </cell>
        </row>
        <row r="6653">
          <cell r="I6653">
            <v>900004711</v>
          </cell>
          <cell r="J6653" t="str">
            <v>COLEGIO ISABEL LA CATOLICA</v>
          </cell>
          <cell r="K6653">
            <v>61598089</v>
          </cell>
        </row>
        <row r="6654">
          <cell r="I6654">
            <v>900004848</v>
          </cell>
          <cell r="J6654" t="str">
            <v>institucion educativa palmar de candelaria</v>
          </cell>
          <cell r="K6654">
            <v>40726850</v>
          </cell>
        </row>
        <row r="6655">
          <cell r="I6655">
            <v>900004976</v>
          </cell>
          <cell r="J6655" t="str">
            <v>FONDO SERVICIOS EDUCATIVOS I.E INDIGENA AGROINDUSTRIAL SANTA TERESITA MUESES</v>
          </cell>
          <cell r="K6655">
            <v>16739180</v>
          </cell>
        </row>
        <row r="6656">
          <cell r="I6656">
            <v>900005008</v>
          </cell>
          <cell r="J6656" t="str">
            <v>CENTRO EDUCATIVO NUEVA LUCIA</v>
          </cell>
          <cell r="K6656">
            <v>38503137</v>
          </cell>
        </row>
        <row r="6657">
          <cell r="I6657">
            <v>900005010</v>
          </cell>
          <cell r="J6657" t="str">
            <v>CENTRO EDUCATIVO DIVINO NIÑO DE CARTAGENA DEL CHAIRA</v>
          </cell>
          <cell r="K6657">
            <v>20625306</v>
          </cell>
        </row>
        <row r="6658">
          <cell r="I6658">
            <v>900005023</v>
          </cell>
          <cell r="J6658" t="str">
            <v>CENTRO EDUCATIVO SANTA RITA DE RIVERA</v>
          </cell>
          <cell r="K6658">
            <v>12156911</v>
          </cell>
        </row>
        <row r="6659">
          <cell r="I6659">
            <v>900005040</v>
          </cell>
          <cell r="J6659" t="str">
            <v>INSTITUCION EDUCATIVA ANTONIO JOSE DE SUCRE</v>
          </cell>
          <cell r="K6659">
            <v>29266301</v>
          </cell>
        </row>
        <row r="6660">
          <cell r="I6660">
            <v>900005046</v>
          </cell>
          <cell r="J6660" t="str">
            <v>FONDOS DE SERVICIOS EDUCATIVOS INSTITUCION EDUCATIVA REPUBLICA DE FRANCIA</v>
          </cell>
          <cell r="K6660">
            <v>29026447</v>
          </cell>
        </row>
        <row r="6661">
          <cell r="I6661">
            <v>900005109</v>
          </cell>
          <cell r="J6661" t="str">
            <v>INSTITUCION EDUCATIVA KWE`SX NASA KSXA`WNXI-IDEBIC</v>
          </cell>
          <cell r="K6661">
            <v>141303941</v>
          </cell>
        </row>
        <row r="6662">
          <cell r="I6662">
            <v>900005137</v>
          </cell>
          <cell r="J6662" t="str">
            <v>Centro Educativo Santo Domingo</v>
          </cell>
          <cell r="K6662">
            <v>34303971</v>
          </cell>
        </row>
        <row r="6663">
          <cell r="I6663">
            <v>900005145</v>
          </cell>
          <cell r="J6663" t="str">
            <v>FONDO DE SERVICIOS EDUCATIVOS</v>
          </cell>
          <cell r="K6663">
            <v>19802724</v>
          </cell>
        </row>
        <row r="6664">
          <cell r="I6664">
            <v>900005172</v>
          </cell>
          <cell r="J6664" t="str">
            <v>FONDO DE SERVICIO EDUCATIVO CENTRO EDUCATIVO RURAL</v>
          </cell>
          <cell r="K6664">
            <v>16526664</v>
          </cell>
        </row>
        <row r="6665">
          <cell r="I6665">
            <v>900005192</v>
          </cell>
          <cell r="J6665" t="str">
            <v>INST. EDUCATIVA EL DELIRIO</v>
          </cell>
          <cell r="K6665">
            <v>67646723</v>
          </cell>
        </row>
        <row r="6666">
          <cell r="I6666">
            <v>900005206</v>
          </cell>
          <cell r="J6666" t="str">
            <v>I.E. VILLA CAMPO</v>
          </cell>
          <cell r="K6666">
            <v>45212981</v>
          </cell>
        </row>
        <row r="6667">
          <cell r="I6667">
            <v>900005216</v>
          </cell>
          <cell r="J6667" t="str">
            <v>INSTITUCION EDUCATIVA TRES ESQUINAS LOS PATIOS</v>
          </cell>
          <cell r="K6667">
            <v>20534825</v>
          </cell>
        </row>
        <row r="6668">
          <cell r="I6668">
            <v>900005233</v>
          </cell>
          <cell r="J6668" t="str">
            <v>CENTRO EDUCATIVO LA CEIBA</v>
          </cell>
          <cell r="K6668">
            <v>14771432</v>
          </cell>
        </row>
        <row r="6669">
          <cell r="I6669">
            <v>900005408</v>
          </cell>
          <cell r="J6669" t="str">
            <v>I.E JUAN DE DIOS GIRON</v>
          </cell>
          <cell r="K6669">
            <v>43849339</v>
          </cell>
        </row>
        <row r="6670">
          <cell r="I6670">
            <v>900005412</v>
          </cell>
          <cell r="J6670" t="str">
            <v>Centro Educativo Rio Guejar</v>
          </cell>
          <cell r="K6670">
            <v>33680258</v>
          </cell>
        </row>
        <row r="6671">
          <cell r="I6671">
            <v>900005436</v>
          </cell>
          <cell r="J6671" t="str">
            <v>INSTITUCION EDUCATIVA NUEVA GENERACION</v>
          </cell>
          <cell r="K6671">
            <v>52056713</v>
          </cell>
        </row>
        <row r="6672">
          <cell r="I6672">
            <v>900005462</v>
          </cell>
          <cell r="J6672" t="str">
            <v>CENTRO EDUCATIVO AL POZA</v>
          </cell>
          <cell r="K6672">
            <v>42859757</v>
          </cell>
        </row>
        <row r="6673">
          <cell r="I6673">
            <v>900005484</v>
          </cell>
          <cell r="J6673" t="str">
            <v>F.S.E.EL VERGEL</v>
          </cell>
          <cell r="K6673">
            <v>79184845</v>
          </cell>
        </row>
        <row r="6674">
          <cell r="I6674">
            <v>900005522</v>
          </cell>
          <cell r="J6674" t="str">
            <v>I.E. LA ARGENTINA</v>
          </cell>
          <cell r="K6674">
            <v>32146729</v>
          </cell>
        </row>
        <row r="6675">
          <cell r="I6675">
            <v>900005527</v>
          </cell>
          <cell r="J6675" t="str">
            <v>C.E. EL CAUCHAL</v>
          </cell>
          <cell r="K6675">
            <v>30375691</v>
          </cell>
        </row>
        <row r="6676">
          <cell r="I6676">
            <v>900005550</v>
          </cell>
          <cell r="J6676" t="str">
            <v>INSTITUCION EDUCATIVA FRANCISCO SAENZ</v>
          </cell>
          <cell r="K6676">
            <v>21363387</v>
          </cell>
        </row>
        <row r="6677">
          <cell r="I6677">
            <v>900005634</v>
          </cell>
          <cell r="J6677" t="str">
            <v>CENTRO ETNOEDUCATIVO EL PASITO</v>
          </cell>
          <cell r="K6677">
            <v>28239585</v>
          </cell>
        </row>
        <row r="6678">
          <cell r="I6678">
            <v>900005661</v>
          </cell>
          <cell r="J6678" t="str">
            <v>INSTITUCION EDUCATIVA DEPARTAMENTAL LAS MERCEDES</v>
          </cell>
          <cell r="K6678">
            <v>33020680</v>
          </cell>
        </row>
        <row r="6679">
          <cell r="I6679">
            <v>900005732</v>
          </cell>
          <cell r="J6679" t="str">
            <v>Institución Educativa Municipal Eben Ezer</v>
          </cell>
          <cell r="K6679">
            <v>73235048</v>
          </cell>
        </row>
        <row r="6680">
          <cell r="I6680">
            <v>900005737</v>
          </cell>
          <cell r="J6680" t="str">
            <v>Centro Educativo Rural de Guamal</v>
          </cell>
          <cell r="K6680">
            <v>30276472</v>
          </cell>
        </row>
        <row r="6681">
          <cell r="I6681">
            <v>900005749</v>
          </cell>
          <cell r="J6681" t="str">
            <v>Centro Educativo Rural Castilla la Nueva</v>
          </cell>
          <cell r="K6681">
            <v>44518727</v>
          </cell>
        </row>
        <row r="6682">
          <cell r="I6682">
            <v>900005757</v>
          </cell>
          <cell r="J6682" t="str">
            <v>I.E. VILLALOSADA</v>
          </cell>
          <cell r="K6682">
            <v>37904200</v>
          </cell>
        </row>
        <row r="6683">
          <cell r="I6683">
            <v>900005904</v>
          </cell>
          <cell r="J6683" t="str">
            <v>institucion educativa la cabaña</v>
          </cell>
          <cell r="K6683">
            <v>80398337</v>
          </cell>
        </row>
        <row r="6684">
          <cell r="I6684">
            <v>900005971</v>
          </cell>
          <cell r="J6684" t="str">
            <v>CENTRO EDUCATIVO MONSERRATE</v>
          </cell>
          <cell r="K6684">
            <v>30889126</v>
          </cell>
        </row>
        <row r="6685">
          <cell r="I6685">
            <v>900006069</v>
          </cell>
          <cell r="J6685" t="str">
            <v>institucion educativa el rosario</v>
          </cell>
          <cell r="K6685">
            <v>10327540</v>
          </cell>
        </row>
        <row r="6686">
          <cell r="I6686">
            <v>900006073</v>
          </cell>
          <cell r="J6686" t="str">
            <v>FONDO DE SERVICIOS EDUCATIVO SEMPEGUA</v>
          </cell>
          <cell r="K6686">
            <v>20587448</v>
          </cell>
        </row>
        <row r="6687">
          <cell r="I6687">
            <v>900006187</v>
          </cell>
          <cell r="J6687" t="str">
            <v>INSTITUCION EDUCATIVA SAMARIA</v>
          </cell>
          <cell r="K6687">
            <v>151549784</v>
          </cell>
        </row>
        <row r="6688">
          <cell r="I6688">
            <v>900006742</v>
          </cell>
          <cell r="J6688" t="str">
            <v>CENTRO EDUCVATIVO INDIGENA RURAL N. 9</v>
          </cell>
          <cell r="K6688">
            <v>225501438</v>
          </cell>
        </row>
        <row r="6689">
          <cell r="I6689">
            <v>900006745</v>
          </cell>
          <cell r="J6689" t="str">
            <v>CENTRO EDUCATIVO INDIGENA RURAL 10</v>
          </cell>
          <cell r="K6689">
            <v>95312133</v>
          </cell>
        </row>
        <row r="6690">
          <cell r="I6690">
            <v>900006877</v>
          </cell>
          <cell r="J6690" t="str">
            <v>INSTITUCION EDUCATIVA SINCELEJITO MUNICIPIO DE MAJAGUAL SUCRE</v>
          </cell>
          <cell r="K6690">
            <v>52402760</v>
          </cell>
        </row>
        <row r="6691">
          <cell r="I6691">
            <v>900006880</v>
          </cell>
          <cell r="J6691" t="str">
            <v>FONDOS DE SERVICIOS DOCENTES DEL CENTRO EDUCATIVO</v>
          </cell>
          <cell r="K6691">
            <v>19981182</v>
          </cell>
        </row>
        <row r="6692">
          <cell r="I6692">
            <v>900006897</v>
          </cell>
          <cell r="J6692" t="str">
            <v>CENTRO EDUCATIVO MANOS UNIDAS</v>
          </cell>
          <cell r="K6692">
            <v>44529704</v>
          </cell>
        </row>
        <row r="6693">
          <cell r="I6693">
            <v>900006917</v>
          </cell>
          <cell r="J6693" t="str">
            <v>CENTRO EDUCATIVO JUAN XXIII</v>
          </cell>
          <cell r="K6693">
            <v>47519955</v>
          </cell>
        </row>
        <row r="6694">
          <cell r="I6694">
            <v>900006971</v>
          </cell>
          <cell r="J6694" t="str">
            <v>FONDO DE SERVICIO EDUCATIVOS CENTRO EDUCATIVO EL CHAMIZO</v>
          </cell>
          <cell r="K6694">
            <v>15751053</v>
          </cell>
        </row>
        <row r="6695">
          <cell r="I6695">
            <v>900006997</v>
          </cell>
          <cell r="J6695" t="str">
            <v>I.E CORNEJO</v>
          </cell>
          <cell r="K6695">
            <v>71269207</v>
          </cell>
        </row>
        <row r="6696">
          <cell r="I6696">
            <v>900007052</v>
          </cell>
          <cell r="J6696" t="str">
            <v>FONDO DE SERVICIOS EDUCATIVOS CENTRO EDUCATIVO BURBURA</v>
          </cell>
          <cell r="K6696">
            <v>14747958</v>
          </cell>
        </row>
        <row r="6697">
          <cell r="I6697">
            <v>900007280</v>
          </cell>
          <cell r="J6697" t="str">
            <v>I. E. PALO ALTO</v>
          </cell>
          <cell r="K6697">
            <v>53901581</v>
          </cell>
        </row>
        <row r="6698">
          <cell r="I6698">
            <v>900007459</v>
          </cell>
          <cell r="J6698" t="str">
            <v>INSTITUCION EDUCATIVA N. 14</v>
          </cell>
          <cell r="K6698">
            <v>65771114</v>
          </cell>
        </row>
        <row r="6699">
          <cell r="I6699">
            <v>900007622</v>
          </cell>
          <cell r="J6699" t="str">
            <v>INSTITUCION EDUCATIVA AMBIENTALISTA DE CARTAGENA</v>
          </cell>
          <cell r="K6699">
            <v>163544638</v>
          </cell>
        </row>
        <row r="6700">
          <cell r="I6700">
            <v>900007698</v>
          </cell>
          <cell r="J6700" t="str">
            <v>Institucion Educativa Caño Blanco II</v>
          </cell>
          <cell r="K6700">
            <v>25404078</v>
          </cell>
        </row>
        <row r="6701">
          <cell r="I6701">
            <v>900007961</v>
          </cell>
          <cell r="J6701" t="str">
            <v>INSTITUCION EDUCATIVA SAN ISIDRO</v>
          </cell>
          <cell r="K6701">
            <v>18941975</v>
          </cell>
        </row>
        <row r="6702">
          <cell r="I6702">
            <v>900007970</v>
          </cell>
          <cell r="J6702" t="str">
            <v>INSTITUCION EDUCATIVA N. 13</v>
          </cell>
          <cell r="K6702">
            <v>110117429</v>
          </cell>
        </row>
        <row r="6703">
          <cell r="I6703">
            <v>900008118</v>
          </cell>
          <cell r="J6703" t="str">
            <v>INSTITUCION EDUCATIVA HEREDIA</v>
          </cell>
          <cell r="K6703">
            <v>29717420</v>
          </cell>
        </row>
        <row r="6704">
          <cell r="I6704">
            <v>900008138</v>
          </cell>
          <cell r="J6704" t="str">
            <v>FONDO DE SERVICIOS EDUCATIVOS</v>
          </cell>
          <cell r="K6704">
            <v>57604528</v>
          </cell>
        </row>
        <row r="6705">
          <cell r="I6705">
            <v>900008167</v>
          </cell>
          <cell r="J6705" t="str">
            <v>I.E. SAN MIGUEL</v>
          </cell>
          <cell r="K6705">
            <v>50325446</v>
          </cell>
        </row>
        <row r="6706">
          <cell r="I6706">
            <v>900008218</v>
          </cell>
          <cell r="J6706" t="str">
            <v>INSTITUCION EDUCATIVA EL CERRITO</v>
          </cell>
          <cell r="K6706">
            <v>27741088</v>
          </cell>
        </row>
        <row r="6707">
          <cell r="I6707">
            <v>900008478</v>
          </cell>
          <cell r="J6707" t="str">
            <v>INST EDUC RUR OVER ANTONIO MORALES</v>
          </cell>
          <cell r="K6707">
            <v>10531778</v>
          </cell>
        </row>
        <row r="6708">
          <cell r="I6708">
            <v>900008766</v>
          </cell>
          <cell r="J6708" t="str">
            <v>INSTITUCION EDUCATIVA DEPARTAMENTAL EL SALITRE</v>
          </cell>
          <cell r="K6708">
            <v>58369084</v>
          </cell>
        </row>
        <row r="6709">
          <cell r="I6709">
            <v>900009238</v>
          </cell>
          <cell r="J6709" t="str">
            <v>FONDO DE SERVICIOS EDUCATIVOS</v>
          </cell>
          <cell r="K6709">
            <v>51611656</v>
          </cell>
        </row>
        <row r="6710">
          <cell r="I6710">
            <v>900009251</v>
          </cell>
          <cell r="J6710" t="str">
            <v>INSTITUCION EDUCATIVA BAJO SAN FRANCISCO</v>
          </cell>
          <cell r="K6710">
            <v>16808210</v>
          </cell>
        </row>
        <row r="6711">
          <cell r="I6711">
            <v>900009397</v>
          </cell>
          <cell r="J6711" t="str">
            <v>Institución Educativa Normal Superior - S.G.P.</v>
          </cell>
          <cell r="K6711">
            <v>158700002</v>
          </cell>
        </row>
        <row r="6712">
          <cell r="I6712">
            <v>900009575</v>
          </cell>
          <cell r="J6712" t="str">
            <v>INSTITUCIÓN EDUCATIVA DEPARTAMENTAL RURAL BALO HERRERA</v>
          </cell>
          <cell r="K6712">
            <v>126266677</v>
          </cell>
        </row>
        <row r="6713">
          <cell r="I6713">
            <v>900009586</v>
          </cell>
          <cell r="J6713" t="str">
            <v>INSTITUCIÓN EDICATIVA LA SALADA</v>
          </cell>
          <cell r="K6713">
            <v>23800197</v>
          </cell>
        </row>
        <row r="6714">
          <cell r="I6714">
            <v>900009595</v>
          </cell>
          <cell r="J6714" t="str">
            <v>INSTITUCION EDUCATIVA URBANA NUESTRA SEÑORA DEL ROSARIO</v>
          </cell>
          <cell r="K6714">
            <v>61992331</v>
          </cell>
        </row>
        <row r="6715">
          <cell r="I6715">
            <v>900009757</v>
          </cell>
          <cell r="J6715" t="str">
            <v>CENTRO EDUCATIVO RURAL ALTO LORENZO</v>
          </cell>
          <cell r="K6715">
            <v>14681640</v>
          </cell>
        </row>
        <row r="6716">
          <cell r="I6716">
            <v>900010036</v>
          </cell>
          <cell r="J6716" t="str">
            <v>FONDO DE SERVICIOS EDUCATIVOS IPEBI</v>
          </cell>
          <cell r="K6716">
            <v>27688945</v>
          </cell>
        </row>
        <row r="6717">
          <cell r="I6717">
            <v>900010171</v>
          </cell>
          <cell r="J6717" t="str">
            <v>I.E. EL SALADO</v>
          </cell>
          <cell r="K6717">
            <v>46548805</v>
          </cell>
        </row>
        <row r="6718">
          <cell r="I6718">
            <v>900010185</v>
          </cell>
          <cell r="J6718" t="str">
            <v>INSTITUCION EDUCATIVA MARIA LUZ</v>
          </cell>
          <cell r="K6718">
            <v>30014566</v>
          </cell>
        </row>
        <row r="6719">
          <cell r="I6719">
            <v>900010275</v>
          </cell>
          <cell r="J6719" t="str">
            <v>FONDO DE SERVICIO EDUCATIVO COL CLUB DE LEONES</v>
          </cell>
          <cell r="K6719">
            <v>165960066</v>
          </cell>
        </row>
        <row r="6720">
          <cell r="I6720">
            <v>900010463</v>
          </cell>
          <cell r="J6720" t="str">
            <v>FONDO DE SERVICIO EDUCATIVOS CER SAN LUIS GONZAGA</v>
          </cell>
          <cell r="K6720">
            <v>12283394</v>
          </cell>
        </row>
        <row r="6721">
          <cell r="I6721">
            <v>900010601</v>
          </cell>
          <cell r="J6721" t="str">
            <v>CENTRO EDUCATIVO LOS TORMENTOS - FONDO DE SERVICIOS EDUCATIVO</v>
          </cell>
          <cell r="K6721">
            <v>13061684</v>
          </cell>
        </row>
        <row r="6722">
          <cell r="I6722">
            <v>900011411</v>
          </cell>
          <cell r="J6722" t="str">
            <v>INST EDUC SAGRADO CORAZON DE JESUS</v>
          </cell>
          <cell r="K6722">
            <v>16035336</v>
          </cell>
        </row>
        <row r="6723">
          <cell r="I6723">
            <v>900011459</v>
          </cell>
          <cell r="J6723" t="str">
            <v>SGP GRATU-CENTRO EDUCATIVO LA PISTA</v>
          </cell>
          <cell r="K6723">
            <v>14201507</v>
          </cell>
        </row>
        <row r="6724">
          <cell r="I6724">
            <v>900011716</v>
          </cell>
          <cell r="J6724" t="str">
            <v>centro educativo eduardo santos</v>
          </cell>
          <cell r="K6724">
            <v>18996060</v>
          </cell>
        </row>
        <row r="6725">
          <cell r="I6725">
            <v>900011729</v>
          </cell>
          <cell r="J6725" t="str">
            <v>INSTITUCION EDUCATIVA SAN ROQUE</v>
          </cell>
          <cell r="K6725">
            <v>46259314</v>
          </cell>
        </row>
        <row r="6726">
          <cell r="I6726">
            <v>900011743</v>
          </cell>
          <cell r="J6726" t="str">
            <v>institucion educativa la sierpita</v>
          </cell>
          <cell r="K6726">
            <v>52924917</v>
          </cell>
        </row>
        <row r="6727">
          <cell r="I6727">
            <v>900011766</v>
          </cell>
          <cell r="J6727" t="str">
            <v>INSTITUCION EDUCATIVA INSTITUTO DE PROMOCION SOCIAL DOKABU</v>
          </cell>
          <cell r="K6727">
            <v>82909373</v>
          </cell>
        </row>
        <row r="6728">
          <cell r="I6728">
            <v>900011804</v>
          </cell>
          <cell r="J6728" t="str">
            <v>INSTITUCION EDUCATIVA TECNICA  MARIA AUXILIADORA</v>
          </cell>
          <cell r="K6728">
            <v>19815080</v>
          </cell>
        </row>
        <row r="6729">
          <cell r="I6729">
            <v>900011836</v>
          </cell>
          <cell r="J6729" t="str">
            <v>CENTRO EDUCATIVO EL GAITAL</v>
          </cell>
          <cell r="K6729">
            <v>11262027</v>
          </cell>
        </row>
        <row r="6730">
          <cell r="I6730">
            <v>900011877</v>
          </cell>
          <cell r="J6730" t="str">
            <v>INSTITUCION EDUCATIVA RIO CEDRO</v>
          </cell>
          <cell r="K6730">
            <v>43717206</v>
          </cell>
        </row>
        <row r="6731">
          <cell r="I6731">
            <v>900012490</v>
          </cell>
          <cell r="J6731" t="str">
            <v>COLEGIO DEPARTAMENTAL NOVILLEROS</v>
          </cell>
          <cell r="K6731">
            <v>23343223</v>
          </cell>
        </row>
        <row r="6732">
          <cell r="I6732">
            <v>900012537</v>
          </cell>
          <cell r="J6732" t="str">
            <v>INSTITTO EDUCATIVO DEPARTAMENTAL TECNICO ARIGUANI</v>
          </cell>
          <cell r="K6732">
            <v>56531911</v>
          </cell>
        </row>
        <row r="6733">
          <cell r="I6733">
            <v>900012754</v>
          </cell>
          <cell r="J6733" t="str">
            <v>INSTITUCION EDUCATIVA YO REINARE</v>
          </cell>
          <cell r="K6733">
            <v>26811160</v>
          </cell>
        </row>
        <row r="6734">
          <cell r="I6734">
            <v>900012755</v>
          </cell>
          <cell r="J6734" t="str">
            <v>IED CAPELLANIA</v>
          </cell>
          <cell r="K6734">
            <v>73348753</v>
          </cell>
        </row>
        <row r="6735">
          <cell r="I6735">
            <v>900013651</v>
          </cell>
          <cell r="J6735" t="str">
            <v>INSTITUCION EDUCATIVA LA CEIBA</v>
          </cell>
          <cell r="K6735">
            <v>25162408</v>
          </cell>
        </row>
        <row r="6736">
          <cell r="I6736">
            <v>900013774</v>
          </cell>
          <cell r="J6736" t="str">
            <v>INSTITUCION EDUCATIVA NUEVO BOSQUE</v>
          </cell>
          <cell r="K6736">
            <v>197723308</v>
          </cell>
        </row>
        <row r="6737">
          <cell r="I6737">
            <v>900013827</v>
          </cell>
          <cell r="J6737" t="str">
            <v>IED POSPRIMARIA LA FUENTE</v>
          </cell>
          <cell r="K6737">
            <v>88666212</v>
          </cell>
        </row>
        <row r="6738">
          <cell r="I6738">
            <v>900014041</v>
          </cell>
          <cell r="J6738" t="str">
            <v>CENT EDUC RUR NUEVA APAYA</v>
          </cell>
          <cell r="K6738">
            <v>8025693</v>
          </cell>
        </row>
        <row r="6739">
          <cell r="I6739">
            <v>900014059</v>
          </cell>
          <cell r="J6739" t="str">
            <v>CENTRO EDUCATIVO CAMILO TORRES LA VICTORIA</v>
          </cell>
          <cell r="K6739">
            <v>29839758</v>
          </cell>
        </row>
        <row r="6740">
          <cell r="I6740">
            <v>900014172</v>
          </cell>
          <cell r="J6740" t="str">
            <v>CENTRO EDUCATIVO RAFAEL URIBE</v>
          </cell>
          <cell r="K6740">
            <v>20029932</v>
          </cell>
        </row>
        <row r="6741">
          <cell r="I6741">
            <v>900014185</v>
          </cell>
          <cell r="J6741" t="str">
            <v>FONDOS DE SERVICIOS EDUCATIVOS SAN LUIS</v>
          </cell>
          <cell r="K6741">
            <v>30727337</v>
          </cell>
        </row>
        <row r="6742">
          <cell r="I6742">
            <v>900014354</v>
          </cell>
          <cell r="J6742" t="str">
            <v>IED PATIO BONITO</v>
          </cell>
          <cell r="K6742">
            <v>69611115</v>
          </cell>
        </row>
        <row r="6743">
          <cell r="I6743">
            <v>900014413</v>
          </cell>
          <cell r="J6743" t="str">
            <v>CENTRO EDUCATIVO PLATANILLO</v>
          </cell>
          <cell r="K6743">
            <v>20091723</v>
          </cell>
        </row>
        <row r="6744">
          <cell r="I6744">
            <v>900014445</v>
          </cell>
          <cell r="J6744" t="str">
            <v>IE SANTA TERESA - Argelia</v>
          </cell>
          <cell r="K6744">
            <v>114474878</v>
          </cell>
        </row>
        <row r="6745">
          <cell r="I6745">
            <v>900014462</v>
          </cell>
          <cell r="J6745" t="str">
            <v>IED SANTO DOMINGO SAVIO</v>
          </cell>
          <cell r="K6745">
            <v>74522841</v>
          </cell>
        </row>
        <row r="6746">
          <cell r="I6746">
            <v>900014608</v>
          </cell>
          <cell r="J6746" t="str">
            <v>CENTRO RURAL CARACOLI</v>
          </cell>
          <cell r="K6746">
            <v>22403695</v>
          </cell>
        </row>
        <row r="6747">
          <cell r="I6747">
            <v>900014668</v>
          </cell>
          <cell r="J6747" t="str">
            <v>INSTITUCION EDUCATIVA DEPARTAMENTAL EL HATO</v>
          </cell>
          <cell r="K6747">
            <v>48262401</v>
          </cell>
        </row>
        <row r="6748">
          <cell r="I6748">
            <v>900014671</v>
          </cell>
          <cell r="J6748" t="str">
            <v>INSTITUCION EDUCATIVA DEPARTAMENTAL FERRALARADA</v>
          </cell>
          <cell r="K6748">
            <v>43611762</v>
          </cell>
        </row>
        <row r="6749">
          <cell r="I6749">
            <v>900014711</v>
          </cell>
          <cell r="J6749" t="str">
            <v>I.E. NUESTRA SRA DEL  SOCORRO</v>
          </cell>
          <cell r="K6749">
            <v>61684996</v>
          </cell>
        </row>
        <row r="6750">
          <cell r="I6750">
            <v>900014719</v>
          </cell>
          <cell r="J6750" t="str">
            <v>IED RURAL CAMPO ALEGRE</v>
          </cell>
          <cell r="K6750">
            <v>74793444</v>
          </cell>
        </row>
        <row r="6751">
          <cell r="I6751">
            <v>900014871</v>
          </cell>
          <cell r="J6751" t="str">
            <v>INSTITUCION EDUCATIVA MARILOPEZ BELLAVISTA (ANTES CENTRO EDUCATIVO MARILOPEZ BELLAVISTA)</v>
          </cell>
          <cell r="K6751">
            <v>19448886</v>
          </cell>
        </row>
        <row r="6752">
          <cell r="I6752">
            <v>900014931</v>
          </cell>
          <cell r="J6752" t="str">
            <v>I. E. SAN PEDRO CLAVER</v>
          </cell>
          <cell r="K6752">
            <v>23340943</v>
          </cell>
        </row>
        <row r="6753">
          <cell r="I6753">
            <v>900015025</v>
          </cell>
          <cell r="J6753" t="str">
            <v>INSTITUCIÓN EDUCATIVA LA CABAÑA</v>
          </cell>
          <cell r="K6753">
            <v>19570531</v>
          </cell>
        </row>
        <row r="6754">
          <cell r="I6754">
            <v>900015383</v>
          </cell>
          <cell r="J6754" t="str">
            <v>INSTITUCION EDUCATIVA DEPARTAMENTAL JOSE MANUAL DUARTE</v>
          </cell>
          <cell r="K6754">
            <v>16892050</v>
          </cell>
        </row>
        <row r="6755">
          <cell r="I6755">
            <v>900015715</v>
          </cell>
          <cell r="J6755" t="str">
            <v>FONDO DE SERVICIOS EDUCATIVOS</v>
          </cell>
          <cell r="K6755">
            <v>28807665</v>
          </cell>
        </row>
        <row r="6756">
          <cell r="I6756">
            <v>900015752</v>
          </cell>
          <cell r="J6756" t="str">
            <v>IED RURAL EL ATICO</v>
          </cell>
          <cell r="K6756">
            <v>92782795</v>
          </cell>
        </row>
        <row r="6757">
          <cell r="I6757">
            <v>900015862</v>
          </cell>
          <cell r="J6757" t="str">
            <v>IED ALFONSO LOPEZ PUMAREJO</v>
          </cell>
          <cell r="K6757">
            <v>116046813</v>
          </cell>
        </row>
        <row r="6758">
          <cell r="I6758">
            <v>900016130</v>
          </cell>
          <cell r="J6758" t="str">
            <v>I.E. SAN JOSE DE LLANITOS</v>
          </cell>
          <cell r="K6758">
            <v>26772944</v>
          </cell>
        </row>
        <row r="6759">
          <cell r="I6759">
            <v>900016145</v>
          </cell>
          <cell r="J6759" t="str">
            <v>IED INSTITUTO PARCELAS</v>
          </cell>
          <cell r="K6759">
            <v>104149939</v>
          </cell>
        </row>
        <row r="6760">
          <cell r="I6760">
            <v>900016222</v>
          </cell>
          <cell r="J6760" t="str">
            <v>FONDO DE SERVICIOS DOCENTES</v>
          </cell>
          <cell r="K6760">
            <v>17755156</v>
          </cell>
        </row>
        <row r="6761">
          <cell r="I6761">
            <v>900016491</v>
          </cell>
          <cell r="J6761" t="str">
            <v>INSTITUCION EDUCATIVA SAN FRANCISCO DE ASIS</v>
          </cell>
          <cell r="K6761">
            <v>116989414</v>
          </cell>
        </row>
        <row r="6762">
          <cell r="I6762">
            <v>900016749</v>
          </cell>
          <cell r="J6762" t="str">
            <v>INSTITUCIÓN EDUCATIVA DEPARTAMENTAL AGROPECUARIO PILOTO</v>
          </cell>
          <cell r="K6762">
            <v>19636625</v>
          </cell>
        </row>
        <row r="6763">
          <cell r="I6763">
            <v>900016768</v>
          </cell>
          <cell r="J6763" t="str">
            <v>CENTRO EDUCATIVO GALAPAGOS</v>
          </cell>
          <cell r="K6763">
            <v>13926330</v>
          </cell>
        </row>
        <row r="6764">
          <cell r="I6764">
            <v>900016841</v>
          </cell>
          <cell r="J6764" t="str">
            <v>IE EL JORDAN - San Carlos</v>
          </cell>
          <cell r="K6764">
            <v>42108424</v>
          </cell>
        </row>
        <row r="6765">
          <cell r="I6765">
            <v>900016842</v>
          </cell>
          <cell r="J6765" t="str">
            <v>Intitucion Educativa Departamental Jose Gregorio Salas</v>
          </cell>
          <cell r="K6765">
            <v>47460594</v>
          </cell>
        </row>
        <row r="6766">
          <cell r="I6766">
            <v>900017050</v>
          </cell>
          <cell r="J6766" t="str">
            <v>CENTRO EDUCATIVO CRISTO REY</v>
          </cell>
          <cell r="K6766">
            <v>20948356</v>
          </cell>
        </row>
        <row r="6767">
          <cell r="I6767">
            <v>900017085</v>
          </cell>
          <cell r="J6767" t="str">
            <v>CENTRO EDUCATIVO SAN FRANCISCO DEL MUNICIPIO DE GA</v>
          </cell>
          <cell r="K6767">
            <v>33917394</v>
          </cell>
        </row>
        <row r="6768">
          <cell r="I6768">
            <v>900017129</v>
          </cell>
          <cell r="J6768" t="str">
            <v>IERD AGUABLANCA</v>
          </cell>
          <cell r="K6768">
            <v>36696780</v>
          </cell>
        </row>
        <row r="6769">
          <cell r="I6769">
            <v>900017136</v>
          </cell>
          <cell r="J6769" t="str">
            <v>INSTITUCION EDUCATIVA CORAZON INMACULADO DE MARIA</v>
          </cell>
          <cell r="K6769">
            <v>88812107</v>
          </cell>
        </row>
        <row r="6770">
          <cell r="I6770">
            <v>900017301</v>
          </cell>
          <cell r="J6770" t="str">
            <v>INSTITUCION EDUCATIVA BELEN</v>
          </cell>
          <cell r="K6770">
            <v>58363949</v>
          </cell>
        </row>
        <row r="6771">
          <cell r="I6771">
            <v>900017384</v>
          </cell>
          <cell r="J6771" t="str">
            <v>Intitucion Educativa Departamental Rural Cune</v>
          </cell>
          <cell r="K6771">
            <v>43502775</v>
          </cell>
        </row>
        <row r="6772">
          <cell r="I6772">
            <v>900017427</v>
          </cell>
          <cell r="J6772" t="str">
            <v>CENT EDUC RUR SANTA CECILIA</v>
          </cell>
          <cell r="K6772">
            <v>9989367</v>
          </cell>
        </row>
        <row r="6773">
          <cell r="I6773">
            <v>900017517</v>
          </cell>
          <cell r="J6773" t="str">
            <v>INSTITUCION EDUCATIVA NACIONAL DANTE ALIGHIERI</v>
          </cell>
          <cell r="K6773">
            <v>133573707</v>
          </cell>
        </row>
        <row r="6774">
          <cell r="I6774">
            <v>900017520</v>
          </cell>
          <cell r="J6774" t="str">
            <v>I.E. MARTICAS FONDO DE SERVICIOS EDUCATIVO</v>
          </cell>
          <cell r="K6774">
            <v>67679836</v>
          </cell>
        </row>
        <row r="6775">
          <cell r="I6775">
            <v>900017554</v>
          </cell>
          <cell r="J6775" t="str">
            <v>FONDO DE SERVICIOS EDUCATIVOS</v>
          </cell>
          <cell r="K6775">
            <v>25092714</v>
          </cell>
        </row>
        <row r="6776">
          <cell r="I6776">
            <v>900017593</v>
          </cell>
          <cell r="J6776" t="str">
            <v>FONDO DE SER. EDUCATIVO INSTITUCION</v>
          </cell>
          <cell r="K6776">
            <v>20873924</v>
          </cell>
        </row>
        <row r="6777">
          <cell r="I6777">
            <v>900017668</v>
          </cell>
          <cell r="J6777" t="str">
            <v>CENTRO EDUCATIVO RURAL LA COROZA LAS CAÑAS</v>
          </cell>
          <cell r="K6777">
            <v>15326133</v>
          </cell>
        </row>
        <row r="6778">
          <cell r="I6778">
            <v>900017839</v>
          </cell>
          <cell r="J6778" t="str">
            <v>FONDO DE SERVICIOS EDUCATIVOS</v>
          </cell>
          <cell r="K6778">
            <v>14459289</v>
          </cell>
        </row>
        <row r="6779">
          <cell r="I6779">
            <v>900017942</v>
          </cell>
          <cell r="J6779" t="str">
            <v>INSTITUCION EDUCATIVA DISTRITAL RESTREPO MILLAN</v>
          </cell>
          <cell r="K6779">
            <v>184945441</v>
          </cell>
        </row>
        <row r="6780">
          <cell r="I6780">
            <v>900018002</v>
          </cell>
          <cell r="J6780" t="str">
            <v>INSTITUCION EDUCATIVA DEPARTAMENTAL URIEL MURCIA</v>
          </cell>
          <cell r="K6780">
            <v>20025370</v>
          </cell>
        </row>
        <row r="6781">
          <cell r="I6781">
            <v>900018003</v>
          </cell>
          <cell r="J6781" t="str">
            <v>INSTITUCION EDUCATIVA EL VIAJANO</v>
          </cell>
          <cell r="K6781">
            <v>105593186</v>
          </cell>
        </row>
        <row r="6782">
          <cell r="I6782">
            <v>900018057</v>
          </cell>
          <cell r="J6782" t="str">
            <v>FONDO DE SERVICIOS</v>
          </cell>
          <cell r="K6782">
            <v>78120629</v>
          </cell>
        </row>
        <row r="6783">
          <cell r="I6783">
            <v>900018188</v>
          </cell>
          <cell r="J6783" t="str">
            <v>IED EL MORTIÑO</v>
          </cell>
          <cell r="K6783">
            <v>32393735</v>
          </cell>
        </row>
        <row r="6784">
          <cell r="I6784">
            <v>900018588</v>
          </cell>
          <cell r="J6784" t="str">
            <v>PROYECTO ACCESO Y PERMANENCIA EN EL SECTOR EDUCATIVO Y RURAL - EL TRIGO</v>
          </cell>
          <cell r="K6784">
            <v>16312444</v>
          </cell>
        </row>
        <row r="6785">
          <cell r="I6785">
            <v>900018738</v>
          </cell>
          <cell r="J6785" t="str">
            <v>INSTITUCION EDUCATIVA TECNICA SAN JOSE DE DOLORES TOLIMA</v>
          </cell>
          <cell r="K6785">
            <v>23157296</v>
          </cell>
        </row>
        <row r="6786">
          <cell r="I6786">
            <v>900018923</v>
          </cell>
          <cell r="J6786" t="str">
            <v>INSTITUCION EDUCATIVA LEON XIII</v>
          </cell>
          <cell r="K6786">
            <v>62897706</v>
          </cell>
        </row>
        <row r="6787">
          <cell r="I6787">
            <v>900019218</v>
          </cell>
          <cell r="J6787" t="str">
            <v>INSTITUCION EDUCATIVA PATIO BONITO</v>
          </cell>
          <cell r="K6787">
            <v>59883474</v>
          </cell>
        </row>
        <row r="6788">
          <cell r="I6788">
            <v>900019229</v>
          </cell>
          <cell r="J6788" t="str">
            <v>CENTRO EDUCATIVO CRUZ CHIQUITA</v>
          </cell>
          <cell r="K6788">
            <v>85797196</v>
          </cell>
        </row>
        <row r="6789">
          <cell r="I6789">
            <v>900019230</v>
          </cell>
          <cell r="J6789" t="str">
            <v>CENT EDUC GARDENIA</v>
          </cell>
          <cell r="K6789">
            <v>37915112</v>
          </cell>
        </row>
        <row r="6790">
          <cell r="I6790">
            <v>900019236</v>
          </cell>
          <cell r="J6790" t="str">
            <v>CENTRO EDUCATIVO SAN JUAN DE LA CRUZ</v>
          </cell>
          <cell r="K6790">
            <v>52532033</v>
          </cell>
        </row>
        <row r="6791">
          <cell r="I6791">
            <v>900019273</v>
          </cell>
          <cell r="J6791" t="str">
            <v>CENTRO EDUCATIVO LAS CRUCES</v>
          </cell>
          <cell r="K6791">
            <v>66106426</v>
          </cell>
        </row>
        <row r="6792">
          <cell r="I6792">
            <v>900019279</v>
          </cell>
          <cell r="J6792" t="str">
            <v>INSTITUCION EDUCATIVA ANTONIO RICAUTE</v>
          </cell>
          <cell r="K6792">
            <v>55701138</v>
          </cell>
        </row>
        <row r="6793">
          <cell r="I6793">
            <v>900019520</v>
          </cell>
          <cell r="J6793" t="str">
            <v>Fondos de Servicios Educativos Cayo de la Cruz</v>
          </cell>
          <cell r="K6793">
            <v>18262599</v>
          </cell>
        </row>
        <row r="6794">
          <cell r="I6794">
            <v>900019546</v>
          </cell>
          <cell r="J6794" t="str">
            <v>FONDO DE SERVICIOS EDUCATIVOS INSTITUCION EDUCATIVA SAN ALEJANDRO</v>
          </cell>
          <cell r="K6794">
            <v>27932589</v>
          </cell>
        </row>
        <row r="6795">
          <cell r="I6795">
            <v>900019598</v>
          </cell>
          <cell r="J6795" t="str">
            <v>CENTRO EDUCATIVO RURAL BARRIALOSA</v>
          </cell>
          <cell r="K6795">
            <v>17242578</v>
          </cell>
        </row>
        <row r="6796">
          <cell r="I6796">
            <v>900019602</v>
          </cell>
          <cell r="J6796" t="str">
            <v>INSTITUCION EDUCATIVA TECNICA SAN ISIDRO DE BOYACA</v>
          </cell>
          <cell r="K6796">
            <v>35540066</v>
          </cell>
        </row>
        <row r="6797">
          <cell r="I6797">
            <v>900019838</v>
          </cell>
          <cell r="J6797" t="str">
            <v>INSTITUCION EDUCATIVA DIVINO NIÑO DE TIERRA GRATA</v>
          </cell>
          <cell r="K6797">
            <v>53224015</v>
          </cell>
        </row>
        <row r="6798">
          <cell r="I6798">
            <v>900019863</v>
          </cell>
          <cell r="J6798" t="str">
            <v>CENTRO EDUCATIVO LA APONDERANCIA</v>
          </cell>
          <cell r="K6798">
            <v>16278211</v>
          </cell>
        </row>
        <row r="6799">
          <cell r="I6799">
            <v>900019920</v>
          </cell>
          <cell r="J6799" t="str">
            <v>INSTITUCION EDUCATIVA PLAZA BONITA</v>
          </cell>
          <cell r="K6799">
            <v>62244105</v>
          </cell>
        </row>
        <row r="6800">
          <cell r="I6800">
            <v>900020123</v>
          </cell>
          <cell r="J6800" t="str">
            <v>INSTITUCION ETNOEDUCATIVA INTEGRAL RURAL PUERTO ESTRELLA</v>
          </cell>
          <cell r="K6800">
            <v>127381778</v>
          </cell>
        </row>
        <row r="6801">
          <cell r="I6801">
            <v>900020158</v>
          </cell>
          <cell r="J6801" t="str">
            <v>INST EDUCATIVA LA SANJUANA</v>
          </cell>
          <cell r="K6801">
            <v>28891825</v>
          </cell>
        </row>
        <row r="6802">
          <cell r="I6802">
            <v>900020367</v>
          </cell>
          <cell r="J6802" t="str">
            <v>centro educativo rural el guamal</v>
          </cell>
          <cell r="K6802">
            <v>22673400</v>
          </cell>
        </row>
        <row r="6803">
          <cell r="I6803">
            <v>900020498</v>
          </cell>
          <cell r="J6803" t="str">
            <v>FONDO DE SERVICIOS EDUCATIVOS IED TAPIAS</v>
          </cell>
          <cell r="K6803">
            <v>33459205</v>
          </cell>
        </row>
        <row r="6804">
          <cell r="I6804">
            <v>900020525</v>
          </cell>
          <cell r="J6804" t="str">
            <v>CENTRO EDUCATIVO CALLE LARGA</v>
          </cell>
          <cell r="K6804">
            <v>53798838</v>
          </cell>
        </row>
        <row r="6805">
          <cell r="I6805">
            <v>900020605</v>
          </cell>
          <cell r="J6805" t="str">
            <v>INSTITUCION EDUCATIVA LUIS CARLOS GALAN SARMIENTO</v>
          </cell>
          <cell r="K6805">
            <v>46789755</v>
          </cell>
        </row>
        <row r="6806">
          <cell r="I6806">
            <v>900020615</v>
          </cell>
          <cell r="J6806" t="str">
            <v>FONDO SERV EDUC INS MEDALLA MILAGROSA - FONDO COMU</v>
          </cell>
          <cell r="K6806">
            <v>52334891</v>
          </cell>
        </row>
        <row r="6807">
          <cell r="I6807">
            <v>900020626</v>
          </cell>
          <cell r="J6807" t="str">
            <v>CENTRO EDUCATIVO ALTO SARABANDO</v>
          </cell>
          <cell r="K6807">
            <v>12492325</v>
          </cell>
        </row>
        <row r="6808">
          <cell r="I6808">
            <v>900020798</v>
          </cell>
          <cell r="J6808" t="str">
            <v>CENTRO EDUCATIVO DEPARTAMENTAL OSCAR PISCIOTTI NUMA</v>
          </cell>
          <cell r="K6808">
            <v>46932565</v>
          </cell>
        </row>
        <row r="6809">
          <cell r="I6809">
            <v>900021223</v>
          </cell>
          <cell r="J6809" t="str">
            <v>FONDO DE SERVICIOS EDUCATIVOS PUBENZA</v>
          </cell>
          <cell r="K6809">
            <v>40286976</v>
          </cell>
        </row>
        <row r="6810">
          <cell r="I6810">
            <v>900021253</v>
          </cell>
          <cell r="J6810" t="str">
            <v>CENT EDUC RUR SANTA MARIA</v>
          </cell>
          <cell r="K6810">
            <v>11424152</v>
          </cell>
        </row>
        <row r="6811">
          <cell r="I6811">
            <v>900021833</v>
          </cell>
          <cell r="J6811" t="str">
            <v>C.E. GALLEGO</v>
          </cell>
          <cell r="K6811">
            <v>41606648</v>
          </cell>
        </row>
        <row r="6812">
          <cell r="I6812">
            <v>900021917</v>
          </cell>
          <cell r="J6812" t="str">
            <v>FONDOS EDUACTIVOS I.E. LOS CORRALES</v>
          </cell>
          <cell r="K6812">
            <v>53602428</v>
          </cell>
        </row>
        <row r="6813">
          <cell r="I6813">
            <v>900021938</v>
          </cell>
          <cell r="J6813" t="str">
            <v>FONDO DE SERVICIOS EDUCATIVOS INSTITUCION EDUCATIVA SAN PEDRO</v>
          </cell>
          <cell r="K6813">
            <v>18733991</v>
          </cell>
        </row>
        <row r="6814">
          <cell r="I6814">
            <v>900022516</v>
          </cell>
          <cell r="J6814" t="str">
            <v>SGP GRATU-CENTRO ETNODUCATIVO RURAL  No 2 ULIYUNAKAT</v>
          </cell>
          <cell r="K6814">
            <v>151589803</v>
          </cell>
        </row>
        <row r="6815">
          <cell r="I6815">
            <v>900022533</v>
          </cell>
          <cell r="J6815" t="str">
            <v>I.E. SAN ISIDRO</v>
          </cell>
          <cell r="K6815">
            <v>56916286</v>
          </cell>
        </row>
        <row r="6816">
          <cell r="I6816">
            <v>900022567</v>
          </cell>
          <cell r="J6816" t="str">
            <v>centro educativo rural bajo caldas</v>
          </cell>
          <cell r="K6816">
            <v>17996946</v>
          </cell>
        </row>
        <row r="6817">
          <cell r="I6817">
            <v>900023006</v>
          </cell>
          <cell r="J6817" t="str">
            <v>IED SAN ANTINIO</v>
          </cell>
          <cell r="K6817">
            <v>45779232</v>
          </cell>
        </row>
        <row r="6818">
          <cell r="I6818">
            <v>900023185</v>
          </cell>
          <cell r="J6818" t="str">
            <v>INSTITUTO TECNICO SOLMERIDA BUILES</v>
          </cell>
          <cell r="K6818">
            <v>87430634</v>
          </cell>
        </row>
        <row r="6819">
          <cell r="I6819">
            <v>900023197</v>
          </cell>
          <cell r="J6819" t="str">
            <v>Centro Educativo Candelaria</v>
          </cell>
          <cell r="K6819">
            <v>18581107</v>
          </cell>
        </row>
        <row r="6820">
          <cell r="I6820">
            <v>900023324</v>
          </cell>
          <cell r="J6820" t="str">
            <v>FONDO DE SERVICIOS EDUCATIVOS</v>
          </cell>
          <cell r="K6820">
            <v>18565429</v>
          </cell>
        </row>
        <row r="6821">
          <cell r="I6821">
            <v>900023436</v>
          </cell>
          <cell r="J6821" t="str">
            <v>CENTRO EDUCATIVO EL PORVENIR</v>
          </cell>
          <cell r="K6821">
            <v>42686806</v>
          </cell>
        </row>
        <row r="6822">
          <cell r="I6822">
            <v>900023727</v>
          </cell>
          <cell r="J6822" t="str">
            <v>INSTITUCION EDUCATIVA SANTANDER</v>
          </cell>
          <cell r="K6822">
            <v>76483228</v>
          </cell>
        </row>
        <row r="6823">
          <cell r="I6823">
            <v>900023870</v>
          </cell>
          <cell r="J6823" t="str">
            <v>IER SAN MIGUEL DEL TIGRE - Yondó(Casabe)</v>
          </cell>
          <cell r="K6823">
            <v>70194671</v>
          </cell>
        </row>
        <row r="6824">
          <cell r="I6824">
            <v>900024284</v>
          </cell>
          <cell r="J6824" t="str">
            <v>CENTRO EDUCATIVO NUEVA ESPERANZA</v>
          </cell>
          <cell r="K6824">
            <v>48107935</v>
          </cell>
        </row>
        <row r="6825">
          <cell r="I6825">
            <v>900024534</v>
          </cell>
          <cell r="J6825" t="str">
            <v>FONDO DE SERVICIO EDUCATIVO COL SAN BARTOLOME</v>
          </cell>
          <cell r="K6825">
            <v>128058429</v>
          </cell>
        </row>
        <row r="6826">
          <cell r="I6826">
            <v>900024846</v>
          </cell>
          <cell r="J6826" t="str">
            <v>FONDO DE SERVICIOS EDUCATIVOS I.E ETNOAGROPECUARIA TARIDO</v>
          </cell>
          <cell r="K6826">
            <v>15025674</v>
          </cell>
        </row>
        <row r="6827">
          <cell r="I6827">
            <v>900025183</v>
          </cell>
          <cell r="J6827" t="str">
            <v>INSTITUCION EDUCATIVA VEREDA CAPILLA UNO</v>
          </cell>
          <cell r="K6827">
            <v>16905903</v>
          </cell>
        </row>
        <row r="6828">
          <cell r="I6828">
            <v>900025292</v>
          </cell>
          <cell r="J6828" t="str">
            <v>CENTRO EDUCATIVO NUEVA ESTRELLA</v>
          </cell>
          <cell r="K6828">
            <v>34431302</v>
          </cell>
        </row>
        <row r="6829">
          <cell r="I6829">
            <v>900025525</v>
          </cell>
          <cell r="J6829" t="str">
            <v>FONDO DE SERVICIOS EDUCATIVOS INSTITUCION EDUCATIVA ALVARO MOLINA VEREDA SANTA BARBARA</v>
          </cell>
          <cell r="K6829">
            <v>82220836</v>
          </cell>
        </row>
        <row r="6830">
          <cell r="I6830">
            <v>900025532</v>
          </cell>
          <cell r="J6830" t="str">
            <v>Centro Educativo Cuiva</v>
          </cell>
          <cell r="K6830">
            <v>10643308</v>
          </cell>
        </row>
        <row r="6831">
          <cell r="I6831">
            <v>900025662</v>
          </cell>
          <cell r="J6831" t="str">
            <v>IED SAN JOSE</v>
          </cell>
          <cell r="K6831">
            <v>16819311</v>
          </cell>
        </row>
        <row r="6832">
          <cell r="I6832">
            <v>900025663</v>
          </cell>
          <cell r="J6832" t="str">
            <v>IE RURAL DEP. EL HATO</v>
          </cell>
          <cell r="K6832">
            <v>10049886</v>
          </cell>
        </row>
        <row r="6833">
          <cell r="I6833">
            <v>900025802</v>
          </cell>
          <cell r="J6833" t="str">
            <v>INSTITUCION EDUCATIVA DE MINAS</v>
          </cell>
          <cell r="K6833">
            <v>17135907</v>
          </cell>
        </row>
        <row r="6834">
          <cell r="I6834">
            <v>900025803</v>
          </cell>
          <cell r="J6834" t="str">
            <v>CENTRO EDUCATIVO EL MAMEY</v>
          </cell>
          <cell r="K6834">
            <v>26913847</v>
          </cell>
        </row>
        <row r="6835">
          <cell r="I6835">
            <v>900025907</v>
          </cell>
          <cell r="J6835" t="str">
            <v>centro educativo rural santander</v>
          </cell>
          <cell r="K6835">
            <v>28917722</v>
          </cell>
        </row>
        <row r="6836">
          <cell r="I6836">
            <v>900025965</v>
          </cell>
          <cell r="J6836" t="str">
            <v>FONDO DE SERVICIOS EDUCATIVOS IEDR EL NARANJAL</v>
          </cell>
          <cell r="K6836">
            <v>22076792</v>
          </cell>
        </row>
        <row r="6837">
          <cell r="I6837">
            <v>900026258</v>
          </cell>
          <cell r="J6837" t="str">
            <v>CENTRO EDUCATIVO DE BETULIA</v>
          </cell>
          <cell r="K6837">
            <v>32727130</v>
          </cell>
        </row>
        <row r="6838">
          <cell r="I6838">
            <v>900027004</v>
          </cell>
          <cell r="J6838" t="str">
            <v>INSTITUCIÒN EDUCATIVA RURAL VILLA HERMOSA 2</v>
          </cell>
          <cell r="K6838">
            <v>12501111</v>
          </cell>
        </row>
        <row r="6839">
          <cell r="I6839">
            <v>900027165</v>
          </cell>
          <cell r="J6839" t="str">
            <v>INSTITUCION EDUCATIVA DEPARTAMENTAL RURAL DE MEDIA LUNA</v>
          </cell>
          <cell r="K6839">
            <v>127861196</v>
          </cell>
        </row>
        <row r="6840">
          <cell r="I6840">
            <v>900027267</v>
          </cell>
          <cell r="J6840" t="str">
            <v>INSTITUCION EDUCATIVA DEPARTAMENTAL ARMANDO ESTRADA FLORES</v>
          </cell>
          <cell r="K6840">
            <v>274160912</v>
          </cell>
        </row>
        <row r="6841">
          <cell r="I6841">
            <v>900027285</v>
          </cell>
          <cell r="J6841" t="str">
            <v>FONDO DE FOMENTO DE SERVICIOS DOCENTES INSTITUCION EDUCATIVA RURAL DEPARTAMENTAL CAMANCHA</v>
          </cell>
          <cell r="K6841">
            <v>14094543</v>
          </cell>
        </row>
        <row r="6842">
          <cell r="I6842">
            <v>900027315</v>
          </cell>
          <cell r="J6842" t="str">
            <v>INSTITUCIÒN EDUCATIVA TELEPALMERITAS</v>
          </cell>
          <cell r="K6842">
            <v>28286701</v>
          </cell>
        </row>
        <row r="6843">
          <cell r="I6843">
            <v>900027324</v>
          </cell>
          <cell r="J6843" t="str">
            <v>I.E.D BOCADEMONTE</v>
          </cell>
          <cell r="K6843">
            <v>13814603</v>
          </cell>
        </row>
        <row r="6844">
          <cell r="I6844">
            <v>900027336</v>
          </cell>
          <cell r="J6844" t="str">
            <v>INSTITUTO TECNICO PATIOS CENTRO 2</v>
          </cell>
          <cell r="K6844">
            <v>222941319</v>
          </cell>
        </row>
        <row r="6845">
          <cell r="I6845">
            <v>900027372</v>
          </cell>
          <cell r="J6845" t="str">
            <v>IED MURCA</v>
          </cell>
          <cell r="K6845">
            <v>15334700</v>
          </cell>
        </row>
        <row r="6846">
          <cell r="I6846">
            <v>900027708</v>
          </cell>
          <cell r="J6846" t="str">
            <v>INSTITUCION EDUCATIVA RURAL PUERTO ARANGO</v>
          </cell>
          <cell r="K6846">
            <v>19795123</v>
          </cell>
        </row>
        <row r="6847">
          <cell r="I6847">
            <v>900027724</v>
          </cell>
          <cell r="J6847" t="str">
            <v>FONDO DE SERVICIOS EDUCATIVOS</v>
          </cell>
          <cell r="K6847">
            <v>40786333</v>
          </cell>
        </row>
        <row r="6848">
          <cell r="I6848">
            <v>900027848</v>
          </cell>
          <cell r="J6848" t="str">
            <v>Institución Educativa Rural Departamental Fusca</v>
          </cell>
          <cell r="K6848">
            <v>56817668</v>
          </cell>
        </row>
        <row r="6849">
          <cell r="I6849">
            <v>900027881</v>
          </cell>
          <cell r="J6849" t="str">
            <v>CENTRO EDUCATIVO SANTA INES</v>
          </cell>
          <cell r="K6849">
            <v>14098308</v>
          </cell>
        </row>
        <row r="6850">
          <cell r="I6850">
            <v>900028195</v>
          </cell>
          <cell r="J6850" t="str">
            <v>FON SERV EDU ISLA DEL SOL</v>
          </cell>
          <cell r="K6850">
            <v>22580627</v>
          </cell>
        </row>
        <row r="6851">
          <cell r="I6851">
            <v>900028324</v>
          </cell>
          <cell r="J6851" t="str">
            <v>CENTRO EDUCATIVO PANTANITO</v>
          </cell>
          <cell r="K6851">
            <v>10936705</v>
          </cell>
        </row>
        <row r="6852">
          <cell r="I6852">
            <v>900028725</v>
          </cell>
          <cell r="J6852" t="str">
            <v>INSTITUCION EDUCATIVA DISTRITAL JUAN DE ACOSTO SOLERA</v>
          </cell>
          <cell r="K6852">
            <v>103872930</v>
          </cell>
        </row>
        <row r="6853">
          <cell r="I6853">
            <v>900028806</v>
          </cell>
          <cell r="J6853" t="str">
            <v>INSTITUCION EDUCATIVA LA TIGRERA</v>
          </cell>
          <cell r="K6853">
            <v>21150204</v>
          </cell>
        </row>
        <row r="6854">
          <cell r="I6854">
            <v>900028888</v>
          </cell>
          <cell r="J6854" t="str">
            <v>INSTITUCION EDUCATIVA SANTA ISABEL</v>
          </cell>
          <cell r="K6854">
            <v>125547995</v>
          </cell>
        </row>
        <row r="6855">
          <cell r="I6855">
            <v>900029190</v>
          </cell>
          <cell r="J6855" t="str">
            <v>IE RAFAEL URIBE URIBE - La Pintada</v>
          </cell>
          <cell r="K6855">
            <v>33105453</v>
          </cell>
        </row>
        <row r="6856">
          <cell r="I6856">
            <v>900029258</v>
          </cell>
          <cell r="J6856" t="str">
            <v>I. E. GUATAVITA TUA</v>
          </cell>
          <cell r="K6856">
            <v>34299139</v>
          </cell>
        </row>
        <row r="6857">
          <cell r="I6857">
            <v>900029429</v>
          </cell>
          <cell r="J6857" t="str">
            <v>INSTITUCION EDUCATIVA PEDRO HEREDIA</v>
          </cell>
          <cell r="K6857">
            <v>82990930</v>
          </cell>
        </row>
        <row r="6858">
          <cell r="I6858">
            <v>900029500</v>
          </cell>
          <cell r="J6858" t="str">
            <v>CENTRO EDUCATIVO FLECHA</v>
          </cell>
          <cell r="K6858">
            <v>24520588</v>
          </cell>
        </row>
        <row r="6859">
          <cell r="I6859">
            <v>900029540</v>
          </cell>
          <cell r="J6859" t="str">
            <v>Fondo de Servicio Educativo IED Zalemaku Sertuga</v>
          </cell>
          <cell r="K6859">
            <v>23709599</v>
          </cell>
        </row>
        <row r="6860">
          <cell r="I6860">
            <v>900029690</v>
          </cell>
          <cell r="J6860" t="str">
            <v>CENT EDUC RUR LA LAGUNA</v>
          </cell>
          <cell r="K6860">
            <v>24340853</v>
          </cell>
        </row>
        <row r="6861">
          <cell r="I6861">
            <v>900030129</v>
          </cell>
          <cell r="J6861" t="str">
            <v>CENTRO EDUCATIVO LAS CAMELIAS</v>
          </cell>
          <cell r="K6861">
            <v>27015850</v>
          </cell>
        </row>
        <row r="6862">
          <cell r="I6862">
            <v>900030745</v>
          </cell>
          <cell r="J6862" t="str">
            <v>I.E.D. PATIO BONITO</v>
          </cell>
          <cell r="K6862">
            <v>30792876</v>
          </cell>
        </row>
        <row r="6863">
          <cell r="I6863">
            <v>900030748</v>
          </cell>
          <cell r="J6863" t="str">
            <v>IED SAN ANTONIO</v>
          </cell>
          <cell r="K6863">
            <v>33271367</v>
          </cell>
        </row>
        <row r="6864">
          <cell r="I6864">
            <v>900030838</v>
          </cell>
          <cell r="J6864" t="str">
            <v>INST EDUC LOS PATOS</v>
          </cell>
          <cell r="K6864">
            <v>27851063</v>
          </cell>
        </row>
        <row r="6865">
          <cell r="I6865">
            <v>900030845</v>
          </cell>
          <cell r="J6865" t="str">
            <v>FSE.  INST.EDUCATIVA AGUACHICA</v>
          </cell>
          <cell r="K6865">
            <v>75340529</v>
          </cell>
        </row>
        <row r="6866">
          <cell r="I6866">
            <v>900031193</v>
          </cell>
          <cell r="J6866" t="str">
            <v>INSTITUCION EDUCATIVA NUESTRA SEÑORA DEL CARMEN</v>
          </cell>
          <cell r="K6866">
            <v>74798172</v>
          </cell>
        </row>
        <row r="6867">
          <cell r="I6867">
            <v>900031197</v>
          </cell>
          <cell r="J6867" t="str">
            <v>Fondo de Servicios Educativos Institución Educativa la Unión  Bajira</v>
          </cell>
          <cell r="K6867">
            <v>139298099</v>
          </cell>
        </row>
        <row r="6868">
          <cell r="I6868">
            <v>900031324</v>
          </cell>
          <cell r="J6868" t="str">
            <v>FONDO DE SERVICIOS EDUCATIVOS COYARCO</v>
          </cell>
          <cell r="K6868">
            <v>44658278</v>
          </cell>
        </row>
        <row r="6869">
          <cell r="I6869">
            <v>900031330</v>
          </cell>
          <cell r="J6869" t="str">
            <v>INST EDUC LAS PALMITAS</v>
          </cell>
          <cell r="K6869">
            <v>42376234</v>
          </cell>
        </row>
        <row r="6870">
          <cell r="I6870">
            <v>900031601</v>
          </cell>
          <cell r="J6870" t="str">
            <v>INSTITUCION EDUCATIVA PLAYA RICA DE MUNICIPIO DE PALOCABILDO FONDO DE SERVICIOS EDUCATIVOS</v>
          </cell>
          <cell r="K6870">
            <v>22023773</v>
          </cell>
        </row>
        <row r="6871">
          <cell r="I6871">
            <v>900031784</v>
          </cell>
          <cell r="J6871" t="str">
            <v>FONDO DE SERVICIOS EDUCATIVOS CENTRO EDUCATIVO INDIGENA IROKA</v>
          </cell>
          <cell r="K6871">
            <v>17990255</v>
          </cell>
        </row>
        <row r="6872">
          <cell r="I6872">
            <v>900031870</v>
          </cell>
          <cell r="J6872" t="str">
            <v>COLEGIO DE EDUCACION BASICA ZULIA</v>
          </cell>
          <cell r="K6872">
            <v>18831747</v>
          </cell>
        </row>
        <row r="6873">
          <cell r="I6873">
            <v>900031895</v>
          </cell>
          <cell r="J6873" t="str">
            <v>institucion educativa de arroyo de piedra el buen pastor</v>
          </cell>
          <cell r="K6873">
            <v>62805362</v>
          </cell>
        </row>
        <row r="6874">
          <cell r="I6874">
            <v>900032013</v>
          </cell>
          <cell r="J6874" t="str">
            <v>FONDOS DE SERVICIOS EDUCATIVOS DE LA INSTITUCION E</v>
          </cell>
          <cell r="K6874">
            <v>35170626</v>
          </cell>
        </row>
        <row r="6875">
          <cell r="I6875">
            <v>900032164</v>
          </cell>
          <cell r="J6875" t="str">
            <v>INSTITUCION EDUCATIVA RURAL DEPARTAMENTAL GERARDO BILBAO IBAMA</v>
          </cell>
          <cell r="K6875">
            <v>15712846</v>
          </cell>
        </row>
        <row r="6876">
          <cell r="I6876">
            <v>900032800</v>
          </cell>
          <cell r="J6876" t="str">
            <v>Centro Educativo Boca de las Mujeres</v>
          </cell>
          <cell r="K6876">
            <v>11875217</v>
          </cell>
        </row>
        <row r="6877">
          <cell r="I6877">
            <v>900032861</v>
          </cell>
          <cell r="J6877" t="str">
            <v>FONDO DE SERVICIOS EDUCATIVOS CENTRO EDUCATIVO EL PALMAR</v>
          </cell>
          <cell r="K6877">
            <v>53187039</v>
          </cell>
        </row>
        <row r="6878">
          <cell r="I6878">
            <v>900032865</v>
          </cell>
          <cell r="J6878" t="str">
            <v>INST EDUC EL PALOMAR</v>
          </cell>
          <cell r="K6878">
            <v>28629285</v>
          </cell>
        </row>
        <row r="6879">
          <cell r="I6879">
            <v>900033023</v>
          </cell>
          <cell r="J6879" t="str">
            <v>Fondos de Servicios Educativos Centro Educativo Montegrande</v>
          </cell>
          <cell r="K6879">
            <v>12289884</v>
          </cell>
        </row>
        <row r="6880">
          <cell r="I6880">
            <v>900033039</v>
          </cell>
          <cell r="J6880" t="str">
            <v>CENTRO EDUCATIVO NUESTRA SEÑORA DE LAS MERCEDES</v>
          </cell>
          <cell r="K6880">
            <v>10222867</v>
          </cell>
        </row>
        <row r="6881">
          <cell r="I6881">
            <v>900033070</v>
          </cell>
          <cell r="J6881" t="str">
            <v>centro educativo rural san fernando</v>
          </cell>
          <cell r="K6881">
            <v>22011947</v>
          </cell>
        </row>
        <row r="6882">
          <cell r="I6882">
            <v>900033267</v>
          </cell>
          <cell r="J6882" t="str">
            <v>C.E. RIVERITA</v>
          </cell>
          <cell r="K6882">
            <v>46049665</v>
          </cell>
        </row>
        <row r="6883">
          <cell r="I6883">
            <v>900033454</v>
          </cell>
          <cell r="J6883" t="str">
            <v>C.E. CANAIMA</v>
          </cell>
          <cell r="K6883">
            <v>23781468</v>
          </cell>
        </row>
        <row r="6884">
          <cell r="I6884">
            <v>900033491</v>
          </cell>
          <cell r="J6884" t="str">
            <v>FONDO DE SERVICIOS DOCENTES</v>
          </cell>
          <cell r="K6884">
            <v>25600582</v>
          </cell>
        </row>
        <row r="6885">
          <cell r="I6885">
            <v>900033944</v>
          </cell>
          <cell r="J6885" t="str">
            <v>institución educativa san antonio</v>
          </cell>
          <cell r="K6885">
            <v>16962530</v>
          </cell>
        </row>
        <row r="6886">
          <cell r="I6886">
            <v>900034007</v>
          </cell>
          <cell r="J6886" t="str">
            <v>CENT EDUC RUR SAN JAVIER</v>
          </cell>
          <cell r="K6886">
            <v>28891261</v>
          </cell>
        </row>
        <row r="6887">
          <cell r="I6887">
            <v>900034352</v>
          </cell>
          <cell r="J6887" t="str">
            <v>INSTITUCIO EDUCATIVA EL MINUTO DE DIOS</v>
          </cell>
          <cell r="K6887">
            <v>30182040</v>
          </cell>
        </row>
        <row r="6888">
          <cell r="I6888">
            <v>900034431</v>
          </cell>
          <cell r="J6888" t="str">
            <v>FONDOS DE SERVICIOS CENTRO EDUCATIVO SOCOMBA</v>
          </cell>
          <cell r="K6888">
            <v>17908818</v>
          </cell>
        </row>
        <row r="6889">
          <cell r="I6889">
            <v>900034725</v>
          </cell>
          <cell r="J6889" t="str">
            <v>FONDOS DE SERVICIOS CENTRO EDUCATIVO SAN GENARO</v>
          </cell>
          <cell r="K6889">
            <v>27493368</v>
          </cell>
        </row>
        <row r="6890">
          <cell r="I6890">
            <v>900034867</v>
          </cell>
          <cell r="J6890" t="str">
            <v>Fondo de Servicios Educativos Intitucion Educativa Santa Maria la Nueva Del Darien</v>
          </cell>
          <cell r="K6890">
            <v>45243063</v>
          </cell>
        </row>
        <row r="6891">
          <cell r="I6891">
            <v>900034885</v>
          </cell>
          <cell r="J6891" t="str">
            <v>INSTITUCION EDUCATIVA COMUNITARIA REGIONAL ALCIDES FERNANDEZ</v>
          </cell>
          <cell r="K6891">
            <v>64913909</v>
          </cell>
        </row>
        <row r="6892">
          <cell r="I6892">
            <v>900034949</v>
          </cell>
          <cell r="J6892" t="str">
            <v>CENT EDUC RUR SAN MIGUEL</v>
          </cell>
          <cell r="K6892">
            <v>27713175</v>
          </cell>
        </row>
        <row r="6893">
          <cell r="I6893">
            <v>900035004</v>
          </cell>
          <cell r="J6893" t="str">
            <v>C.E. LA LIGIOSA</v>
          </cell>
          <cell r="K6893">
            <v>8689042</v>
          </cell>
        </row>
        <row r="6894">
          <cell r="I6894">
            <v>900035104</v>
          </cell>
          <cell r="J6894" t="str">
            <v>FONDOS DE SERVICIOS EDUCATIVOS BELEN</v>
          </cell>
          <cell r="K6894">
            <v>17964498</v>
          </cell>
        </row>
        <row r="6895">
          <cell r="I6895">
            <v>900035488</v>
          </cell>
          <cell r="J6895" t="str">
            <v>CENTRO EDUCATIVO LA QUEBRADA</v>
          </cell>
          <cell r="K6895">
            <v>10671276</v>
          </cell>
        </row>
        <row r="6896">
          <cell r="I6896">
            <v>900035505</v>
          </cell>
          <cell r="J6896" t="str">
            <v>CENTRO EDUCATIVO EL PITAL</v>
          </cell>
          <cell r="K6896">
            <v>9407773</v>
          </cell>
        </row>
        <row r="6897">
          <cell r="I6897">
            <v>900035524</v>
          </cell>
          <cell r="J6897" t="str">
            <v>FONDOS DE SERVICIOS - INSTITUCION EDUCATIVA ANDRES BELLO</v>
          </cell>
          <cell r="K6897">
            <v>50098249</v>
          </cell>
        </row>
        <row r="6898">
          <cell r="I6898">
            <v>900035656</v>
          </cell>
          <cell r="J6898" t="str">
            <v>CENTRO EDUCATIVO LA CHORROSA</v>
          </cell>
          <cell r="K6898">
            <v>11758615</v>
          </cell>
        </row>
        <row r="6899">
          <cell r="I6899">
            <v>900035671</v>
          </cell>
          <cell r="J6899" t="str">
            <v>centro educativo rural chona</v>
          </cell>
          <cell r="K6899">
            <v>24677076</v>
          </cell>
        </row>
        <row r="6900">
          <cell r="I6900">
            <v>900035683</v>
          </cell>
          <cell r="J6900" t="str">
            <v>INSTITUCION  EDUCATIVA  CHAJAL</v>
          </cell>
          <cell r="K6900">
            <v>197535754</v>
          </cell>
        </row>
        <row r="6901">
          <cell r="I6901">
            <v>900035792</v>
          </cell>
          <cell r="J6901" t="str">
            <v>CENTRO EDUCATIVO SAN ISIDRO</v>
          </cell>
          <cell r="K6901">
            <v>33629116</v>
          </cell>
        </row>
        <row r="6902">
          <cell r="I6902">
            <v>900035853</v>
          </cell>
          <cell r="J6902" t="str">
            <v>centro educativo rural san bernardo de balsa</v>
          </cell>
          <cell r="K6902">
            <v>20527998</v>
          </cell>
        </row>
        <row r="6903">
          <cell r="I6903">
            <v>900036149</v>
          </cell>
          <cell r="J6903" t="str">
            <v>Centro Educativo Kilometro 25</v>
          </cell>
          <cell r="K6903">
            <v>20090770</v>
          </cell>
        </row>
        <row r="6904">
          <cell r="I6904">
            <v>900036151</v>
          </cell>
          <cell r="J6904" t="str">
            <v>CENTRO RDUCATIVO RURAL LA PAZ No 4</v>
          </cell>
          <cell r="K6904">
            <v>47562120</v>
          </cell>
        </row>
        <row r="6905">
          <cell r="I6905">
            <v>900036242</v>
          </cell>
          <cell r="J6905" t="str">
            <v>IED LAGUNA</v>
          </cell>
          <cell r="K6905">
            <v>55409845</v>
          </cell>
        </row>
        <row r="6906">
          <cell r="I6906">
            <v>900036343</v>
          </cell>
          <cell r="J6906" t="str">
            <v>FONDO DE SERVICIOS EDUCATIVOS IED SAN LORENZO</v>
          </cell>
          <cell r="K6906">
            <v>19909401</v>
          </cell>
        </row>
        <row r="6907">
          <cell r="I6907">
            <v>900036634</v>
          </cell>
          <cell r="J6907" t="str">
            <v>FONDOS DE SERV. EDU. INDIGENA SIMUNUR</v>
          </cell>
          <cell r="K6907">
            <v>51449543</v>
          </cell>
        </row>
        <row r="6908">
          <cell r="I6908">
            <v>900036983</v>
          </cell>
          <cell r="J6908" t="str">
            <v>centro educativo chapinero</v>
          </cell>
          <cell r="K6908">
            <v>20459655</v>
          </cell>
        </row>
        <row r="6909">
          <cell r="I6909">
            <v>900037240</v>
          </cell>
          <cell r="J6909" t="str">
            <v>CENTRO ETNOEDUCATIVO INTEGRAL RURAL  CERRO DE LA TETA</v>
          </cell>
          <cell r="K6909">
            <v>175666416</v>
          </cell>
        </row>
        <row r="6910">
          <cell r="I6910">
            <v>900037590</v>
          </cell>
          <cell r="J6910" t="str">
            <v>CENTRO EDUCATIVO LOS REMEDIOS</v>
          </cell>
          <cell r="K6910">
            <v>17113845</v>
          </cell>
        </row>
        <row r="6911">
          <cell r="I6911">
            <v>900037829</v>
          </cell>
          <cell r="J6911" t="str">
            <v>Fondo de Servicios Educativos Intitucion Educativa Etnoagropecuaria de Puerto Pervel</v>
          </cell>
          <cell r="K6911">
            <v>38682004</v>
          </cell>
        </row>
        <row r="6912">
          <cell r="I6912">
            <v>900037857</v>
          </cell>
          <cell r="J6912" t="str">
            <v>CENTRO EDUCATIVO EDUARDO PINTO DE PORCIOSA</v>
          </cell>
          <cell r="K6912">
            <v>43260901</v>
          </cell>
        </row>
        <row r="6913">
          <cell r="I6913">
            <v>900037932</v>
          </cell>
          <cell r="J6913" t="str">
            <v>INSTITUCION EDUCATIVA LA TRIBUNA</v>
          </cell>
          <cell r="K6913">
            <v>117893666</v>
          </cell>
        </row>
        <row r="6914">
          <cell r="I6914">
            <v>900037936</v>
          </cell>
          <cell r="J6914" t="str">
            <v>INSTITUCION EDUCATIVA BAZAN</v>
          </cell>
          <cell r="K6914">
            <v>56704808</v>
          </cell>
        </row>
        <row r="6915">
          <cell r="I6915">
            <v>900038100</v>
          </cell>
          <cell r="J6915" t="str">
            <v>CENTRO EDUCATIVO LICEO DEL NORTE</v>
          </cell>
          <cell r="K6915">
            <v>52712664</v>
          </cell>
        </row>
        <row r="6916">
          <cell r="I6916">
            <v>900038410</v>
          </cell>
          <cell r="J6916" t="str">
            <v>IER ZAPATA - Necoclí</v>
          </cell>
          <cell r="K6916">
            <v>95285144</v>
          </cell>
        </row>
        <row r="6917">
          <cell r="I6917">
            <v>900038466</v>
          </cell>
          <cell r="J6917" t="str">
            <v>INSTITUTO EDUCATIVO DISTRITAL 20 DE JULIO</v>
          </cell>
          <cell r="K6917">
            <v>106843397</v>
          </cell>
        </row>
        <row r="6918">
          <cell r="I6918">
            <v>900038925</v>
          </cell>
          <cell r="J6918" t="str">
            <v>CENTRO ETNOEDUCATIVO LA LAGUNA</v>
          </cell>
          <cell r="K6918">
            <v>36507397</v>
          </cell>
        </row>
        <row r="6919">
          <cell r="I6919">
            <v>900038939</v>
          </cell>
          <cell r="J6919" t="str">
            <v>CENTRO ETNOEDUCATIVO PENA DE LOS INDIOS</v>
          </cell>
          <cell r="K6919">
            <v>52734560</v>
          </cell>
        </row>
        <row r="6920">
          <cell r="I6920">
            <v>900039076</v>
          </cell>
          <cell r="J6920" t="str">
            <v>INSTITUCIóN EDUCATVA BLBAO</v>
          </cell>
          <cell r="K6920">
            <v>77641305</v>
          </cell>
        </row>
        <row r="6921">
          <cell r="I6921">
            <v>900039192</v>
          </cell>
          <cell r="J6921" t="str">
            <v>IED RURAL LAS MARGARITAS</v>
          </cell>
          <cell r="K6921">
            <v>21549979</v>
          </cell>
        </row>
        <row r="6922">
          <cell r="I6922">
            <v>900039398</v>
          </cell>
          <cell r="J6922" t="str">
            <v>CENTRO EDUCATIVO DIONISIA ALFARO</v>
          </cell>
          <cell r="K6922">
            <v>30131499</v>
          </cell>
        </row>
        <row r="6923">
          <cell r="I6923">
            <v>900039931</v>
          </cell>
          <cell r="J6923" t="str">
            <v>I.E. LA VICTORIA</v>
          </cell>
          <cell r="K6923">
            <v>43993730</v>
          </cell>
        </row>
        <row r="6924">
          <cell r="I6924">
            <v>900040185</v>
          </cell>
          <cell r="J6924" t="str">
            <v>INSTITUCION EDUCATIVA CADILLO</v>
          </cell>
          <cell r="K6924">
            <v>33067064</v>
          </cell>
        </row>
        <row r="6925">
          <cell r="I6925">
            <v>900040600</v>
          </cell>
          <cell r="J6925" t="str">
            <v>INSTITUCION EDUCATIVA SAGRADO CORAZON DE JESUS</v>
          </cell>
          <cell r="K6925">
            <v>24088847</v>
          </cell>
        </row>
        <row r="6926">
          <cell r="I6926">
            <v>900040946</v>
          </cell>
          <cell r="J6926" t="str">
            <v>CENTRO EDUCATIVO EL AGUILA</v>
          </cell>
          <cell r="K6926">
            <v>13904814</v>
          </cell>
        </row>
        <row r="6927">
          <cell r="I6927">
            <v>900041018</v>
          </cell>
          <cell r="J6927" t="str">
            <v>INSTITUCION EDUCATIVA RANCHO GRANDE</v>
          </cell>
          <cell r="K6927">
            <v>17314675</v>
          </cell>
        </row>
        <row r="6928">
          <cell r="I6928">
            <v>900041145</v>
          </cell>
          <cell r="J6928" t="str">
            <v>FONDO DE SEVICIOS DOCENTES LA LEONA</v>
          </cell>
          <cell r="K6928">
            <v>28014781</v>
          </cell>
        </row>
        <row r="6929">
          <cell r="I6929">
            <v>900041241</v>
          </cell>
          <cell r="J6929" t="str">
            <v>FONDO DE SERVICIO EDUCATIVO COL CARLOS PEREZ ESCALANTE</v>
          </cell>
          <cell r="K6929">
            <v>87724686</v>
          </cell>
        </row>
        <row r="6930">
          <cell r="I6930">
            <v>900041330</v>
          </cell>
          <cell r="J6930" t="str">
            <v>INSTITUCION EDUCATIVA RURAL SAN JUAN DE PALOS PRIETOS</v>
          </cell>
          <cell r="K6930">
            <v>79891367</v>
          </cell>
        </row>
        <row r="6931">
          <cell r="I6931">
            <v>900041816</v>
          </cell>
          <cell r="J6931" t="str">
            <v>CENTRO EDUCATIVO BOCAPUERTA</v>
          </cell>
          <cell r="K6931">
            <v>22787601</v>
          </cell>
        </row>
        <row r="6932">
          <cell r="I6932">
            <v>900041862</v>
          </cell>
          <cell r="J6932" t="str">
            <v>CENTRO EDUCATIVO  EL CEDRO</v>
          </cell>
          <cell r="K6932">
            <v>9321439</v>
          </cell>
        </row>
        <row r="6933">
          <cell r="I6933">
            <v>900042036</v>
          </cell>
          <cell r="J6933" t="str">
            <v>FONDO DE SERVICIOS EDUCATIVOS CENTRO EDUCATIVO RURAL CORRAL DE PIEDRA</v>
          </cell>
          <cell r="K6933">
            <v>9260330</v>
          </cell>
        </row>
        <row r="6934">
          <cell r="I6934">
            <v>900042520</v>
          </cell>
          <cell r="J6934" t="str">
            <v>CENT EDUC RUR ALTO GRANDE</v>
          </cell>
          <cell r="K6934">
            <v>9776991</v>
          </cell>
        </row>
        <row r="6935">
          <cell r="I6935">
            <v>900042540</v>
          </cell>
          <cell r="J6935" t="str">
            <v>CENTRO EDUCATIVO LA MARINA</v>
          </cell>
          <cell r="K6935">
            <v>28571614</v>
          </cell>
        </row>
        <row r="6936">
          <cell r="I6936">
            <v>900043266</v>
          </cell>
          <cell r="J6936" t="str">
            <v>INSTITUCION EDUCATIVA BILINGUE ANDRES BELLO</v>
          </cell>
          <cell r="K6936">
            <v>72137148</v>
          </cell>
        </row>
        <row r="6937">
          <cell r="I6937">
            <v>900043334</v>
          </cell>
          <cell r="J6937" t="str">
            <v>IED RURAL BARROBLANCO</v>
          </cell>
          <cell r="K6937">
            <v>13161254</v>
          </cell>
        </row>
        <row r="6938">
          <cell r="I6938">
            <v>900043543</v>
          </cell>
          <cell r="J6938" t="str">
            <v>CENTRO  EDUCATIVO DE CAÑO DE AGUAS</v>
          </cell>
          <cell r="K6938">
            <v>26954962</v>
          </cell>
        </row>
        <row r="6939">
          <cell r="I6939">
            <v>900043556</v>
          </cell>
          <cell r="J6939" t="str">
            <v>INSTITUCION EDUCATIVA DEPARTAMENTAL LA CANDELARIA</v>
          </cell>
          <cell r="K6939">
            <v>28189644</v>
          </cell>
        </row>
        <row r="6940">
          <cell r="I6940">
            <v>900043557</v>
          </cell>
          <cell r="J6940" t="str">
            <v>centro educativo rural capitanlargo</v>
          </cell>
          <cell r="K6940">
            <v>24976260</v>
          </cell>
        </row>
        <row r="6941">
          <cell r="I6941">
            <v>900043561</v>
          </cell>
          <cell r="J6941" t="str">
            <v>CENT EDUC RUR PUEBLO NUEVO</v>
          </cell>
          <cell r="K6941">
            <v>18786355</v>
          </cell>
        </row>
        <row r="6942">
          <cell r="I6942">
            <v>900043687</v>
          </cell>
          <cell r="J6942" t="str">
            <v>INSTITUCION EDUCATIVA EL GUINEO</v>
          </cell>
          <cell r="K6942">
            <v>35960365</v>
          </cell>
        </row>
        <row r="6943">
          <cell r="I6943">
            <v>900043916</v>
          </cell>
          <cell r="J6943" t="str">
            <v>I.E. LA CABAÑA</v>
          </cell>
          <cell r="K6943">
            <v>83399191</v>
          </cell>
        </row>
        <row r="6944">
          <cell r="I6944">
            <v>900043920</v>
          </cell>
          <cell r="J6944" t="str">
            <v>CENTRO EDUCATIVO BASICO AMPLIADO DAGOBERTO OROZCO BORJA</v>
          </cell>
          <cell r="K6944">
            <v>55063974</v>
          </cell>
        </row>
        <row r="6945">
          <cell r="I6945">
            <v>900043979</v>
          </cell>
          <cell r="J6945" t="str">
            <v>INSTITUCION EDUCATIVA DEPARTAMENTAL FRANCISCO JOSE DE CALDAS</v>
          </cell>
          <cell r="K6945">
            <v>85107461</v>
          </cell>
        </row>
        <row r="6946">
          <cell r="I6946">
            <v>900044056</v>
          </cell>
          <cell r="J6946" t="str">
            <v>CENTRO EDUCTIVO EL REPARO</v>
          </cell>
          <cell r="K6946">
            <v>19252039</v>
          </cell>
        </row>
        <row r="6947">
          <cell r="I6947">
            <v>900044081</v>
          </cell>
          <cell r="J6947" t="str">
            <v>INSTITUCION EDUCATIVA  MATA DE PLATANO</v>
          </cell>
          <cell r="K6947">
            <v>34729700</v>
          </cell>
        </row>
        <row r="6948">
          <cell r="I6948">
            <v>900044364</v>
          </cell>
          <cell r="J6948" t="str">
            <v>CENTRO EDUCATIVO LA CONCORDIA</v>
          </cell>
          <cell r="K6948">
            <v>21816450</v>
          </cell>
        </row>
        <row r="6949">
          <cell r="I6949">
            <v>900044380</v>
          </cell>
          <cell r="J6949" t="str">
            <v>INSTITUCION EDUCATIVA EL LIMON</v>
          </cell>
          <cell r="K6949">
            <v>29660753</v>
          </cell>
        </row>
        <row r="6950">
          <cell r="I6950">
            <v>900044408</v>
          </cell>
          <cell r="J6950" t="str">
            <v>CENTRO EDUCATIVO CANTINA</v>
          </cell>
          <cell r="K6950">
            <v>12334852</v>
          </cell>
        </row>
        <row r="6951">
          <cell r="I6951">
            <v>900044489</v>
          </cell>
          <cell r="J6951" t="str">
            <v>FONDO DE SERVICIOS EDUCATIVOS INSTITUCION EDUCATIVA SAN JOSE</v>
          </cell>
          <cell r="K6951">
            <v>36881341</v>
          </cell>
        </row>
        <row r="6952">
          <cell r="I6952">
            <v>900044493</v>
          </cell>
          <cell r="J6952" t="str">
            <v>Centro Ed Sitio Nuevo</v>
          </cell>
          <cell r="K6952">
            <v>11894218</v>
          </cell>
        </row>
        <row r="6953">
          <cell r="I6953">
            <v>900044499</v>
          </cell>
          <cell r="J6953" t="str">
            <v>CENTRO EDUCATIVO EL COROZAL</v>
          </cell>
          <cell r="K6953">
            <v>18531726</v>
          </cell>
        </row>
        <row r="6954">
          <cell r="I6954">
            <v>900044558</v>
          </cell>
          <cell r="J6954" t="str">
            <v>INSTITUCION EDUCATIVA ANTONIO NARIÑO</v>
          </cell>
          <cell r="K6954">
            <v>53963450</v>
          </cell>
        </row>
        <row r="6955">
          <cell r="I6955">
            <v>900044772</v>
          </cell>
          <cell r="J6955" t="str">
            <v>INSTITUCION EDUCATIVA CRISTALINA DEL LOSADA</v>
          </cell>
          <cell r="K6955">
            <v>16564166</v>
          </cell>
        </row>
        <row r="6956">
          <cell r="I6956">
            <v>900044907</v>
          </cell>
          <cell r="J6956" t="str">
            <v>fondo de servicios educativos institucion educativa san francisco gratuidad educativa</v>
          </cell>
          <cell r="K6956">
            <v>60337976</v>
          </cell>
        </row>
        <row r="6957">
          <cell r="I6957">
            <v>900045042</v>
          </cell>
          <cell r="J6957" t="str">
            <v>INSTITUCION EDUCATIVA LORENZA ABAJO</v>
          </cell>
          <cell r="K6957">
            <v>24454766</v>
          </cell>
        </row>
        <row r="6958">
          <cell r="I6958">
            <v>900045175</v>
          </cell>
          <cell r="J6958" t="str">
            <v>CENTRO EDUCATIVO  SAN PEDRO CLAVER</v>
          </cell>
          <cell r="K6958">
            <v>23838732</v>
          </cell>
        </row>
        <row r="6959">
          <cell r="I6959">
            <v>900045559</v>
          </cell>
          <cell r="J6959" t="str">
            <v>CENTRO EDUCATIVO CENTRO INDIGENA</v>
          </cell>
          <cell r="K6959">
            <v>13580806</v>
          </cell>
        </row>
        <row r="6960">
          <cell r="I6960">
            <v>900045712</v>
          </cell>
          <cell r="J6960" t="str">
            <v>CENTRO EDUCATIVO RURAL BILINGÜE SAN PEDRO COLON</v>
          </cell>
          <cell r="K6960">
            <v>1079327</v>
          </cell>
        </row>
        <row r="6961">
          <cell r="I6961">
            <v>900045755</v>
          </cell>
          <cell r="J6961" t="str">
            <v>INSTITUCION EDUCATIVA RURAL RIONEGRO</v>
          </cell>
          <cell r="K6961">
            <v>30676448</v>
          </cell>
        </row>
        <row r="6962">
          <cell r="I6962">
            <v>900045915</v>
          </cell>
          <cell r="J6962" t="str">
            <v>INSTITUCION EDUCATIVA BUENOS AIRES LAS PAVAS</v>
          </cell>
          <cell r="K6962">
            <v>42393535</v>
          </cell>
        </row>
        <row r="6963">
          <cell r="I6963">
            <v>900045941</v>
          </cell>
          <cell r="J6963" t="str">
            <v>CENT EDUC RUR LLANO DE LOS ALCALDES</v>
          </cell>
          <cell r="K6963">
            <v>21023792</v>
          </cell>
        </row>
        <row r="6964">
          <cell r="I6964">
            <v>900046029</v>
          </cell>
          <cell r="J6964" t="str">
            <v>centro educativo rural san luis de chucarima</v>
          </cell>
          <cell r="K6964">
            <v>18813933</v>
          </cell>
        </row>
        <row r="6965">
          <cell r="I6965">
            <v>900046085</v>
          </cell>
          <cell r="J6965" t="str">
            <v>CENTRO EDUCATIVO EL EDEN</v>
          </cell>
          <cell r="K6965">
            <v>20074531</v>
          </cell>
        </row>
        <row r="6966">
          <cell r="I6966">
            <v>900046086</v>
          </cell>
          <cell r="J6966" t="str">
            <v>FONDO DE SERVICIOS EDUCATIVOS IED SANTA ROSA</v>
          </cell>
          <cell r="K6966">
            <v>12041255</v>
          </cell>
        </row>
        <row r="6967">
          <cell r="I6967">
            <v>900046269</v>
          </cell>
          <cell r="J6967" t="str">
            <v>CENT EDUC RUR LA CALDERA</v>
          </cell>
          <cell r="K6967">
            <v>20347498</v>
          </cell>
        </row>
        <row r="6968">
          <cell r="I6968">
            <v>900046312</v>
          </cell>
          <cell r="J6968" t="str">
            <v>CENT EDUC RUR PADRE LUIS ANTONIO ROJAS</v>
          </cell>
          <cell r="K6968">
            <v>21180806</v>
          </cell>
        </row>
        <row r="6969">
          <cell r="I6969">
            <v>900046317</v>
          </cell>
          <cell r="J6969" t="str">
            <v>FONDOS DE SERVICIOS CENTRO EDUCATIVO RIVERAS DE MARACAS</v>
          </cell>
          <cell r="K6969">
            <v>13961719</v>
          </cell>
        </row>
        <row r="6970">
          <cell r="I6970">
            <v>900046512</v>
          </cell>
          <cell r="J6970" t="str">
            <v>CENTRO EDUCATIVO RURAL BABEGA</v>
          </cell>
          <cell r="K6970">
            <v>38948490</v>
          </cell>
        </row>
        <row r="6971">
          <cell r="I6971">
            <v>900046546</v>
          </cell>
          <cell r="J6971" t="str">
            <v>INSTITUCION EDUCATIVA DEPARTAMENTAL SAN MARTIN DE LOBA</v>
          </cell>
          <cell r="K6971">
            <v>66500729</v>
          </cell>
        </row>
        <row r="6972">
          <cell r="I6972">
            <v>900046551</v>
          </cell>
          <cell r="J6972" t="str">
            <v>CENT EDUC RUR SUCRE</v>
          </cell>
          <cell r="K6972">
            <v>11026407</v>
          </cell>
        </row>
        <row r="6973">
          <cell r="I6973">
            <v>900046802</v>
          </cell>
          <cell r="J6973" t="str">
            <v>CENTRO EDUC RURAL JUANA BERBESI</v>
          </cell>
          <cell r="K6973">
            <v>13724557</v>
          </cell>
        </row>
        <row r="6974">
          <cell r="I6974">
            <v>900046904</v>
          </cell>
          <cell r="J6974" t="str">
            <v>INSTITUCION EDUCATIVA DEPARTAMENTAL RURAL DE TASAJERA</v>
          </cell>
          <cell r="K6974">
            <v>201136771</v>
          </cell>
        </row>
        <row r="6975">
          <cell r="I6975">
            <v>900046966</v>
          </cell>
          <cell r="J6975" t="str">
            <v>centro educativo presidente</v>
          </cell>
          <cell r="K6975">
            <v>18795499</v>
          </cell>
        </row>
        <row r="6976">
          <cell r="I6976">
            <v>900046986</v>
          </cell>
          <cell r="J6976" t="str">
            <v>FONDO DE SERVICIOS EDUCATIVOS I.E. TOCAVITA</v>
          </cell>
          <cell r="K6976">
            <v>22127094</v>
          </cell>
        </row>
        <row r="6977">
          <cell r="I6977">
            <v>900046992</v>
          </cell>
          <cell r="J6977" t="str">
            <v>Centro Educativo El Tablon</v>
          </cell>
          <cell r="K6977">
            <v>10857076</v>
          </cell>
        </row>
        <row r="6978">
          <cell r="I6978">
            <v>900047156</v>
          </cell>
          <cell r="J6978" t="str">
            <v>CENTRO EDUCATIVO LAUREANO MARTINEZ</v>
          </cell>
          <cell r="K6978">
            <v>51018854</v>
          </cell>
        </row>
        <row r="6979">
          <cell r="I6979">
            <v>900047169</v>
          </cell>
          <cell r="J6979" t="str">
            <v>rural el paramo</v>
          </cell>
          <cell r="K6979">
            <v>11046894</v>
          </cell>
        </row>
        <row r="6980">
          <cell r="I6980">
            <v>900047305</v>
          </cell>
          <cell r="J6980" t="str">
            <v>INSTITUCION EDUCATIVA SAN JOSE DE TETUAN</v>
          </cell>
          <cell r="K6980">
            <v>27201651</v>
          </cell>
        </row>
        <row r="6981">
          <cell r="I6981">
            <v>900047353</v>
          </cell>
          <cell r="J6981" t="str">
            <v>I.E. LAS ACACIAS</v>
          </cell>
          <cell r="K6981">
            <v>33884181</v>
          </cell>
        </row>
        <row r="6982">
          <cell r="I6982">
            <v>900047359</v>
          </cell>
          <cell r="J6982" t="str">
            <v>centro educativo rural tane</v>
          </cell>
          <cell r="K6982">
            <v>10291334</v>
          </cell>
        </row>
        <row r="6983">
          <cell r="I6983">
            <v>900047483</v>
          </cell>
          <cell r="J6983" t="str">
            <v>CENTRO EDUCATIVO ARENOSO</v>
          </cell>
          <cell r="K6983">
            <v>35790860</v>
          </cell>
        </row>
        <row r="6984">
          <cell r="I6984">
            <v>900047579</v>
          </cell>
          <cell r="J6984" t="str">
            <v>INSTITUCION EDUCATIVA SAN PEDRO DE GUAJARAY</v>
          </cell>
          <cell r="K6984">
            <v>12400677</v>
          </cell>
        </row>
        <row r="6985">
          <cell r="I6985">
            <v>900047733</v>
          </cell>
          <cell r="J6985" t="str">
            <v>CENTRO ETNOEDUCATIVO RURAL INDIGENA D+ONA SOFIA</v>
          </cell>
          <cell r="K6985">
            <v>11367195</v>
          </cell>
        </row>
        <row r="6986">
          <cell r="I6986">
            <v>900048308</v>
          </cell>
          <cell r="J6986" t="str">
            <v>INSTITUCION EDUCATIVA SAN PIO X</v>
          </cell>
          <cell r="K6986">
            <v>35650328</v>
          </cell>
        </row>
        <row r="6987">
          <cell r="I6987">
            <v>900048312</v>
          </cell>
          <cell r="J6987" t="str">
            <v>CENTRO EDUCATIVO PALMIRA</v>
          </cell>
          <cell r="K6987">
            <v>58013520</v>
          </cell>
        </row>
        <row r="6988">
          <cell r="I6988">
            <v>900048559</v>
          </cell>
          <cell r="J6988" t="str">
            <v>CENTRO EDUCATIVO RURAL LA FENICIA</v>
          </cell>
          <cell r="K6988">
            <v>21832227</v>
          </cell>
        </row>
        <row r="6989">
          <cell r="I6989">
            <v>900048693</v>
          </cell>
          <cell r="J6989" t="str">
            <v>centro educativo rural santa barbara</v>
          </cell>
          <cell r="K6989">
            <v>13037452</v>
          </cell>
        </row>
        <row r="6990">
          <cell r="I6990">
            <v>900048695</v>
          </cell>
          <cell r="J6990" t="str">
            <v>INSTITUCION EDUCATIVA TECNICO AGROPECUARIA Y ECOLOGICA JOSE DADUL</v>
          </cell>
          <cell r="K6990">
            <v>56541667</v>
          </cell>
        </row>
        <row r="6991">
          <cell r="I6991">
            <v>900048873</v>
          </cell>
          <cell r="J6991" t="str">
            <v>Institucion Educativa San Juan del Lozada</v>
          </cell>
          <cell r="K6991">
            <v>91105424</v>
          </cell>
        </row>
        <row r="6992">
          <cell r="I6992">
            <v>900048964</v>
          </cell>
          <cell r="J6992" t="str">
            <v>CENTRO EDUCATIVO LOS POZOS</v>
          </cell>
          <cell r="K6992">
            <v>55775642</v>
          </cell>
        </row>
        <row r="6993">
          <cell r="I6993">
            <v>900048985</v>
          </cell>
          <cell r="J6993" t="str">
            <v>FONDO DE SERVICIOS EDUCATIVOS IED PALESTINA</v>
          </cell>
          <cell r="K6993">
            <v>5960219</v>
          </cell>
        </row>
        <row r="6994">
          <cell r="I6994">
            <v>900048986</v>
          </cell>
          <cell r="J6994" t="str">
            <v>CENTRO EDUCATVO RURAL MARIA AUXILIADORA</v>
          </cell>
          <cell r="K6994">
            <v>17156256</v>
          </cell>
        </row>
        <row r="6995">
          <cell r="I6995">
            <v>900048995</v>
          </cell>
          <cell r="J6995" t="str">
            <v>INSTITUCION EDUCATIVA RURAL DEPARTAMENTAL PROVIDENCIA</v>
          </cell>
          <cell r="K6995">
            <v>4890177</v>
          </cell>
        </row>
        <row r="6996">
          <cell r="I6996">
            <v>900049013</v>
          </cell>
          <cell r="J6996" t="str">
            <v>CENTRO RURAL DE EDUCACION BASICA ANDRES DIAS VENERO</v>
          </cell>
          <cell r="K6996">
            <v>36401886</v>
          </cell>
        </row>
        <row r="6997">
          <cell r="I6997">
            <v>900049073</v>
          </cell>
          <cell r="J6997" t="str">
            <v>CENTRO EDUCATIVO LA ESMERALDA</v>
          </cell>
          <cell r="K6997">
            <v>28324641</v>
          </cell>
        </row>
        <row r="6998">
          <cell r="I6998">
            <v>900049076</v>
          </cell>
          <cell r="J6998" t="str">
            <v>INSTITUCION EDUCATIVA QUEBRADA DE URANGO</v>
          </cell>
          <cell r="K6998">
            <v>15074748</v>
          </cell>
        </row>
        <row r="6999">
          <cell r="I6999">
            <v>900049319</v>
          </cell>
          <cell r="J6999" t="str">
            <v>CENTRO EDUCATIVO LOS ANDES</v>
          </cell>
          <cell r="K6999">
            <v>16150183</v>
          </cell>
        </row>
        <row r="7000">
          <cell r="I7000">
            <v>900049340</v>
          </cell>
          <cell r="J7000" t="str">
            <v>IE SAN JOSE - Uramita</v>
          </cell>
          <cell r="K7000">
            <v>114018837</v>
          </cell>
        </row>
        <row r="7001">
          <cell r="I7001">
            <v>900049365</v>
          </cell>
          <cell r="J7001" t="str">
            <v>INSTITUCION EDUCATIVA DEPARTAMENTAL  RURAL LOS ALPES</v>
          </cell>
          <cell r="K7001">
            <v>8105426</v>
          </cell>
        </row>
        <row r="7002">
          <cell r="I7002">
            <v>900049438</v>
          </cell>
          <cell r="J7002" t="str">
            <v>INSTITUCION EDUCATIVA SANTO DOMINGO SAVIO</v>
          </cell>
          <cell r="K7002">
            <v>15187791</v>
          </cell>
        </row>
        <row r="7003">
          <cell r="I7003">
            <v>900049878</v>
          </cell>
          <cell r="J7003" t="str">
            <v>CENTRO EDUCATIVO LAS TINAS</v>
          </cell>
          <cell r="K7003">
            <v>34120176</v>
          </cell>
        </row>
        <row r="7004">
          <cell r="I7004">
            <v>900049937</v>
          </cell>
          <cell r="J7004" t="str">
            <v>INSTITUCION EDUCATIVA RURAL DE CANTAGALLA</v>
          </cell>
          <cell r="K7004">
            <v>56187970</v>
          </cell>
        </row>
        <row r="7005">
          <cell r="I7005">
            <v>900050045</v>
          </cell>
          <cell r="J7005" t="str">
            <v>FSE</v>
          </cell>
          <cell r="K7005">
            <v>41146234</v>
          </cell>
        </row>
        <row r="7006">
          <cell r="I7006">
            <v>900050054</v>
          </cell>
          <cell r="J7006" t="str">
            <v>IED POS PRIMARIA SIMO BOLIVAR</v>
          </cell>
          <cell r="K7006">
            <v>47321818</v>
          </cell>
        </row>
        <row r="7007">
          <cell r="I7007">
            <v>900050429</v>
          </cell>
          <cell r="J7007" t="str">
            <v>IER CORDERO ICACAL - Zaragoza</v>
          </cell>
          <cell r="K7007">
            <v>37601949</v>
          </cell>
        </row>
        <row r="7008">
          <cell r="I7008">
            <v>900050536</v>
          </cell>
          <cell r="J7008" t="str">
            <v>INSTITUCION EDUCATIVA RODRIGO LLOREDA CAICEDO</v>
          </cell>
          <cell r="K7008">
            <v>24376627</v>
          </cell>
        </row>
        <row r="7009">
          <cell r="I7009">
            <v>900050589</v>
          </cell>
          <cell r="J7009" t="str">
            <v>I.E. MONSERRATE</v>
          </cell>
          <cell r="K7009">
            <v>44651594</v>
          </cell>
        </row>
        <row r="7010">
          <cell r="I7010">
            <v>900050646</v>
          </cell>
          <cell r="J7010" t="str">
            <v>INSTITUCION EDUCATIVA SANTA INES</v>
          </cell>
          <cell r="K7010">
            <v>31840238</v>
          </cell>
        </row>
        <row r="7011">
          <cell r="I7011">
            <v>900050900</v>
          </cell>
          <cell r="J7011" t="str">
            <v>IED EL VOLCAN</v>
          </cell>
          <cell r="K7011">
            <v>49249140</v>
          </cell>
        </row>
        <row r="7012">
          <cell r="I7012">
            <v>900050973</v>
          </cell>
          <cell r="J7012" t="str">
            <v>INS EDUCATIVA TECNICA AGROPECUARIA SALINAS</v>
          </cell>
          <cell r="K7012">
            <v>22345514</v>
          </cell>
        </row>
        <row r="7013">
          <cell r="I7013">
            <v>900051024</v>
          </cell>
          <cell r="J7013" t="str">
            <v>FONDO DE SERVICIOS DOCENTES DEL CENTRO EDUCATIVO ZARAGOZA TAMARINDO</v>
          </cell>
          <cell r="K7013">
            <v>29230398</v>
          </cell>
        </row>
        <row r="7014">
          <cell r="I7014">
            <v>900051135</v>
          </cell>
          <cell r="J7014" t="str">
            <v>INSTITUCION EDUCATIVA SIMON BOLIVAR</v>
          </cell>
          <cell r="K7014">
            <v>36826213</v>
          </cell>
        </row>
        <row r="7015">
          <cell r="I7015">
            <v>900051234</v>
          </cell>
          <cell r="J7015" t="str">
            <v>INSTITUCION EDUCATIVA SANTA ROSA DE LIMA</v>
          </cell>
          <cell r="K7015">
            <v>55086536</v>
          </cell>
        </row>
        <row r="7016">
          <cell r="I7016">
            <v>900051420</v>
          </cell>
          <cell r="J7016" t="str">
            <v>FONDO DE SERVICIOS EDUCATIVOS</v>
          </cell>
          <cell r="K7016">
            <v>12223318</v>
          </cell>
        </row>
        <row r="7017">
          <cell r="I7017">
            <v>900051534</v>
          </cell>
          <cell r="J7017" t="str">
            <v>centro educativo san francisco</v>
          </cell>
          <cell r="K7017">
            <v>13432740</v>
          </cell>
        </row>
        <row r="7018">
          <cell r="I7018">
            <v>900051707</v>
          </cell>
          <cell r="J7018" t="str">
            <v>FONDO DE FOMENTO DE SERVICIOS DOCENTES INSTITUCION EDUCATIVA RURAL DEPARTAMENTAL CUIBUCO</v>
          </cell>
          <cell r="K7018">
            <v>11648649</v>
          </cell>
        </row>
        <row r="7019">
          <cell r="I7019">
            <v>900051934</v>
          </cell>
          <cell r="J7019" t="str">
            <v>centro educativo florentino blanco</v>
          </cell>
          <cell r="K7019">
            <v>30481142</v>
          </cell>
        </row>
        <row r="7020">
          <cell r="I7020">
            <v>900052183</v>
          </cell>
          <cell r="J7020" t="str">
            <v>CENTRO EDUCATIVO RURAL INDIGENA SEYKUTUN</v>
          </cell>
          <cell r="K7020">
            <v>35164731</v>
          </cell>
        </row>
        <row r="7021">
          <cell r="I7021">
            <v>900052232</v>
          </cell>
          <cell r="J7021" t="str">
            <v>CENTRO EDUCATIVO EL TORNO</v>
          </cell>
          <cell r="K7021">
            <v>26277725</v>
          </cell>
        </row>
        <row r="7022">
          <cell r="I7022">
            <v>900052256</v>
          </cell>
          <cell r="J7022" t="str">
            <v>centro educativo los amarillos</v>
          </cell>
          <cell r="K7022">
            <v>18206265</v>
          </cell>
        </row>
        <row r="7023">
          <cell r="I7023">
            <v>900052450</v>
          </cell>
          <cell r="J7023" t="str">
            <v>INSTITUCION EDUCATIVA DEPARTAMENTAL NESCUATA</v>
          </cell>
          <cell r="K7023">
            <v>56850158</v>
          </cell>
        </row>
        <row r="7024">
          <cell r="I7024">
            <v>900052478</v>
          </cell>
          <cell r="J7024" t="str">
            <v>INSTITUCION EDUCATIVA SANTAFE</v>
          </cell>
          <cell r="K7024">
            <v>108657083</v>
          </cell>
        </row>
        <row r="7025">
          <cell r="I7025">
            <v>900052480</v>
          </cell>
          <cell r="J7025" t="str">
            <v>INSTITUCION EDUCATIVA KM 12</v>
          </cell>
          <cell r="K7025">
            <v>72798404</v>
          </cell>
        </row>
        <row r="7026">
          <cell r="I7026">
            <v>900052695</v>
          </cell>
          <cell r="J7026" t="str">
            <v>Centro Educativo Santa Fe</v>
          </cell>
          <cell r="K7026">
            <v>13810955</v>
          </cell>
        </row>
        <row r="7027">
          <cell r="I7027">
            <v>900052697</v>
          </cell>
          <cell r="J7027" t="str">
            <v>INSTITUCION EDUCATIVA DEPARTAMENTAL SAN JUDAS</v>
          </cell>
          <cell r="K7027">
            <v>164839896</v>
          </cell>
        </row>
        <row r="7028">
          <cell r="I7028">
            <v>900052877</v>
          </cell>
          <cell r="J7028" t="str">
            <v>Centro Educativo Romeral</v>
          </cell>
          <cell r="K7028">
            <v>12313137</v>
          </cell>
        </row>
        <row r="7029">
          <cell r="I7029">
            <v>900052973</v>
          </cell>
          <cell r="J7029" t="str">
            <v>INSTITUCION EDUCATIVA JULIO CESAR ZULUAGA</v>
          </cell>
          <cell r="K7029">
            <v>46523648</v>
          </cell>
        </row>
        <row r="7030">
          <cell r="I7030">
            <v>900053721</v>
          </cell>
          <cell r="J7030" t="str">
            <v>INSTITUCION EDUCATIVA DEPARTAMENTAL EL CONSUELO</v>
          </cell>
          <cell r="K7030">
            <v>33765306</v>
          </cell>
        </row>
        <row r="7031">
          <cell r="I7031">
            <v>900053723</v>
          </cell>
          <cell r="J7031" t="str">
            <v>Institución Educativa El Boquerón</v>
          </cell>
          <cell r="K7031">
            <v>26434405</v>
          </cell>
        </row>
        <row r="7032">
          <cell r="I7032">
            <v>900053776</v>
          </cell>
          <cell r="J7032" t="str">
            <v>CENTRO EDUCATVO FRANCISCO JOSE DE CALDAS</v>
          </cell>
          <cell r="K7032">
            <v>14807427</v>
          </cell>
        </row>
        <row r="7033">
          <cell r="I7033">
            <v>900053904</v>
          </cell>
          <cell r="J7033" t="str">
            <v>FONDO DE SERVICIOS EDUCATIVOS CENTRO EDUCATIVO CHENCHE BALSILLAS DELMUNICIPIO DE COYAIMA TOLIMA.</v>
          </cell>
          <cell r="K7033">
            <v>41389826</v>
          </cell>
        </row>
        <row r="7034">
          <cell r="I7034">
            <v>900053997</v>
          </cell>
          <cell r="J7034" t="str">
            <v>INSTITUCION EDUCATIVA SAN RAFAEL</v>
          </cell>
          <cell r="K7034">
            <v>49334442</v>
          </cell>
        </row>
        <row r="7035">
          <cell r="I7035">
            <v>900054002</v>
          </cell>
          <cell r="J7035" t="str">
            <v>INSTITUCION EDUCATIVA SAN JUAN DEL LOSADA</v>
          </cell>
          <cell r="K7035">
            <v>29558926</v>
          </cell>
        </row>
        <row r="7036">
          <cell r="I7036">
            <v>900054160</v>
          </cell>
          <cell r="J7036" t="str">
            <v>CE Isla de gallinazo y asociado coveñitas</v>
          </cell>
          <cell r="K7036">
            <v>33526479</v>
          </cell>
        </row>
        <row r="7037">
          <cell r="I7037">
            <v>900054170</v>
          </cell>
          <cell r="J7037" t="str">
            <v>centro educativo santiago abajo</v>
          </cell>
          <cell r="K7037">
            <v>7418384</v>
          </cell>
        </row>
        <row r="7038">
          <cell r="I7038">
            <v>900054173</v>
          </cell>
          <cell r="J7038" t="str">
            <v>CENTRO EDUCATIVO NUEVA UNION</v>
          </cell>
          <cell r="K7038">
            <v>52419166</v>
          </cell>
        </row>
        <row r="7039">
          <cell r="I7039">
            <v>900054805</v>
          </cell>
          <cell r="J7039" t="str">
            <v>INSTITUCION EDUCATIVA YARUMAL</v>
          </cell>
          <cell r="K7039">
            <v>23538436</v>
          </cell>
        </row>
        <row r="7040">
          <cell r="I7040">
            <v>900054925</v>
          </cell>
          <cell r="J7040" t="str">
            <v>CENTRO EDUCATIVO RURAL SAN ISIDRO DEL MUNICIPIO DE GRAMALOTE</v>
          </cell>
          <cell r="K7040">
            <v>22371166</v>
          </cell>
        </row>
        <row r="7041">
          <cell r="I7041">
            <v>900055257</v>
          </cell>
          <cell r="J7041" t="str">
            <v>COLEGIO CONVIVIR</v>
          </cell>
          <cell r="K7041">
            <v>46461203</v>
          </cell>
        </row>
        <row r="7042">
          <cell r="I7042">
            <v>900055445</v>
          </cell>
          <cell r="J7042" t="str">
            <v>C.E. SANTA RITA</v>
          </cell>
          <cell r="K7042">
            <v>32633919</v>
          </cell>
        </row>
        <row r="7043">
          <cell r="I7043">
            <v>900055809</v>
          </cell>
          <cell r="J7043" t="str">
            <v>centro educativo rural la mesa</v>
          </cell>
          <cell r="K7043">
            <v>11040348</v>
          </cell>
        </row>
        <row r="7044">
          <cell r="I7044">
            <v>900056628</v>
          </cell>
          <cell r="J7044" t="str">
            <v>INSTITUCION EDUCATIVA VARSOVIA LA FLORIDA</v>
          </cell>
          <cell r="K7044">
            <v>22235313</v>
          </cell>
        </row>
        <row r="7045">
          <cell r="I7045">
            <v>900056844</v>
          </cell>
          <cell r="J7045" t="str">
            <v>INSTITUCION EDUCATIVA DEPARTAMENTAL RURAL DE BUENOS AIRES</v>
          </cell>
          <cell r="K7045">
            <v>161571776</v>
          </cell>
        </row>
        <row r="7046">
          <cell r="I7046">
            <v>900057142</v>
          </cell>
          <cell r="J7046" t="str">
            <v>INSTITUCION EDUCATIVA TECNICA DEPARTAMENTAL CIENAGUETA</v>
          </cell>
          <cell r="K7046">
            <v>21061924</v>
          </cell>
        </row>
        <row r="7047">
          <cell r="I7047">
            <v>900057262</v>
          </cell>
          <cell r="J7047" t="str">
            <v>INSTITUCION EDUCATIVA DEPARTAMENTAL ANUAR RIVERA J</v>
          </cell>
          <cell r="K7047">
            <v>56337824</v>
          </cell>
        </row>
        <row r="7048">
          <cell r="I7048">
            <v>900058331</v>
          </cell>
          <cell r="J7048" t="str">
            <v>CENTRO EDUCATIVO EL TIGRE</v>
          </cell>
          <cell r="K7048">
            <v>16241533</v>
          </cell>
        </row>
        <row r="7049">
          <cell r="I7049">
            <v>900058402</v>
          </cell>
          <cell r="J7049" t="str">
            <v>INSTITUCION EDUCATIVA EL CASTILLO</v>
          </cell>
          <cell r="K7049">
            <v>34887868</v>
          </cell>
        </row>
        <row r="7050">
          <cell r="I7050">
            <v>900058462</v>
          </cell>
          <cell r="J7050" t="str">
            <v>INSTITUCION EDUCATIVA VILLA FATIMA</v>
          </cell>
          <cell r="K7050">
            <v>33219295</v>
          </cell>
        </row>
        <row r="7051">
          <cell r="I7051">
            <v>900058887</v>
          </cell>
          <cell r="J7051" t="str">
            <v>FONDO DE SERVICIOS EDUCATIVOS INSTITUCIÓN EDUCATIVA LAS PAVAS</v>
          </cell>
          <cell r="K7051">
            <v>22528141</v>
          </cell>
        </row>
        <row r="7052">
          <cell r="I7052">
            <v>900058894</v>
          </cell>
          <cell r="J7052" t="str">
            <v>C.E. RURAL ALTO HORIZONTE</v>
          </cell>
          <cell r="K7052">
            <v>24372602</v>
          </cell>
        </row>
        <row r="7053">
          <cell r="I7053">
            <v>900059029</v>
          </cell>
          <cell r="J7053" t="str">
            <v>INSTITUCION EDUCAIVA PAN DE AZUCAR</v>
          </cell>
          <cell r="K7053">
            <v>15723463</v>
          </cell>
        </row>
        <row r="7054">
          <cell r="I7054">
            <v>900059240</v>
          </cell>
          <cell r="J7054" t="str">
            <v>IE PALMICHAL - San Carlos</v>
          </cell>
          <cell r="K7054">
            <v>38916253</v>
          </cell>
        </row>
        <row r="7055">
          <cell r="I7055">
            <v>900059468</v>
          </cell>
          <cell r="J7055" t="str">
            <v>INSTITUCION EDUCATIVA DE LOMA DE ARENA</v>
          </cell>
          <cell r="K7055">
            <v>139914736</v>
          </cell>
        </row>
        <row r="7056">
          <cell r="I7056">
            <v>900059737</v>
          </cell>
          <cell r="J7056" t="str">
            <v>INSTITUCION EDUCATIVA EL TESORO</v>
          </cell>
          <cell r="K7056">
            <v>24850490</v>
          </cell>
        </row>
        <row r="7057">
          <cell r="I7057">
            <v>900059993</v>
          </cell>
          <cell r="J7057" t="str">
            <v>CENTRO EDUCATIVO MATA DE PITA</v>
          </cell>
          <cell r="K7057">
            <v>12301699</v>
          </cell>
        </row>
        <row r="7058">
          <cell r="I7058">
            <v>900059994</v>
          </cell>
          <cell r="J7058" t="str">
            <v>CENTRO EDUCATIVO NUEVO SUCRE</v>
          </cell>
          <cell r="K7058">
            <v>11080450</v>
          </cell>
        </row>
        <row r="7059">
          <cell r="I7059">
            <v>900060163</v>
          </cell>
          <cell r="J7059" t="str">
            <v>FONDO DE SERVICIOS EDUCATIVOS CENTRO EDUCATIVO MARCO FIDEL SUAREZ</v>
          </cell>
          <cell r="K7059">
            <v>27972894</v>
          </cell>
        </row>
        <row r="7060">
          <cell r="I7060">
            <v>900060416</v>
          </cell>
          <cell r="J7060" t="str">
            <v>CENTRO EDUCCATIVO ANTONIO NARIñO</v>
          </cell>
          <cell r="K7060">
            <v>19971291</v>
          </cell>
        </row>
        <row r="7061">
          <cell r="I7061">
            <v>900060487</v>
          </cell>
          <cell r="J7061" t="str">
            <v>INSTITUCION EDUCATIVA DEPARTAMENTAL PESTALOZZI</v>
          </cell>
          <cell r="K7061">
            <v>104152792</v>
          </cell>
        </row>
        <row r="7062">
          <cell r="I7062">
            <v>900060501</v>
          </cell>
          <cell r="J7062" t="str">
            <v>INSTITUCION EDUCATIVA SAN JUAN DEL CHORRILLO</v>
          </cell>
          <cell r="K7062">
            <v>20449240</v>
          </cell>
        </row>
        <row r="7063">
          <cell r="I7063">
            <v>900060587</v>
          </cell>
          <cell r="J7063" t="str">
            <v>INSTITUCION EDUCATIVA SAN MARTIN DE CARBONERO</v>
          </cell>
          <cell r="K7063">
            <v>48414539</v>
          </cell>
        </row>
        <row r="7064">
          <cell r="I7064">
            <v>900060722</v>
          </cell>
          <cell r="J7064" t="str">
            <v>FSE EDUARDO UMAÑA MENDOZA</v>
          </cell>
          <cell r="K7064">
            <v>135861504</v>
          </cell>
        </row>
        <row r="7065">
          <cell r="I7065">
            <v>900061569</v>
          </cell>
          <cell r="J7065" t="str">
            <v>CENTRO EDUCA RURAL AGUADAS BAJO</v>
          </cell>
          <cell r="K7065">
            <v>15987203</v>
          </cell>
        </row>
        <row r="7066">
          <cell r="I7066">
            <v>900061762</v>
          </cell>
          <cell r="J7066" t="str">
            <v>INSTITUCION EDUCATIVA OBDULIO MAYO SCARPETA</v>
          </cell>
          <cell r="K7066">
            <v>110159286</v>
          </cell>
        </row>
        <row r="7067">
          <cell r="I7067">
            <v>900062183</v>
          </cell>
          <cell r="J7067" t="str">
            <v>I.E NASAWESX FIZÑI SAN PEDRO</v>
          </cell>
          <cell r="K7067">
            <v>58519842</v>
          </cell>
        </row>
        <row r="7068">
          <cell r="I7068">
            <v>900063001</v>
          </cell>
          <cell r="J7068" t="str">
            <v>INSTITUCION EDUCATIVA  SAN JOSE  DE PALMIRA</v>
          </cell>
          <cell r="K7068">
            <v>37464528</v>
          </cell>
        </row>
        <row r="7069">
          <cell r="I7069">
            <v>900063037</v>
          </cell>
          <cell r="J7069" t="str">
            <v>CENTRO EDUCATIVO SIMON BOLIVAR</v>
          </cell>
          <cell r="K7069">
            <v>47135714</v>
          </cell>
        </row>
        <row r="7070">
          <cell r="I7070">
            <v>900063419</v>
          </cell>
          <cell r="J7070" t="str">
            <v>CENTRO EDUCATIVO RURAL NARANJAL</v>
          </cell>
          <cell r="K7070">
            <v>32569078</v>
          </cell>
        </row>
        <row r="7071">
          <cell r="I7071">
            <v>900063721</v>
          </cell>
          <cell r="J7071" t="str">
            <v>C. E. CHUPUNDUN</v>
          </cell>
          <cell r="K7071">
            <v>15325947</v>
          </cell>
        </row>
        <row r="7072">
          <cell r="I7072">
            <v>900063726</v>
          </cell>
          <cell r="J7072" t="str">
            <v>FONDO SERV EDUCAT CENTRO EDUCATIVO GABRIELA MISTRAL</v>
          </cell>
          <cell r="K7072">
            <v>32043972</v>
          </cell>
        </row>
        <row r="7073">
          <cell r="I7073">
            <v>900064042</v>
          </cell>
          <cell r="J7073" t="str">
            <v>institucion educativa Santa Marta</v>
          </cell>
          <cell r="K7073">
            <v>10982930</v>
          </cell>
        </row>
        <row r="7074">
          <cell r="I7074">
            <v>900064104</v>
          </cell>
          <cell r="J7074" t="str">
            <v>Centro Educ San Miguel</v>
          </cell>
          <cell r="K7074">
            <v>9616962</v>
          </cell>
        </row>
        <row r="7075">
          <cell r="I7075">
            <v>900065553</v>
          </cell>
          <cell r="J7075" t="str">
            <v>CENTRO ETNOEDUCATIVO BILINGUE CAMENTSA</v>
          </cell>
          <cell r="K7075">
            <v>3173957</v>
          </cell>
        </row>
        <row r="7076">
          <cell r="I7076">
            <v>900065806</v>
          </cell>
          <cell r="J7076" t="str">
            <v>COLEGIO LEONARDO POSADA PEDRAZA IED</v>
          </cell>
          <cell r="K7076">
            <v>249512412</v>
          </cell>
        </row>
        <row r="7077">
          <cell r="I7077">
            <v>900065876</v>
          </cell>
          <cell r="J7077" t="str">
            <v>INSTITUCIÓN EDUCATIVA SERAFÍN LUENGAS CHACÓN</v>
          </cell>
          <cell r="K7077">
            <v>25241079</v>
          </cell>
        </row>
        <row r="7078">
          <cell r="I7078">
            <v>900066264</v>
          </cell>
          <cell r="J7078" t="str">
            <v>INSTITUCION EDUCATIVA MARCO FIDEL SUAREZ</v>
          </cell>
          <cell r="K7078">
            <v>23903589</v>
          </cell>
        </row>
        <row r="7079">
          <cell r="I7079">
            <v>900066605</v>
          </cell>
          <cell r="J7079" t="str">
            <v>CENTRO EDUCATIVO PUEBLITO</v>
          </cell>
          <cell r="K7079">
            <v>27258298</v>
          </cell>
        </row>
        <row r="7080">
          <cell r="I7080">
            <v>900066837</v>
          </cell>
          <cell r="J7080" t="str">
            <v>INSTITUCIÓN EDUCATIVA MORINDO SANTA FE</v>
          </cell>
          <cell r="K7080">
            <v>47609072</v>
          </cell>
        </row>
        <row r="7081">
          <cell r="I7081">
            <v>900067058</v>
          </cell>
          <cell r="J7081" t="str">
            <v>Centro Educativo Ponton de Rio Negro</v>
          </cell>
          <cell r="K7081">
            <v>28039006</v>
          </cell>
        </row>
        <row r="7082">
          <cell r="I7082">
            <v>900067069</v>
          </cell>
          <cell r="J7082" t="str">
            <v>IE RURAL PUERTO GARZA - San Carlos</v>
          </cell>
          <cell r="K7082">
            <v>28731524</v>
          </cell>
        </row>
        <row r="7083">
          <cell r="I7083">
            <v>900067504</v>
          </cell>
          <cell r="J7083" t="str">
            <v>C. E. SAN MARTIN</v>
          </cell>
          <cell r="K7083">
            <v>18427713</v>
          </cell>
        </row>
        <row r="7084">
          <cell r="I7084">
            <v>900067530</v>
          </cell>
          <cell r="J7084" t="str">
            <v>centro educativo puerto lopez</v>
          </cell>
          <cell r="K7084">
            <v>44848028</v>
          </cell>
        </row>
        <row r="7085">
          <cell r="I7085">
            <v>900067549</v>
          </cell>
          <cell r="J7085" t="str">
            <v>CENTRO EDUCATIVO LA FLORIDA</v>
          </cell>
          <cell r="K7085">
            <v>14730916</v>
          </cell>
        </row>
        <row r="7086">
          <cell r="I7086">
            <v>900067553</v>
          </cell>
          <cell r="J7086" t="str">
            <v>CENTRO EDUCATIVO SANTA EMILIA</v>
          </cell>
          <cell r="K7086">
            <v>14572148</v>
          </cell>
        </row>
        <row r="7087">
          <cell r="I7087">
            <v>900068461</v>
          </cell>
          <cell r="J7087" t="str">
            <v>FONDO DE SERVICIO EDUCATIVO COL JAIME GARZON</v>
          </cell>
          <cell r="K7087">
            <v>148355169</v>
          </cell>
        </row>
        <row r="7088">
          <cell r="I7088">
            <v>900068688</v>
          </cell>
          <cell r="J7088" t="str">
            <v>CENTRO EDUCATIVO CUCUTILLITA</v>
          </cell>
          <cell r="K7088">
            <v>19971149</v>
          </cell>
        </row>
        <row r="7089">
          <cell r="I7089">
            <v>900068707</v>
          </cell>
          <cell r="J7089" t="str">
            <v>centro educativo rural roman</v>
          </cell>
          <cell r="K7089">
            <v>25872245</v>
          </cell>
        </row>
        <row r="7090">
          <cell r="I7090">
            <v>900069285</v>
          </cell>
          <cell r="J7090" t="str">
            <v>institucion educativa playa mendoza</v>
          </cell>
          <cell r="K7090">
            <v>40913866</v>
          </cell>
        </row>
        <row r="7091">
          <cell r="I7091">
            <v>900069307</v>
          </cell>
          <cell r="J7091" t="str">
            <v>Cenro Educativo Tierra Santa</v>
          </cell>
          <cell r="K7091">
            <v>14919134</v>
          </cell>
        </row>
        <row r="7092">
          <cell r="I7092">
            <v>900069399</v>
          </cell>
          <cell r="J7092" t="str">
            <v>CENTRO EDUCATIVO CINCO DE FEBRERO</v>
          </cell>
          <cell r="K7092">
            <v>15090128</v>
          </cell>
        </row>
        <row r="7093">
          <cell r="I7093">
            <v>900069490</v>
          </cell>
          <cell r="J7093" t="str">
            <v>Fondo de Servicios Educativos Intitucion Educativa Nuestra Señora de la Candelaria de Bagado</v>
          </cell>
          <cell r="K7093">
            <v>32836902</v>
          </cell>
        </row>
        <row r="7094">
          <cell r="I7094">
            <v>900069538</v>
          </cell>
          <cell r="J7094" t="str">
            <v>centro educativo tres bocas</v>
          </cell>
          <cell r="K7094">
            <v>41882824</v>
          </cell>
        </row>
        <row r="7095">
          <cell r="I7095">
            <v>900069821</v>
          </cell>
          <cell r="J7095" t="str">
            <v>INSTITUCION EDUCATIVA FOCO ROJO</v>
          </cell>
          <cell r="K7095">
            <v>110080355</v>
          </cell>
        </row>
        <row r="7096">
          <cell r="I7096">
            <v>900070015</v>
          </cell>
          <cell r="J7096" t="str">
            <v>INSTITUCION EDUCATIVA SAN JORGE BILINGÜE</v>
          </cell>
          <cell r="K7096">
            <v>89398649</v>
          </cell>
        </row>
        <row r="7097">
          <cell r="I7097">
            <v>900070262</v>
          </cell>
          <cell r="J7097" t="str">
            <v>IER MELLO VILLAVICENCIO - Necoclí</v>
          </cell>
          <cell r="K7097">
            <v>48728455</v>
          </cell>
        </row>
        <row r="7098">
          <cell r="I7098">
            <v>900070305</v>
          </cell>
          <cell r="J7098" t="str">
            <v>CENT EDUC RUR BOCANA DEL YURILLA</v>
          </cell>
          <cell r="K7098">
            <v>9399321</v>
          </cell>
        </row>
        <row r="7099">
          <cell r="I7099">
            <v>900070478</v>
          </cell>
          <cell r="J7099" t="str">
            <v>INSTITUCION EDUCATIVA CERROS DE COSTA RICA</v>
          </cell>
          <cell r="K7099">
            <v>31483316</v>
          </cell>
        </row>
        <row r="7100">
          <cell r="I7100">
            <v>900070600</v>
          </cell>
          <cell r="J7100" t="str">
            <v>I.E. EDUARDO CORREA URIBE</v>
          </cell>
          <cell r="K7100">
            <v>82959087</v>
          </cell>
        </row>
        <row r="7101">
          <cell r="I7101">
            <v>900070966</v>
          </cell>
          <cell r="J7101" t="str">
            <v>INSTITUCION EDUCATIVA  PUENTE DE PIEDRA</v>
          </cell>
          <cell r="K7101">
            <v>60434249</v>
          </cell>
        </row>
        <row r="7102">
          <cell r="I7102">
            <v>900071592</v>
          </cell>
          <cell r="J7102" t="str">
            <v>I.E. YU LUUCX PISHAU</v>
          </cell>
          <cell r="K7102">
            <v>57441993</v>
          </cell>
        </row>
        <row r="7103">
          <cell r="I7103">
            <v>900071774</v>
          </cell>
          <cell r="J7103" t="str">
            <v>I. E. INDIGENA EL MARTILLO</v>
          </cell>
          <cell r="K7103">
            <v>46298171</v>
          </cell>
        </row>
        <row r="7104">
          <cell r="I7104">
            <v>900072184</v>
          </cell>
          <cell r="J7104" t="str">
            <v>FONDO DE SERVICIOS EDUCATIVOS</v>
          </cell>
          <cell r="K7104">
            <v>15483531</v>
          </cell>
        </row>
        <row r="7105">
          <cell r="I7105">
            <v>900072354</v>
          </cell>
          <cell r="J7105" t="str">
            <v>INSTITUCION EDUCATIVA SAN SEBASTIAN DE MADRID</v>
          </cell>
          <cell r="K7105">
            <v>31860944</v>
          </cell>
        </row>
        <row r="7106">
          <cell r="I7106">
            <v>900072887</v>
          </cell>
          <cell r="J7106" t="str">
            <v>CENTRO EDUCATIVO FLORES DE MARIA</v>
          </cell>
          <cell r="K7106">
            <v>17300546</v>
          </cell>
        </row>
        <row r="7107">
          <cell r="I7107">
            <v>900073363</v>
          </cell>
          <cell r="J7107" t="str">
            <v>CENTRO EDUCATIVO EL CEDRO</v>
          </cell>
          <cell r="K7107">
            <v>63434027</v>
          </cell>
        </row>
        <row r="7108">
          <cell r="I7108">
            <v>900073975</v>
          </cell>
          <cell r="J7108" t="str">
            <v>INSTITUCION EDUCATIVA EL CAMPANO</v>
          </cell>
          <cell r="K7108">
            <v>30541348</v>
          </cell>
        </row>
        <row r="7109">
          <cell r="I7109">
            <v>900074218</v>
          </cell>
          <cell r="J7109" t="str">
            <v>FONDO DE SERVICIOS EDUCATIVOS</v>
          </cell>
          <cell r="K7109">
            <v>12731530</v>
          </cell>
        </row>
        <row r="7110">
          <cell r="I7110">
            <v>900074221</v>
          </cell>
          <cell r="J7110" t="str">
            <v>FONDO DE SERVICIOS EDUCATIVOS</v>
          </cell>
          <cell r="K7110">
            <v>17930138</v>
          </cell>
        </row>
        <row r="7111">
          <cell r="I7111">
            <v>900074611</v>
          </cell>
          <cell r="J7111" t="str">
            <v>INSTITUCION EDUCATIVA CRISTO REY</v>
          </cell>
          <cell r="K7111">
            <v>48662044</v>
          </cell>
        </row>
        <row r="7112">
          <cell r="I7112">
            <v>900074878</v>
          </cell>
          <cell r="J7112" t="str">
            <v>CENTRO DE EDUCACION BASICA ETNOEDUCATIVO PAULINO SALGADO</v>
          </cell>
          <cell r="K7112">
            <v>48191160</v>
          </cell>
        </row>
        <row r="7113">
          <cell r="I7113">
            <v>900074942</v>
          </cell>
          <cell r="J7113" t="str">
            <v>institucion educativa rancheria</v>
          </cell>
          <cell r="K7113">
            <v>71443614</v>
          </cell>
        </row>
        <row r="7114">
          <cell r="I7114">
            <v>900074986</v>
          </cell>
          <cell r="J7114" t="str">
            <v>institucion educativa maria inmaculada de pital de megua</v>
          </cell>
          <cell r="K7114">
            <v>36672994</v>
          </cell>
        </row>
        <row r="7115">
          <cell r="I7115">
            <v>900075226</v>
          </cell>
          <cell r="J7115" t="str">
            <v>CENTRO EDUCATIVO RURAL NEIVA</v>
          </cell>
          <cell r="K7115">
            <v>13979371</v>
          </cell>
        </row>
        <row r="7116">
          <cell r="I7116">
            <v>900075495</v>
          </cell>
          <cell r="J7116" t="str">
            <v>INSTITUCION EDUCATIVA PAJARITO</v>
          </cell>
          <cell r="K7116">
            <v>22347476</v>
          </cell>
        </row>
        <row r="7117">
          <cell r="I7117">
            <v>900075788</v>
          </cell>
          <cell r="J7117" t="str">
            <v>IE JOSE MANUEL RESTREPO - Arboletes</v>
          </cell>
          <cell r="K7117">
            <v>106969671</v>
          </cell>
        </row>
        <row r="7118">
          <cell r="I7118">
            <v>900075804</v>
          </cell>
          <cell r="J7118" t="str">
            <v>Intitucion Educativa Tecnico Comercial de Condoto - Fondo de Servicios Educativos</v>
          </cell>
          <cell r="K7118">
            <v>78590048</v>
          </cell>
        </row>
        <row r="7119">
          <cell r="I7119">
            <v>900075919</v>
          </cell>
          <cell r="J7119" t="str">
            <v>INSTITUCION EDUCATIVA JESUS ANTONIO RIVAS</v>
          </cell>
          <cell r="K7119">
            <v>72315523</v>
          </cell>
        </row>
        <row r="7120">
          <cell r="I7120">
            <v>900075948</v>
          </cell>
          <cell r="J7120" t="str">
            <v>INSTITUCIÓN EDUCATIVA GIMNASIO GRAN COLOMBIANO</v>
          </cell>
          <cell r="K7120">
            <v>66905290</v>
          </cell>
        </row>
        <row r="7121">
          <cell r="I7121">
            <v>900075954</v>
          </cell>
          <cell r="J7121" t="str">
            <v>I.E. los naranjos</v>
          </cell>
          <cell r="K7121">
            <v>16432064</v>
          </cell>
        </row>
        <row r="7122">
          <cell r="I7122">
            <v>900076068</v>
          </cell>
          <cell r="J7122" t="str">
            <v>IE RUR VILLA AMAZONICA</v>
          </cell>
          <cell r="K7122">
            <v>31444230</v>
          </cell>
        </row>
        <row r="7123">
          <cell r="I7123">
            <v>900076342</v>
          </cell>
          <cell r="J7123" t="str">
            <v>INSTITUCION EDUCATIVA DE LOS SABALOS</v>
          </cell>
          <cell r="K7123">
            <v>45393342</v>
          </cell>
        </row>
        <row r="7124">
          <cell r="I7124">
            <v>900076593</v>
          </cell>
          <cell r="J7124" t="str">
            <v>CENTRO EDUC. PRIMAVERA</v>
          </cell>
          <cell r="K7124">
            <v>14639408</v>
          </cell>
        </row>
        <row r="7125">
          <cell r="I7125">
            <v>900077410</v>
          </cell>
          <cell r="J7125" t="str">
            <v>C.E.JOSE INOCENCIO CHINCA</v>
          </cell>
          <cell r="K7125">
            <v>67829180</v>
          </cell>
        </row>
        <row r="7126">
          <cell r="I7126">
            <v>900077480</v>
          </cell>
          <cell r="J7126" t="str">
            <v>CENTRO EDUCATIVO GUATEQUE</v>
          </cell>
          <cell r="K7126">
            <v>39222159</v>
          </cell>
        </row>
        <row r="7127">
          <cell r="I7127">
            <v>900077607</v>
          </cell>
          <cell r="J7127" t="str">
            <v>IER BENIGNO MENA GONZALEZ - San Jerónimo</v>
          </cell>
          <cell r="K7127">
            <v>33974522</v>
          </cell>
        </row>
        <row r="7128">
          <cell r="I7128">
            <v>900077646</v>
          </cell>
          <cell r="J7128" t="str">
            <v>institucion educativa niño jesus de praga de hibacharo</v>
          </cell>
          <cell r="K7128">
            <v>27694782</v>
          </cell>
        </row>
        <row r="7129">
          <cell r="I7129">
            <v>900077653</v>
          </cell>
          <cell r="J7129" t="str">
            <v>CENTRO EDUCATIVO RURAL ARROYO DE ARENA</v>
          </cell>
          <cell r="K7129">
            <v>11329860</v>
          </cell>
        </row>
        <row r="7130">
          <cell r="I7130">
            <v>900077728</v>
          </cell>
          <cell r="J7130" t="str">
            <v>centro educativo carreto</v>
          </cell>
          <cell r="K7130">
            <v>31997709</v>
          </cell>
        </row>
        <row r="7131">
          <cell r="I7131">
            <v>900077779</v>
          </cell>
          <cell r="J7131" t="str">
            <v>CENTRO EDUCATIVO GUAIQUIRI</v>
          </cell>
          <cell r="K7131">
            <v>9752572</v>
          </cell>
        </row>
        <row r="7132">
          <cell r="I7132">
            <v>900077815</v>
          </cell>
          <cell r="J7132" t="str">
            <v>COLEGIO DISTRITAL LOS ROSALES</v>
          </cell>
          <cell r="K7132">
            <v>117843429</v>
          </cell>
        </row>
        <row r="7133">
          <cell r="I7133">
            <v>900077985</v>
          </cell>
          <cell r="J7133" t="str">
            <v>institucion educativa de sibarco</v>
          </cell>
          <cell r="K7133">
            <v>30677644</v>
          </cell>
        </row>
        <row r="7134">
          <cell r="I7134">
            <v>900078124</v>
          </cell>
          <cell r="J7134" t="str">
            <v>institucion educativa de algodonal</v>
          </cell>
          <cell r="K7134">
            <v>40134952</v>
          </cell>
        </row>
        <row r="7135">
          <cell r="I7135">
            <v>900079761</v>
          </cell>
          <cell r="J7135" t="str">
            <v>Fondo de Servicios Educativos Intitucion Educativa Agroecologico Misael Soto Cordoba</v>
          </cell>
          <cell r="K7135">
            <v>29775233</v>
          </cell>
        </row>
        <row r="7136">
          <cell r="I7136">
            <v>900079885</v>
          </cell>
          <cell r="J7136" t="str">
            <v>CENTRO EDUCATIVO RURAL CINTURA</v>
          </cell>
          <cell r="K7136">
            <v>45150332</v>
          </cell>
        </row>
        <row r="7137">
          <cell r="I7137">
            <v>900079950</v>
          </cell>
          <cell r="J7137" t="str">
            <v>CENTRO EDUCATIVO LA FLORESTA</v>
          </cell>
          <cell r="K7137">
            <v>18653745</v>
          </cell>
        </row>
        <row r="7138">
          <cell r="I7138">
            <v>900080340</v>
          </cell>
          <cell r="J7138" t="str">
            <v>FONDOS DE SERVICIOS EDUCATIVOS</v>
          </cell>
          <cell r="K7138">
            <v>26637086</v>
          </cell>
        </row>
        <row r="7139">
          <cell r="I7139">
            <v>900081185</v>
          </cell>
          <cell r="J7139" t="str">
            <v>INSTITUCION EDUCATIVA LOS ANDES DE CUAICAL</v>
          </cell>
          <cell r="K7139">
            <v>63896797</v>
          </cell>
        </row>
        <row r="7140">
          <cell r="I7140">
            <v>900081239</v>
          </cell>
          <cell r="J7140" t="str">
            <v>CENTRO EDUCATIVO NEIVA</v>
          </cell>
          <cell r="K7140">
            <v>12390942</v>
          </cell>
        </row>
        <row r="7141">
          <cell r="I7141">
            <v>900081286</v>
          </cell>
          <cell r="J7141" t="str">
            <v>C EDUC EL VIAJANO</v>
          </cell>
          <cell r="K7141">
            <v>20206266</v>
          </cell>
        </row>
        <row r="7142">
          <cell r="I7142">
            <v>900081460</v>
          </cell>
          <cell r="J7142" t="str">
            <v>INSTITUCION EDUCATIVA TECNICA EN INFORMATICA ANIBAL NOGUERA MENDOZA</v>
          </cell>
          <cell r="K7142">
            <v>68118415</v>
          </cell>
        </row>
        <row r="7143">
          <cell r="I7143">
            <v>900081584</v>
          </cell>
          <cell r="J7143" t="str">
            <v>Fondo de Servicio Educativo CED Antonio Escobar Camargo</v>
          </cell>
          <cell r="K7143">
            <v>29184460</v>
          </cell>
        </row>
        <row r="7144">
          <cell r="I7144">
            <v>900081826</v>
          </cell>
          <cell r="J7144" t="str">
            <v>CENTRO EDUCATIVO MORINDO</v>
          </cell>
          <cell r="K7144">
            <v>21309104</v>
          </cell>
        </row>
        <row r="7145">
          <cell r="I7145">
            <v>900082324</v>
          </cell>
          <cell r="J7145" t="str">
            <v>INSTITUCION EDUCATIVA AGROPECUARIA EL ESCOBAL</v>
          </cell>
          <cell r="K7145">
            <v>31213092</v>
          </cell>
        </row>
        <row r="7146">
          <cell r="I7146">
            <v>900082553</v>
          </cell>
          <cell r="J7146" t="str">
            <v>IER SAN RAFAEL DE CAMPARRUSIA - Dabeiba</v>
          </cell>
          <cell r="K7146">
            <v>48430996</v>
          </cell>
        </row>
        <row r="7147">
          <cell r="I7147">
            <v>900082590</v>
          </cell>
          <cell r="J7147" t="str">
            <v>INSTITUCION EDUCATIVA GUASIMAL</v>
          </cell>
          <cell r="K7147">
            <v>47542054</v>
          </cell>
        </row>
        <row r="7148">
          <cell r="I7148">
            <v>900082675</v>
          </cell>
          <cell r="J7148" t="str">
            <v>FONDO DE SERVICIOS EDUCATIVOS INSTITUCION EDUCATIVA SAN FRANCISCO DE ASIS - JERICO</v>
          </cell>
          <cell r="K7148">
            <v>39824364</v>
          </cell>
        </row>
        <row r="7149">
          <cell r="I7149">
            <v>900083252</v>
          </cell>
          <cell r="J7149" t="str">
            <v>INSTITUCION EDUCATIVA LAS MARIAS</v>
          </cell>
          <cell r="K7149">
            <v>48544460</v>
          </cell>
        </row>
        <row r="7150">
          <cell r="I7150">
            <v>900083285</v>
          </cell>
          <cell r="J7150" t="str">
            <v>FONDO DE SERVICIOS EDUCATIVOS</v>
          </cell>
          <cell r="K7150">
            <v>21344001</v>
          </cell>
        </row>
        <row r="7151">
          <cell r="I7151">
            <v>900084594</v>
          </cell>
          <cell r="J7151" t="str">
            <v>Fondo de Servicios Educativos Centro Educativo Santa Barbara</v>
          </cell>
          <cell r="K7151">
            <v>15837474</v>
          </cell>
        </row>
        <row r="7152">
          <cell r="I7152">
            <v>900084754</v>
          </cell>
          <cell r="J7152" t="str">
            <v>FONDOS DE SERVICIOS EDUCATIVOS</v>
          </cell>
          <cell r="K7152">
            <v>48708750</v>
          </cell>
        </row>
        <row r="7153">
          <cell r="I7153">
            <v>900085481</v>
          </cell>
          <cell r="J7153" t="str">
            <v>EU SANTA ROSA DE LIMA - Giraldo</v>
          </cell>
          <cell r="K7153">
            <v>36881584</v>
          </cell>
        </row>
        <row r="7154">
          <cell r="I7154">
            <v>900085856</v>
          </cell>
          <cell r="J7154" t="str">
            <v>CENTRO EDUCATIVO BOQUERON MUNICIPIO DE LA JAGUA DE</v>
          </cell>
          <cell r="K7154">
            <v>17129975</v>
          </cell>
        </row>
        <row r="7155">
          <cell r="I7155">
            <v>900086917</v>
          </cell>
          <cell r="J7155" t="str">
            <v>institución educativa la frontera</v>
          </cell>
          <cell r="K7155">
            <v>74392830</v>
          </cell>
        </row>
        <row r="7156">
          <cell r="I7156">
            <v>900087223</v>
          </cell>
          <cell r="J7156" t="str">
            <v>FONDO DE SERVICIOS EDUCATIVOS- CENTRO EDUCATIVO SANTA PAULA</v>
          </cell>
          <cell r="K7156">
            <v>27246576</v>
          </cell>
        </row>
        <row r="7157">
          <cell r="I7157">
            <v>900087227</v>
          </cell>
          <cell r="J7157" t="str">
            <v>INSTITUCION EDUCATIVA SAN JOSE DE BELLA COHITA</v>
          </cell>
          <cell r="K7157">
            <v>58250177</v>
          </cell>
        </row>
        <row r="7158">
          <cell r="I7158">
            <v>900087474</v>
          </cell>
          <cell r="J7158" t="str">
            <v>FONDO DE SERVICIOS EDUCATIVOS DEL CENTRO EDUCATIVO</v>
          </cell>
          <cell r="K7158">
            <v>21806848</v>
          </cell>
        </row>
        <row r="7159">
          <cell r="I7159">
            <v>900088269</v>
          </cell>
          <cell r="J7159" t="str">
            <v>FONDO DE SERVICIOS EDUCATIVOS COLEGIO SAMUEL IGNACIO SANTAMARIA</v>
          </cell>
          <cell r="K7159">
            <v>24938776</v>
          </cell>
        </row>
        <row r="7160">
          <cell r="I7160">
            <v>900089839</v>
          </cell>
          <cell r="J7160" t="str">
            <v>INST. EDUC. INOCENCIO CHINCA</v>
          </cell>
          <cell r="K7160">
            <v>135222808</v>
          </cell>
        </row>
        <row r="7161">
          <cell r="I7161">
            <v>900090026</v>
          </cell>
          <cell r="J7161" t="str">
            <v>C.E. POTRERO GRANDE</v>
          </cell>
          <cell r="K7161">
            <v>10505839</v>
          </cell>
        </row>
        <row r="7162">
          <cell r="I7162">
            <v>900090313</v>
          </cell>
          <cell r="J7162" t="str">
            <v>Colegio Institucion Educativa Jose Miguel Lopez Calle</v>
          </cell>
          <cell r="K7162">
            <v>26999640</v>
          </cell>
        </row>
        <row r="7163">
          <cell r="I7163">
            <v>900090552</v>
          </cell>
          <cell r="J7163" t="str">
            <v>FONDO DE SERVICIO EDUCATIVO COL GREMIOS UNIDOS</v>
          </cell>
          <cell r="K7163">
            <v>140831701</v>
          </cell>
        </row>
        <row r="7164">
          <cell r="I7164">
            <v>900090571</v>
          </cell>
          <cell r="J7164" t="str">
            <v>INS EDU PIJAOS</v>
          </cell>
          <cell r="K7164">
            <v>22152114</v>
          </cell>
        </row>
        <row r="7165">
          <cell r="I7165">
            <v>900090662</v>
          </cell>
          <cell r="J7165" t="str">
            <v>FONDO DE SERVICIOS EDUCATIVOS</v>
          </cell>
          <cell r="K7165">
            <v>30504314</v>
          </cell>
        </row>
        <row r="7166">
          <cell r="I7166">
            <v>900093705</v>
          </cell>
          <cell r="J7166" t="str">
            <v>inst. edu. Instituto agricola</v>
          </cell>
          <cell r="K7166">
            <v>117311064</v>
          </cell>
        </row>
        <row r="7167">
          <cell r="I7167">
            <v>900095982</v>
          </cell>
          <cell r="J7167" t="str">
            <v>Institucion Educativa Criollo</v>
          </cell>
          <cell r="K7167">
            <v>128552323</v>
          </cell>
        </row>
        <row r="7168">
          <cell r="I7168">
            <v>900096437</v>
          </cell>
          <cell r="J7168" t="str">
            <v>FONDO DE SERVICIOS EDUCATIVOS CENTRO EDUCATIVO PEDREGAL</v>
          </cell>
          <cell r="K7168">
            <v>22128611</v>
          </cell>
        </row>
        <row r="7169">
          <cell r="I7169">
            <v>900096641</v>
          </cell>
          <cell r="J7169" t="str">
            <v>FONDO DE SERVICIOS EDUCATIVOS INSTITUCION EDUCATIVA RURAL HOJAS ANCHAS</v>
          </cell>
          <cell r="K7169">
            <v>48549006</v>
          </cell>
        </row>
        <row r="7170">
          <cell r="I7170">
            <v>900097563</v>
          </cell>
          <cell r="J7170" t="str">
            <v>INSTITUCION EDUCATIVA DE DESARROLLO LA SELVA</v>
          </cell>
          <cell r="K7170">
            <v>22223030</v>
          </cell>
        </row>
        <row r="7171">
          <cell r="I7171">
            <v>900098046</v>
          </cell>
          <cell r="J7171" t="str">
            <v>INSTITUCION EDUCATIVA RAFAEL NUÑEZ</v>
          </cell>
          <cell r="K7171">
            <v>59722842</v>
          </cell>
        </row>
        <row r="7172">
          <cell r="I7172">
            <v>900098685</v>
          </cell>
          <cell r="J7172" t="str">
            <v>Colegio de EducaciOn BAsica el Cardòn</v>
          </cell>
          <cell r="K7172">
            <v>25873706</v>
          </cell>
        </row>
        <row r="7173">
          <cell r="I7173">
            <v>900099339</v>
          </cell>
          <cell r="J7173" t="str">
            <v>C.E. PIJIGUAY</v>
          </cell>
          <cell r="K7173">
            <v>9871623</v>
          </cell>
        </row>
        <row r="7174">
          <cell r="I7174">
            <v>900099881</v>
          </cell>
          <cell r="J7174" t="str">
            <v>INSTITUCION EDUCATIVA EL GAS</v>
          </cell>
          <cell r="K7174">
            <v>29481788</v>
          </cell>
        </row>
        <row r="7175">
          <cell r="I7175">
            <v>900100143</v>
          </cell>
          <cell r="J7175" t="str">
            <v>CENTRO EDUCATIVO EL GUAYABAL</v>
          </cell>
          <cell r="K7175">
            <v>30580085</v>
          </cell>
        </row>
        <row r="7176">
          <cell r="I7176">
            <v>900100280</v>
          </cell>
          <cell r="J7176" t="str">
            <v>I.E. EL CARMEN</v>
          </cell>
          <cell r="K7176">
            <v>55066088</v>
          </cell>
        </row>
        <row r="7177">
          <cell r="I7177">
            <v>900101167</v>
          </cell>
          <cell r="J7177" t="str">
            <v>INSTITUCION EDUCATIVA SAN MIGUEL</v>
          </cell>
          <cell r="K7177">
            <v>18341876</v>
          </cell>
        </row>
        <row r="7178">
          <cell r="I7178">
            <v>900101923</v>
          </cell>
          <cell r="J7178" t="str">
            <v>INSTITUCION EDUCATIVA CONCENTRACION ESCOLAR GUILLERMO VALENCIA</v>
          </cell>
          <cell r="K7178">
            <v>52131991</v>
          </cell>
        </row>
        <row r="7179">
          <cell r="I7179">
            <v>900102130</v>
          </cell>
          <cell r="J7179" t="str">
            <v>INSTITUCIN EDUCATIVA RURAL MIGUEL PINEDO BARROS</v>
          </cell>
          <cell r="K7179">
            <v>70443684</v>
          </cell>
        </row>
        <row r="7180">
          <cell r="I7180">
            <v>900103308</v>
          </cell>
          <cell r="J7180" t="str">
            <v>Institucion Educativa Yarico</v>
          </cell>
          <cell r="K7180">
            <v>21730710</v>
          </cell>
        </row>
        <row r="7181">
          <cell r="I7181">
            <v>900103584</v>
          </cell>
          <cell r="J7181" t="str">
            <v>CENTRO EDUCATIVO ISCALA SUR</v>
          </cell>
          <cell r="K7181">
            <v>12421994</v>
          </cell>
        </row>
        <row r="7182">
          <cell r="I7182">
            <v>900103588</v>
          </cell>
          <cell r="J7182" t="str">
            <v>centro educativo palocolorado</v>
          </cell>
          <cell r="K7182">
            <v>11609159</v>
          </cell>
        </row>
        <row r="7183">
          <cell r="I7183">
            <v>900103616</v>
          </cell>
          <cell r="J7183" t="str">
            <v>CENTRO EDUCATIVO TIERRA SANTA</v>
          </cell>
          <cell r="K7183">
            <v>51251130</v>
          </cell>
        </row>
        <row r="7184">
          <cell r="I7184">
            <v>900103623</v>
          </cell>
          <cell r="J7184" t="str">
            <v>FONDO DE SERVICIO EDUCATIVO</v>
          </cell>
          <cell r="K7184">
            <v>23608440</v>
          </cell>
        </row>
        <row r="7185">
          <cell r="I7185">
            <v>900104013</v>
          </cell>
          <cell r="J7185" t="str">
            <v>centro educativo rural la victoria</v>
          </cell>
          <cell r="K7185">
            <v>15577860</v>
          </cell>
        </row>
        <row r="7186">
          <cell r="I7186">
            <v>900104030</v>
          </cell>
          <cell r="J7186" t="str">
            <v>FSE I.E. SAN ROQUE</v>
          </cell>
          <cell r="K7186">
            <v>56922104</v>
          </cell>
        </row>
        <row r="7187">
          <cell r="I7187">
            <v>900104352</v>
          </cell>
          <cell r="J7187" t="str">
            <v>Institución Educativa Nueva Era</v>
          </cell>
          <cell r="K7187">
            <v>24755854</v>
          </cell>
        </row>
        <row r="7188">
          <cell r="I7188">
            <v>900105947</v>
          </cell>
          <cell r="J7188" t="str">
            <v>INSTITUCION EDUCATIVA SANTO DOMINGO SAVIO</v>
          </cell>
          <cell r="K7188">
            <v>51394416</v>
          </cell>
        </row>
        <row r="7189">
          <cell r="I7189">
            <v>900106272</v>
          </cell>
          <cell r="J7189" t="str">
            <v>Fondo de Servicios Educativos Centro Educativo San Lorenzo de Orpua</v>
          </cell>
          <cell r="K7189">
            <v>11231732</v>
          </cell>
        </row>
        <row r="7190">
          <cell r="I7190">
            <v>900106454</v>
          </cell>
          <cell r="J7190" t="str">
            <v>CENTRO EDUCATIVO RURAL LIBANO</v>
          </cell>
          <cell r="K7190">
            <v>11017000</v>
          </cell>
        </row>
        <row r="7191">
          <cell r="I7191">
            <v>900107192</v>
          </cell>
          <cell r="J7191" t="str">
            <v>INSTITUCION EDUCATIVA GUSTAVO SALOM DE BARRANCA NUEVA</v>
          </cell>
          <cell r="K7191">
            <v>36263128</v>
          </cell>
        </row>
        <row r="7192">
          <cell r="I7192">
            <v>900107317</v>
          </cell>
          <cell r="J7192" t="str">
            <v>CENTRO EDUCATIVO EL CIELO</v>
          </cell>
          <cell r="K7192">
            <v>14368031</v>
          </cell>
        </row>
        <row r="7193">
          <cell r="I7193">
            <v>900108500</v>
          </cell>
          <cell r="J7193" t="str">
            <v>CENT EDUC RUR EL TARRA</v>
          </cell>
          <cell r="K7193">
            <v>22033036</v>
          </cell>
        </row>
        <row r="7194">
          <cell r="I7194">
            <v>900108503</v>
          </cell>
          <cell r="J7194" t="str">
            <v>CENT EDUC RUR LLANO ALTO</v>
          </cell>
          <cell r="K7194">
            <v>23456991</v>
          </cell>
        </row>
        <row r="7195">
          <cell r="I7195">
            <v>900108518</v>
          </cell>
          <cell r="J7195" t="str">
            <v>centro educativo rural el campanario</v>
          </cell>
          <cell r="K7195">
            <v>34293508</v>
          </cell>
        </row>
        <row r="7196">
          <cell r="I7196">
            <v>900109171</v>
          </cell>
          <cell r="J7196" t="str">
            <v>CENTRO EDUCATIVO EL MAMÓN</v>
          </cell>
          <cell r="K7196">
            <v>30948408</v>
          </cell>
        </row>
        <row r="7197">
          <cell r="I7197">
            <v>900110509</v>
          </cell>
          <cell r="J7197" t="str">
            <v>IER GRANIZADA - Copacabana</v>
          </cell>
          <cell r="K7197">
            <v>21695108</v>
          </cell>
        </row>
        <row r="7198">
          <cell r="I7198">
            <v>900110759</v>
          </cell>
          <cell r="J7198" t="str">
            <v>INSTITUCION EDCUCATIVA MUTATA</v>
          </cell>
          <cell r="K7198">
            <v>98929822</v>
          </cell>
        </row>
        <row r="7199">
          <cell r="I7199">
            <v>900110983</v>
          </cell>
          <cell r="J7199" t="str">
            <v>INSTITUCION EDUCATIVA CAO VIEJO PALOTAL</v>
          </cell>
          <cell r="K7199">
            <v>54232166</v>
          </cell>
        </row>
        <row r="7200">
          <cell r="I7200">
            <v>900111116</v>
          </cell>
          <cell r="J7200" t="str">
            <v>FONDO DE SERVICIOS EDUCATIVOS</v>
          </cell>
          <cell r="K7200">
            <v>16609344</v>
          </cell>
        </row>
        <row r="7201">
          <cell r="I7201">
            <v>900111769</v>
          </cell>
          <cell r="J7201" t="str">
            <v>INSTITUCION EDUCATIVA EL EBANO</v>
          </cell>
          <cell r="K7201">
            <v>35080053</v>
          </cell>
        </row>
        <row r="7202">
          <cell r="I7202">
            <v>900112062</v>
          </cell>
          <cell r="J7202" t="str">
            <v>institucion educativa agropecuaria san javier</v>
          </cell>
          <cell r="K7202">
            <v>11237829</v>
          </cell>
        </row>
        <row r="7203">
          <cell r="I7203">
            <v>900112222</v>
          </cell>
          <cell r="J7203" t="str">
            <v>Centro Educativo Laureles</v>
          </cell>
          <cell r="K7203">
            <v>52578393</v>
          </cell>
        </row>
        <row r="7204">
          <cell r="I7204">
            <v>900112513</v>
          </cell>
          <cell r="J7204" t="str">
            <v>INSTITUCION EDUCATIVA NUEVO PARAISO</v>
          </cell>
          <cell r="K7204">
            <v>37088397</v>
          </cell>
        </row>
        <row r="7205">
          <cell r="I7205">
            <v>900112681</v>
          </cell>
          <cell r="J7205" t="str">
            <v>CENTRO EDUCATIVO RURAL VALPARAISO</v>
          </cell>
          <cell r="K7205">
            <v>42185376</v>
          </cell>
        </row>
        <row r="7206">
          <cell r="I7206">
            <v>900113278</v>
          </cell>
          <cell r="J7206" t="str">
            <v>CENTRO EDUCATIVO EL CARMELO</v>
          </cell>
          <cell r="K7206">
            <v>8135875</v>
          </cell>
        </row>
        <row r="7207">
          <cell r="I7207">
            <v>900113511</v>
          </cell>
          <cell r="J7207" t="str">
            <v>INSTITUCION EDUCATIVA LA DEPRESIONA</v>
          </cell>
          <cell r="K7207">
            <v>15391937</v>
          </cell>
        </row>
        <row r="7208">
          <cell r="I7208">
            <v>900113702</v>
          </cell>
          <cell r="J7208" t="str">
            <v>INSTITUCION EDUCATIVA EL PALMAR</v>
          </cell>
          <cell r="K7208">
            <v>52046737</v>
          </cell>
        </row>
        <row r="7209">
          <cell r="I7209">
            <v>900114575</v>
          </cell>
          <cell r="J7209" t="str">
            <v>colegio codema institucion educativa distrital</v>
          </cell>
          <cell r="K7209">
            <v>191864505</v>
          </cell>
        </row>
        <row r="7210">
          <cell r="I7210">
            <v>900115047</v>
          </cell>
          <cell r="J7210" t="str">
            <v>CENTRO EDUCATIVO SABALITO ARRIBA</v>
          </cell>
          <cell r="K7210">
            <v>27455106</v>
          </cell>
        </row>
        <row r="7211">
          <cell r="I7211">
            <v>900115095</v>
          </cell>
          <cell r="J7211" t="str">
            <v>Centro Educativo Puerto Viejo</v>
          </cell>
          <cell r="K7211">
            <v>27109785</v>
          </cell>
        </row>
        <row r="7212">
          <cell r="I7212">
            <v>900115284</v>
          </cell>
          <cell r="J7212" t="str">
            <v>CENTRO EDUCATIVO BROQUELES</v>
          </cell>
          <cell r="K7212">
            <v>43238675</v>
          </cell>
        </row>
        <row r="7213">
          <cell r="I7213">
            <v>900115288</v>
          </cell>
          <cell r="J7213" t="str">
            <v>CENTRO EDUCATUVO EL LIBANO</v>
          </cell>
          <cell r="K7213">
            <v>16500132</v>
          </cell>
        </row>
        <row r="7214">
          <cell r="I7214">
            <v>900115908</v>
          </cell>
          <cell r="J7214" t="str">
            <v>INTERN NSTRA SRA DE FATIMA</v>
          </cell>
          <cell r="K7214">
            <v>418880072</v>
          </cell>
        </row>
        <row r="7215">
          <cell r="I7215">
            <v>900116600</v>
          </cell>
          <cell r="J7215" t="str">
            <v>IER ZOILA DUQUE BAENA - Abejorral</v>
          </cell>
          <cell r="K7215">
            <v>39192019</v>
          </cell>
        </row>
        <row r="7216">
          <cell r="I7216">
            <v>900117768</v>
          </cell>
          <cell r="J7216" t="str">
            <v>INSTITUCION EDUCATIVA PUNTA DE YANEZ</v>
          </cell>
          <cell r="K7216">
            <v>61474539</v>
          </cell>
        </row>
        <row r="7217">
          <cell r="I7217">
            <v>900118017</v>
          </cell>
          <cell r="J7217" t="str">
            <v>FSEColegio Ecológico de Floridablanca</v>
          </cell>
          <cell r="K7217">
            <v>74226602</v>
          </cell>
        </row>
        <row r="7218">
          <cell r="I7218">
            <v>900118041</v>
          </cell>
          <cell r="J7218" t="str">
            <v>CENTRO EDUCATIVO RURAL PIÑALITO</v>
          </cell>
          <cell r="K7218">
            <v>17823994</v>
          </cell>
        </row>
        <row r="7219">
          <cell r="I7219">
            <v>900118045</v>
          </cell>
          <cell r="J7219" t="str">
            <v>FONDO DE SERVICIOS EDUCATIVOS</v>
          </cell>
          <cell r="K7219">
            <v>13990783</v>
          </cell>
        </row>
        <row r="7220">
          <cell r="I7220">
            <v>900118692</v>
          </cell>
          <cell r="J7220" t="str">
            <v>Institución Educativa Juruvita</v>
          </cell>
          <cell r="K7220">
            <v>18017800</v>
          </cell>
        </row>
        <row r="7221">
          <cell r="I7221">
            <v>900119824</v>
          </cell>
          <cell r="J7221" t="str">
            <v>IE BETANIA</v>
          </cell>
          <cell r="K7221">
            <v>12948341</v>
          </cell>
        </row>
        <row r="7222">
          <cell r="I7222">
            <v>900119894</v>
          </cell>
          <cell r="J7222" t="str">
            <v>INSTITUCION EDUCATIVA POPALES</v>
          </cell>
          <cell r="K7222">
            <v>31469879</v>
          </cell>
        </row>
        <row r="7223">
          <cell r="I7223">
            <v>900120084</v>
          </cell>
          <cell r="J7223" t="str">
            <v>INSTITUCION EDUCATIVA NUESTRA SEÑORA DEL CARMEN</v>
          </cell>
          <cell r="K7223">
            <v>31943544</v>
          </cell>
        </row>
        <row r="7224">
          <cell r="I7224">
            <v>900120600</v>
          </cell>
          <cell r="J7224" t="str">
            <v>CENTRO EDUCATIVO RURAL LA ESMERALDA</v>
          </cell>
          <cell r="K7224">
            <v>36034462</v>
          </cell>
        </row>
        <row r="7225">
          <cell r="I7225">
            <v>900122284</v>
          </cell>
          <cell r="J7225" t="str">
            <v>INSTITUCION EDUCATIVA FRANCISCO EUTIMIO MUNERA</v>
          </cell>
          <cell r="K7225">
            <v>50411173</v>
          </cell>
        </row>
        <row r="7226">
          <cell r="I7226">
            <v>900122525</v>
          </cell>
          <cell r="J7226" t="str">
            <v>INSTITUCION EDUCATIVA MARRALU</v>
          </cell>
          <cell r="K7226">
            <v>20266064</v>
          </cell>
        </row>
        <row r="7227">
          <cell r="I7227">
            <v>900122571</v>
          </cell>
          <cell r="J7227" t="str">
            <v>INSTITUCION ETNOEDUCATIVA ETTE ENNAKA</v>
          </cell>
          <cell r="K7227">
            <v>43883131</v>
          </cell>
        </row>
        <row r="7228">
          <cell r="I7228">
            <v>900122910</v>
          </cell>
          <cell r="J7228" t="str">
            <v>CENT EDUC RUR BERTRANIA</v>
          </cell>
          <cell r="K7228">
            <v>29975884</v>
          </cell>
        </row>
        <row r="7229">
          <cell r="I7229">
            <v>900122990</v>
          </cell>
          <cell r="J7229" t="str">
            <v>IER BUENOS AIRES - Arboletes</v>
          </cell>
          <cell r="K7229">
            <v>72615119</v>
          </cell>
        </row>
        <row r="7230">
          <cell r="I7230">
            <v>900123620</v>
          </cell>
          <cell r="J7230" t="str">
            <v>CENTRO EDUCATIVO LA PRIMAVERA-PLANADAS-TOLIMA</v>
          </cell>
          <cell r="K7230">
            <v>24443617</v>
          </cell>
        </row>
        <row r="7231">
          <cell r="I7231">
            <v>900124358</v>
          </cell>
          <cell r="J7231" t="str">
            <v>CENTRO EDUCATIVO CANDELARIA ABAJO</v>
          </cell>
          <cell r="K7231">
            <v>8926462</v>
          </cell>
        </row>
        <row r="7232">
          <cell r="I7232">
            <v>900126080</v>
          </cell>
          <cell r="J7232" t="str">
            <v>CENTRO EDUCATIVO RURAL LA RADA</v>
          </cell>
          <cell r="K7232">
            <v>16764285</v>
          </cell>
        </row>
        <row r="7233">
          <cell r="I7233">
            <v>900127183</v>
          </cell>
          <cell r="J7233" t="str">
            <v>MUNICIPIO DE GUACHENE</v>
          </cell>
          <cell r="K7233">
            <v>183313480</v>
          </cell>
        </row>
        <row r="7234">
          <cell r="I7234">
            <v>900127214</v>
          </cell>
          <cell r="J7234" t="str">
            <v>INSTITUCION EDUCATIVA RETIRO DE LOS INDIOS</v>
          </cell>
          <cell r="K7234">
            <v>88396991</v>
          </cell>
        </row>
        <row r="7235">
          <cell r="I7235">
            <v>900127736</v>
          </cell>
          <cell r="J7235" t="str">
            <v>CENTRO EDUCATIVO LA SMUJERES</v>
          </cell>
          <cell r="K7235">
            <v>60264537</v>
          </cell>
        </row>
        <row r="7236">
          <cell r="I7236">
            <v>900127875</v>
          </cell>
          <cell r="J7236" t="str">
            <v>FONDO DE SERVICIOS EDUCATIVOS</v>
          </cell>
          <cell r="K7236">
            <v>10096050</v>
          </cell>
        </row>
        <row r="7237">
          <cell r="I7237">
            <v>900128047</v>
          </cell>
          <cell r="J7237" t="str">
            <v>INSTITUCION EDUCATIVA BAJO BLANCO</v>
          </cell>
          <cell r="K7237">
            <v>47414093</v>
          </cell>
        </row>
        <row r="7238">
          <cell r="I7238">
            <v>900128472</v>
          </cell>
          <cell r="J7238" t="str">
            <v>CUENTA ESPECIAL LORENCITA VILLEGAS DE SANTOS</v>
          </cell>
          <cell r="K7238">
            <v>312837553</v>
          </cell>
        </row>
        <row r="7239">
          <cell r="I7239">
            <v>900128680</v>
          </cell>
          <cell r="J7239" t="str">
            <v>Institución Educativa Alfonso Cordoba</v>
          </cell>
          <cell r="K7239">
            <v>9961546</v>
          </cell>
        </row>
        <row r="7240">
          <cell r="I7240">
            <v>900128991</v>
          </cell>
          <cell r="J7240" t="str">
            <v>CENTRO EDUCATIVO TRES PALMAS</v>
          </cell>
          <cell r="K7240">
            <v>28508821</v>
          </cell>
        </row>
        <row r="7241">
          <cell r="I7241">
            <v>900129126</v>
          </cell>
          <cell r="J7241" t="str">
            <v>CENTRO EDUCATIVO LA ESPERANZA</v>
          </cell>
          <cell r="K7241">
            <v>10234161</v>
          </cell>
        </row>
        <row r="7242">
          <cell r="I7242">
            <v>900129243</v>
          </cell>
          <cell r="J7242" t="str">
            <v>INSTITUCION EDUCATIVA EL TRIUNFO</v>
          </cell>
          <cell r="K7242">
            <v>17374079</v>
          </cell>
        </row>
        <row r="7243">
          <cell r="I7243">
            <v>900129385</v>
          </cell>
          <cell r="J7243" t="str">
            <v>centro educativo rural san jose de calasanz</v>
          </cell>
          <cell r="K7243">
            <v>45451651</v>
          </cell>
        </row>
        <row r="7244">
          <cell r="I7244">
            <v>900129463</v>
          </cell>
          <cell r="J7244" t="str">
            <v>CENTRO EDUCATIVO SAN JOSE DE LOMA VERDE</v>
          </cell>
          <cell r="K7244">
            <v>78476204</v>
          </cell>
        </row>
        <row r="7245">
          <cell r="I7245">
            <v>900129742</v>
          </cell>
          <cell r="J7245" t="str">
            <v>CENTRO EDUCATIVO NVA ESPERANZA</v>
          </cell>
          <cell r="K7245">
            <v>63554232</v>
          </cell>
        </row>
        <row r="7246">
          <cell r="I7246">
            <v>900129753</v>
          </cell>
          <cell r="J7246" t="str">
            <v>FONDO DE SERVICIOS EDUCATIVOS</v>
          </cell>
          <cell r="K7246">
            <v>38808234</v>
          </cell>
        </row>
        <row r="7247">
          <cell r="I7247">
            <v>900130173</v>
          </cell>
          <cell r="J7247" t="str">
            <v>CENTRO EDUCATIVO MONTERREY</v>
          </cell>
          <cell r="K7247">
            <v>30091250</v>
          </cell>
        </row>
        <row r="7248">
          <cell r="I7248">
            <v>900130258</v>
          </cell>
          <cell r="J7248" t="str">
            <v>INSTITUCION EDUCATIVA MANUELA BELTRAN</v>
          </cell>
          <cell r="K7248">
            <v>86265138</v>
          </cell>
        </row>
        <row r="7249">
          <cell r="I7249">
            <v>900130537</v>
          </cell>
          <cell r="J7249" t="str">
            <v>Institucion Educativa Iraca</v>
          </cell>
          <cell r="K7249">
            <v>85996799</v>
          </cell>
        </row>
        <row r="7250">
          <cell r="I7250">
            <v>900130725</v>
          </cell>
          <cell r="J7250" t="str">
            <v>INSTITUCION EDUCATIVA DISTRITAL JOSE ANTONIO GALAN</v>
          </cell>
          <cell r="K7250">
            <v>77887201</v>
          </cell>
        </row>
        <row r="7251">
          <cell r="I7251">
            <v>900131302</v>
          </cell>
          <cell r="J7251" t="str">
            <v>INSTITUCION EDUCATIVA NAGUATA FSE</v>
          </cell>
          <cell r="K7251">
            <v>19202694</v>
          </cell>
        </row>
        <row r="7252">
          <cell r="I7252">
            <v>900131562</v>
          </cell>
          <cell r="J7252" t="str">
            <v>CTO EL DIAMANTE</v>
          </cell>
          <cell r="K7252">
            <v>25262639</v>
          </cell>
        </row>
        <row r="7253">
          <cell r="I7253">
            <v>900131758</v>
          </cell>
          <cell r="J7253" t="str">
            <v>FONDO DE SERVICIOS EDUCATIVOS</v>
          </cell>
          <cell r="K7253">
            <v>23194870</v>
          </cell>
        </row>
        <row r="7254">
          <cell r="I7254">
            <v>900131774</v>
          </cell>
          <cell r="J7254" t="str">
            <v>INSTITUCION EDUCATIVA DISTRITAL LA UNION</v>
          </cell>
          <cell r="K7254">
            <v>70858546</v>
          </cell>
        </row>
        <row r="7255">
          <cell r="I7255">
            <v>900132278</v>
          </cell>
          <cell r="J7255" t="str">
            <v>Institución Educativa Loma Bajo</v>
          </cell>
          <cell r="K7255">
            <v>24071263</v>
          </cell>
        </row>
        <row r="7256">
          <cell r="I7256">
            <v>900132451</v>
          </cell>
          <cell r="J7256" t="str">
            <v>INSTITUCION EDUCATIVA DISTRITAL REUVEN FEUERSTEN</v>
          </cell>
          <cell r="K7256">
            <v>63705250</v>
          </cell>
        </row>
        <row r="7257">
          <cell r="I7257">
            <v>900132830</v>
          </cell>
          <cell r="J7257" t="str">
            <v>INSTITUCION EDUCATIVA DEPARTAMENTAL JUAN LUIS LONDOÑO</v>
          </cell>
          <cell r="K7257">
            <v>162976906</v>
          </cell>
        </row>
        <row r="7258">
          <cell r="I7258">
            <v>900133138</v>
          </cell>
          <cell r="J7258" t="str">
            <v>CENTRO EDUCATIVO LA MANTA</v>
          </cell>
          <cell r="K7258">
            <v>44598842</v>
          </cell>
        </row>
        <row r="7259">
          <cell r="I7259">
            <v>900134298</v>
          </cell>
          <cell r="J7259" t="str">
            <v>Centro Educativo Rural Jose Maria Guioth</v>
          </cell>
          <cell r="K7259">
            <v>22870743</v>
          </cell>
        </row>
        <row r="7260">
          <cell r="I7260">
            <v>900134325</v>
          </cell>
          <cell r="J7260" t="str">
            <v>Centro Educativo El Chicho</v>
          </cell>
          <cell r="K7260">
            <v>10127489</v>
          </cell>
        </row>
        <row r="7261">
          <cell r="I7261">
            <v>900134794</v>
          </cell>
          <cell r="J7261" t="str">
            <v>Fondo de Servicios Educativos Institución Educativa Agropecuaria Francisco Pizarro</v>
          </cell>
          <cell r="K7261">
            <v>90172145</v>
          </cell>
        </row>
        <row r="7262">
          <cell r="I7262">
            <v>900135035</v>
          </cell>
          <cell r="J7262" t="str">
            <v>INSTITUCION EDUCATIVA PIEDRA DE LEON</v>
          </cell>
          <cell r="K7262">
            <v>20773326</v>
          </cell>
        </row>
        <row r="7263">
          <cell r="I7263">
            <v>900135193</v>
          </cell>
          <cell r="J7263" t="str">
            <v>CENTRO EDUCACTIVO QUEBRADA DE BECERRAS</v>
          </cell>
          <cell r="K7263">
            <v>15903443</v>
          </cell>
        </row>
        <row r="7264">
          <cell r="I7264">
            <v>900135207</v>
          </cell>
          <cell r="J7264" t="str">
            <v>INSTITUCION EDUCATIVA GABRIELA MISTRAL</v>
          </cell>
          <cell r="K7264">
            <v>37816118</v>
          </cell>
        </row>
        <row r="7265">
          <cell r="I7265">
            <v>900135582</v>
          </cell>
          <cell r="J7265" t="str">
            <v>Escuela Rural Sabanetica</v>
          </cell>
          <cell r="K7265">
            <v>12289232</v>
          </cell>
        </row>
        <row r="7266">
          <cell r="I7266">
            <v>900135719</v>
          </cell>
          <cell r="J7266" t="str">
            <v>FONDO DE SERVICIOS EDUCATIVOS</v>
          </cell>
          <cell r="K7266">
            <v>20531062</v>
          </cell>
        </row>
        <row r="7267">
          <cell r="I7267">
            <v>900135723</v>
          </cell>
          <cell r="J7267" t="str">
            <v>INSTITUCION EDUCATIVA COMUNEROS</v>
          </cell>
          <cell r="K7267">
            <v>31696328</v>
          </cell>
        </row>
        <row r="7268">
          <cell r="I7268">
            <v>900136733</v>
          </cell>
          <cell r="J7268" t="str">
            <v>INSTITUCION EDUCATIVA SIMON BOLIVAR DE OREJERO</v>
          </cell>
          <cell r="K7268">
            <v>14208952</v>
          </cell>
        </row>
        <row r="7269">
          <cell r="I7269">
            <v>900136822</v>
          </cell>
          <cell r="J7269" t="str">
            <v>FONDO DE SERVICIOS EDUCATIVOS INSTITUCION SUPANECA</v>
          </cell>
          <cell r="K7269">
            <v>27942416</v>
          </cell>
        </row>
        <row r="7270">
          <cell r="I7270">
            <v>900137396</v>
          </cell>
          <cell r="J7270" t="str">
            <v>INSTITUCION EDUCATIVA COLEGIO LA NUEVA FAMILIA</v>
          </cell>
          <cell r="K7270">
            <v>59856456</v>
          </cell>
        </row>
        <row r="7271">
          <cell r="I7271">
            <v>900137504</v>
          </cell>
          <cell r="J7271" t="str">
            <v>INSTITUTO DE EDUCACION TECNICA INDUSTRIAL SAN ANTONIO</v>
          </cell>
          <cell r="K7271">
            <v>219012596</v>
          </cell>
        </row>
        <row r="7272">
          <cell r="I7272">
            <v>900137527</v>
          </cell>
          <cell r="J7272" t="str">
            <v>INSTITUCION EDUCATIVA OJO DE AGUA</v>
          </cell>
          <cell r="K7272">
            <v>10283932</v>
          </cell>
        </row>
        <row r="7273">
          <cell r="I7273">
            <v>900137553</v>
          </cell>
          <cell r="J7273" t="str">
            <v>Institucion Educativa Nuestra Señora del Rosario</v>
          </cell>
          <cell r="K7273">
            <v>38581656</v>
          </cell>
        </row>
        <row r="7274">
          <cell r="I7274">
            <v>900137907</v>
          </cell>
          <cell r="J7274" t="str">
            <v>I.E. PLAN PAREJO</v>
          </cell>
          <cell r="K7274">
            <v>14645762</v>
          </cell>
        </row>
        <row r="7275">
          <cell r="I7275">
            <v>900138341</v>
          </cell>
          <cell r="J7275" t="str">
            <v>INSTITUCIÓN EDUCATIVA ANDRÉS ROMERO ARÉVALO</v>
          </cell>
          <cell r="K7275">
            <v>16100406</v>
          </cell>
        </row>
        <row r="7276">
          <cell r="I7276">
            <v>900138611</v>
          </cell>
          <cell r="J7276" t="str">
            <v>Fondo de Servicios Educativos Institución Educativa Escuela Normal Superior La Inmaculada</v>
          </cell>
          <cell r="K7276">
            <v>33511699</v>
          </cell>
        </row>
        <row r="7277">
          <cell r="I7277">
            <v>900138639</v>
          </cell>
          <cell r="J7277" t="str">
            <v>CENTRO EDUCATIVO CIENAGUITA</v>
          </cell>
          <cell r="K7277">
            <v>12838265</v>
          </cell>
        </row>
        <row r="7278">
          <cell r="I7278">
            <v>900138965</v>
          </cell>
          <cell r="J7278" t="str">
            <v>Fondo de Servicios Educativos Intitucion Educativa Corazón de Maria</v>
          </cell>
          <cell r="K7278">
            <v>42376554</v>
          </cell>
        </row>
        <row r="7279">
          <cell r="I7279">
            <v>900139055</v>
          </cell>
          <cell r="J7279" t="str">
            <v>INSTITUCION EDUCATIVA VERSALLES</v>
          </cell>
          <cell r="K7279">
            <v>26300487</v>
          </cell>
        </row>
        <row r="7280">
          <cell r="I7280">
            <v>900139145</v>
          </cell>
          <cell r="J7280" t="str">
            <v>INSTITUCION EDUCATIVA  GUITOQUE</v>
          </cell>
          <cell r="K7280">
            <v>10326162</v>
          </cell>
        </row>
        <row r="7281">
          <cell r="I7281">
            <v>900140881</v>
          </cell>
          <cell r="J7281" t="str">
            <v>CE SIUKARO</v>
          </cell>
          <cell r="K7281">
            <v>12368548</v>
          </cell>
        </row>
        <row r="7282">
          <cell r="I7282">
            <v>900140979</v>
          </cell>
          <cell r="J7282" t="str">
            <v>CENTRO EDUCATIVO ALTO DE JULIO</v>
          </cell>
          <cell r="K7282">
            <v>10219048</v>
          </cell>
        </row>
        <row r="7283">
          <cell r="I7283">
            <v>900141147</v>
          </cell>
          <cell r="J7283" t="str">
            <v>INSTITUCION EDUCATIVA DEPARTAMENTAL DE BASICA Y MEDIA DE CONCORDIA</v>
          </cell>
          <cell r="K7283">
            <v>73833807</v>
          </cell>
        </row>
        <row r="7284">
          <cell r="I7284">
            <v>900141165</v>
          </cell>
          <cell r="J7284" t="str">
            <v>CENTRO EDUCATIVO EL CERRO</v>
          </cell>
          <cell r="K7284">
            <v>11316236</v>
          </cell>
        </row>
        <row r="7285">
          <cell r="I7285">
            <v>900142297</v>
          </cell>
          <cell r="J7285" t="str">
            <v>FONDO DE SERVICIOS EDUCATIVOS</v>
          </cell>
          <cell r="K7285">
            <v>13887388</v>
          </cell>
        </row>
        <row r="7286">
          <cell r="I7286">
            <v>900143146</v>
          </cell>
          <cell r="J7286" t="str">
            <v>CENTRO EDUCATIVO POZO NUTRIA DOS</v>
          </cell>
          <cell r="K7286">
            <v>57336950</v>
          </cell>
        </row>
        <row r="7287">
          <cell r="I7287">
            <v>900143276</v>
          </cell>
          <cell r="J7287" t="str">
            <v>fondo de servicios educativos del colegio gabriel betancourt mejia</v>
          </cell>
          <cell r="K7287">
            <v>289706912</v>
          </cell>
        </row>
        <row r="7288">
          <cell r="I7288">
            <v>900143695</v>
          </cell>
          <cell r="J7288" t="str">
            <v>CENT EDUC RUR BUENOS AIRES</v>
          </cell>
          <cell r="K7288">
            <v>11648528</v>
          </cell>
        </row>
        <row r="7289">
          <cell r="I7289">
            <v>900144464</v>
          </cell>
          <cell r="J7289" t="str">
            <v>centro Educativo Rural Nueva Antioquia</v>
          </cell>
          <cell r="K7289">
            <v>59597915</v>
          </cell>
        </row>
        <row r="7290">
          <cell r="I7290">
            <v>900144471</v>
          </cell>
          <cell r="J7290" t="str">
            <v>INSTITUCION EDUCATIVA COLEGIO MONSEÑOR DIAZ PLATA</v>
          </cell>
          <cell r="K7290">
            <v>185456787</v>
          </cell>
        </row>
        <row r="7291">
          <cell r="I7291">
            <v>900144490</v>
          </cell>
          <cell r="J7291" t="str">
            <v>IER LA INMACULADA CAUCHERAS - Mutatá</v>
          </cell>
          <cell r="K7291">
            <v>67751902</v>
          </cell>
        </row>
        <row r="7292">
          <cell r="I7292">
            <v>900146083</v>
          </cell>
          <cell r="J7292" t="str">
            <v>INSTITUCION EDUCATIVA CASAS BAJAS</v>
          </cell>
          <cell r="K7292">
            <v>36930581</v>
          </cell>
        </row>
        <row r="7293">
          <cell r="I7293">
            <v>900147306</v>
          </cell>
          <cell r="J7293" t="str">
            <v>FONDO DE SERVICIOS EDUCATIVOS</v>
          </cell>
          <cell r="K7293">
            <v>12049833</v>
          </cell>
        </row>
        <row r="7294">
          <cell r="I7294">
            <v>900147345</v>
          </cell>
          <cell r="J7294" t="str">
            <v>I.E. BATEAS</v>
          </cell>
          <cell r="K7294">
            <v>52293339</v>
          </cell>
        </row>
        <row r="7295">
          <cell r="I7295">
            <v>900147443</v>
          </cell>
          <cell r="J7295" t="str">
            <v>INSTITUCION EDUCATIVA LA CUEVA</v>
          </cell>
          <cell r="K7295">
            <v>54131666</v>
          </cell>
        </row>
        <row r="7296">
          <cell r="I7296">
            <v>900147456</v>
          </cell>
          <cell r="J7296" t="str">
            <v>C. ED. EL MILAGROSO DEL COCO</v>
          </cell>
          <cell r="K7296">
            <v>14107694</v>
          </cell>
        </row>
        <row r="7297">
          <cell r="I7297">
            <v>900147461</v>
          </cell>
          <cell r="J7297" t="str">
            <v>CENTRO EDUCATIVO SANTISIMA CRUZ DE HUIRA</v>
          </cell>
          <cell r="K7297">
            <v>13063039</v>
          </cell>
        </row>
        <row r="7298">
          <cell r="I7298">
            <v>900147593</v>
          </cell>
          <cell r="J7298" t="str">
            <v>CENTRO EDUCATIVO TREMENTINO ARRIBA</v>
          </cell>
          <cell r="K7298">
            <v>38115263</v>
          </cell>
        </row>
        <row r="7299">
          <cell r="I7299">
            <v>900147789</v>
          </cell>
          <cell r="J7299" t="str">
            <v>INSTITUCION EDUCATIVA PADUA</v>
          </cell>
          <cell r="K7299">
            <v>15792259</v>
          </cell>
        </row>
        <row r="7300">
          <cell r="I7300">
            <v>900148121</v>
          </cell>
          <cell r="J7300" t="str">
            <v>INSTITUCION EDUCATIVA SAN MIGUEL ABAJO</v>
          </cell>
          <cell r="K7300">
            <v>65648599</v>
          </cell>
        </row>
        <row r="7301">
          <cell r="I7301">
            <v>900148691</v>
          </cell>
          <cell r="J7301" t="str">
            <v>CE SAN JOSE DE LA POYATA</v>
          </cell>
          <cell r="K7301">
            <v>8351664</v>
          </cell>
        </row>
        <row r="7302">
          <cell r="I7302">
            <v>900148710</v>
          </cell>
          <cell r="J7302" t="str">
            <v>Centro Educativo Francisco de Paula Santander</v>
          </cell>
          <cell r="K7302">
            <v>22621465</v>
          </cell>
        </row>
        <row r="7303">
          <cell r="I7303">
            <v>900148736</v>
          </cell>
          <cell r="J7303" t="str">
            <v>INSTITUCION EDUCATIVA DISTRITAL MANUEL ZAPATA OLIVELLA</v>
          </cell>
          <cell r="K7303">
            <v>63046402</v>
          </cell>
        </row>
        <row r="7304">
          <cell r="I7304">
            <v>900149112</v>
          </cell>
          <cell r="J7304" t="str">
            <v>CENTRO EDUCATIVO LA RICO KM TREINTA</v>
          </cell>
          <cell r="K7304">
            <v>11896458</v>
          </cell>
        </row>
        <row r="7305">
          <cell r="I7305">
            <v>900149453</v>
          </cell>
          <cell r="J7305" t="str">
            <v>INSTITUCION EDUCATIVA EL DESEO</v>
          </cell>
          <cell r="K7305">
            <v>15912154</v>
          </cell>
        </row>
        <row r="7306">
          <cell r="I7306">
            <v>900149826</v>
          </cell>
          <cell r="J7306" t="str">
            <v>FONDO DE SERVICIO EDUCATIVO CENT EDUC AGUALASAL</v>
          </cell>
          <cell r="K7306">
            <v>21507150</v>
          </cell>
        </row>
        <row r="7307">
          <cell r="I7307">
            <v>900149845</v>
          </cell>
          <cell r="J7307" t="str">
            <v>INSTITUCION EDUCATIVA  TEGUANEQUE</v>
          </cell>
          <cell r="K7307">
            <v>15989704</v>
          </cell>
        </row>
        <row r="7308">
          <cell r="I7308">
            <v>900149920</v>
          </cell>
          <cell r="J7308" t="str">
            <v>Intitucion Educativa Agricola de Bojayá Fondo de Servicios Educativos</v>
          </cell>
          <cell r="K7308">
            <v>43937104</v>
          </cell>
        </row>
        <row r="7309">
          <cell r="I7309">
            <v>900149994</v>
          </cell>
          <cell r="J7309" t="str">
            <v>CENTRO EDUCATIVO LA BAMBA</v>
          </cell>
          <cell r="K7309">
            <v>10170216</v>
          </cell>
        </row>
        <row r="7310">
          <cell r="I7310">
            <v>900150444</v>
          </cell>
          <cell r="J7310" t="str">
            <v>CENTRO EDUCATIVO NUESTRA SEÑORA DEL ROSARIO</v>
          </cell>
          <cell r="K7310">
            <v>11859370</v>
          </cell>
        </row>
        <row r="7311">
          <cell r="I7311">
            <v>900150870</v>
          </cell>
          <cell r="J7311" t="str">
            <v>CENTRO EDUCATIVO EL TAMBO</v>
          </cell>
          <cell r="K7311">
            <v>10407396</v>
          </cell>
        </row>
        <row r="7312">
          <cell r="I7312">
            <v>900150949</v>
          </cell>
          <cell r="J7312" t="str">
            <v>institucion educativa altavista- san luis</v>
          </cell>
          <cell r="K7312">
            <v>31003209</v>
          </cell>
        </row>
        <row r="7313">
          <cell r="I7313">
            <v>900151026</v>
          </cell>
          <cell r="J7313" t="str">
            <v>CENTRO EDUCATIVO ALTO CUARENTA</v>
          </cell>
          <cell r="K7313">
            <v>13740586</v>
          </cell>
        </row>
        <row r="7314">
          <cell r="I7314">
            <v>900151353</v>
          </cell>
          <cell r="J7314" t="str">
            <v>FSE COLEGIO PAULO FREIRE INSTITUTO</v>
          </cell>
          <cell r="K7314">
            <v>217788223</v>
          </cell>
        </row>
        <row r="7315">
          <cell r="I7315">
            <v>900151603</v>
          </cell>
          <cell r="J7315" t="str">
            <v>CENTRO EDUCATIVO ALTO PEÑAS BLANCAS</v>
          </cell>
          <cell r="K7315">
            <v>12222763</v>
          </cell>
        </row>
        <row r="7316">
          <cell r="I7316">
            <v>900151912</v>
          </cell>
          <cell r="J7316" t="str">
            <v>I.E.D MONTECRISTO</v>
          </cell>
          <cell r="K7316">
            <v>1829164</v>
          </cell>
        </row>
        <row r="7317">
          <cell r="I7317">
            <v>900152381</v>
          </cell>
          <cell r="J7317" t="str">
            <v>FONDO DE SERVICIO EDUCATIVO CENT EDUC ESC RURAL EL CARMEN DE TONCHALA</v>
          </cell>
          <cell r="K7317">
            <v>29044506</v>
          </cell>
        </row>
        <row r="7318">
          <cell r="I7318">
            <v>900152645</v>
          </cell>
          <cell r="J7318" t="str">
            <v>INSTITUTO TECNICO AMBIENTAL SAN MATEO</v>
          </cell>
          <cell r="K7318">
            <v>132794845</v>
          </cell>
        </row>
        <row r="7319">
          <cell r="I7319">
            <v>900152819</v>
          </cell>
          <cell r="J7319" t="str">
            <v>CENTRO EDUCATIVO VILLANUEVA</v>
          </cell>
          <cell r="K7319">
            <v>70934465</v>
          </cell>
        </row>
        <row r="7320">
          <cell r="I7320">
            <v>900153015</v>
          </cell>
          <cell r="J7320" t="str">
            <v>FSE COLEGIO CARLO FEDERICI</v>
          </cell>
          <cell r="K7320">
            <v>165835560</v>
          </cell>
        </row>
        <row r="7321">
          <cell r="I7321">
            <v>900153054</v>
          </cell>
          <cell r="J7321" t="str">
            <v>institución educativa los uvales piendamó</v>
          </cell>
          <cell r="K7321">
            <v>25076586</v>
          </cell>
        </row>
        <row r="7322">
          <cell r="I7322">
            <v>900153184</v>
          </cell>
          <cell r="J7322" t="str">
            <v>FONDOS DE SERVICIOS EDUCATIVOS CENTRO EDUCATIVO LA FLORIDA</v>
          </cell>
          <cell r="K7322">
            <v>18144462</v>
          </cell>
        </row>
        <row r="7323">
          <cell r="I7323">
            <v>900153719</v>
          </cell>
          <cell r="J7323" t="str">
            <v>CER KILOMETRO 18 - Caucasia</v>
          </cell>
          <cell r="K7323">
            <v>14049748</v>
          </cell>
        </row>
        <row r="7324">
          <cell r="I7324">
            <v>900153730</v>
          </cell>
          <cell r="J7324" t="str">
            <v>CER VEINTE DE JULIO (D) - Caucasia</v>
          </cell>
          <cell r="K7324">
            <v>12926540</v>
          </cell>
        </row>
        <row r="7325">
          <cell r="I7325">
            <v>900154059</v>
          </cell>
          <cell r="J7325" t="str">
            <v>Fondo de Servicios Educativos Intitucion Educativa  Antonio Abad Hinestroza Mena de Yuto</v>
          </cell>
          <cell r="K7325">
            <v>80932037</v>
          </cell>
        </row>
        <row r="7326">
          <cell r="I7326">
            <v>900154152</v>
          </cell>
          <cell r="J7326" t="str">
            <v>Fondo de Servicios Educativos Centro Educativo Maria Auxiliadora de Isla Mono</v>
          </cell>
          <cell r="K7326">
            <v>11015549</v>
          </cell>
        </row>
        <row r="7327">
          <cell r="I7327">
            <v>900154288</v>
          </cell>
          <cell r="J7327" t="str">
            <v>Centro educativo MARIA AUXILIADORA DE CUCURRUPI - Fondo de Servicios Educativos</v>
          </cell>
          <cell r="K7327">
            <v>54879215</v>
          </cell>
        </row>
        <row r="7328">
          <cell r="I7328">
            <v>900154368</v>
          </cell>
          <cell r="J7328" t="str">
            <v>INTITUCION EDUCATIVATECNICA LA AMISTAD BOLIVARIANA</v>
          </cell>
          <cell r="K7328">
            <v>14556599</v>
          </cell>
        </row>
        <row r="7329">
          <cell r="I7329">
            <v>900154630</v>
          </cell>
          <cell r="J7329" t="str">
            <v>CENTRO EDUCATIVO SANTO DOMINGO</v>
          </cell>
          <cell r="K7329">
            <v>40320314</v>
          </cell>
        </row>
        <row r="7330">
          <cell r="I7330">
            <v>900154665</v>
          </cell>
          <cell r="J7330" t="str">
            <v>institucion educativa rio hondo</v>
          </cell>
          <cell r="K7330">
            <v>14595084</v>
          </cell>
        </row>
        <row r="7331">
          <cell r="I7331">
            <v>900155137</v>
          </cell>
          <cell r="J7331" t="str">
            <v>INSTITUCION EDUCATIVA FILIPINAS</v>
          </cell>
          <cell r="K7331">
            <v>37491159</v>
          </cell>
        </row>
        <row r="7332">
          <cell r="I7332">
            <v>900155245</v>
          </cell>
          <cell r="J7332" t="str">
            <v>INSTITUCION EDUCATIVA MARIA AUXILOIADORA</v>
          </cell>
          <cell r="K7332">
            <v>34273897</v>
          </cell>
        </row>
        <row r="7333">
          <cell r="I7333">
            <v>900155525</v>
          </cell>
          <cell r="J7333" t="str">
            <v>CENTRO EDUCATIVO PENAS  BLANCAS</v>
          </cell>
          <cell r="K7333">
            <v>9307500</v>
          </cell>
        </row>
        <row r="7334">
          <cell r="I7334">
            <v>900155728</v>
          </cell>
          <cell r="J7334" t="str">
            <v>INSTITUCION EDUCATIVA AGROPECUARIA MANUEL E RIVAS LOBON</v>
          </cell>
          <cell r="K7334">
            <v>77585566</v>
          </cell>
        </row>
        <row r="7335">
          <cell r="I7335">
            <v>900156162</v>
          </cell>
          <cell r="J7335" t="str">
            <v>FONDO DE SERVICIOS DOCENTES DE SAN PEDRO</v>
          </cell>
          <cell r="K7335">
            <v>20199340</v>
          </cell>
        </row>
        <row r="7336">
          <cell r="I7336">
            <v>900156314</v>
          </cell>
          <cell r="J7336" t="str">
            <v>IER VEGAS DE SEGOVIA - Zaragoza</v>
          </cell>
          <cell r="K7336">
            <v>42082898</v>
          </cell>
        </row>
        <row r="7337">
          <cell r="I7337">
            <v>900156845</v>
          </cell>
          <cell r="J7337" t="str">
            <v>centro educativo llano grande</v>
          </cell>
          <cell r="K7337">
            <v>12807544</v>
          </cell>
        </row>
        <row r="7338">
          <cell r="I7338">
            <v>900157308</v>
          </cell>
          <cell r="J7338" t="str">
            <v>IE LUIS FERNANDO RESTREPO RESTREPO - Zaragoza</v>
          </cell>
          <cell r="K7338">
            <v>67234566</v>
          </cell>
        </row>
        <row r="7339">
          <cell r="I7339">
            <v>900158287</v>
          </cell>
          <cell r="J7339" t="str">
            <v>institución educativa pisitao grande san miguel</v>
          </cell>
          <cell r="K7339">
            <v>22823714</v>
          </cell>
        </row>
        <row r="7340">
          <cell r="I7340">
            <v>900159118</v>
          </cell>
          <cell r="J7340" t="str">
            <v>CENTRO EDUCATIVO LA CABAÑITA</v>
          </cell>
          <cell r="K7340">
            <v>14452332</v>
          </cell>
        </row>
        <row r="7341">
          <cell r="I7341">
            <v>900159976</v>
          </cell>
          <cell r="J7341" t="str">
            <v>CENTRO EDUCATIVO EL REPOSO</v>
          </cell>
          <cell r="K7341">
            <v>39259522</v>
          </cell>
        </row>
        <row r="7342">
          <cell r="I7342">
            <v>900160678</v>
          </cell>
          <cell r="J7342" t="str">
            <v>IE RUR ANTONIO NARI?O</v>
          </cell>
          <cell r="K7342">
            <v>16264164</v>
          </cell>
        </row>
        <row r="7343">
          <cell r="I7343">
            <v>900160866</v>
          </cell>
          <cell r="J7343" t="str">
            <v>FONDO DE SERVICIOS EDUCATIVOS</v>
          </cell>
          <cell r="K7343">
            <v>14910836</v>
          </cell>
        </row>
        <row r="7344">
          <cell r="I7344">
            <v>900161087</v>
          </cell>
          <cell r="J7344" t="str">
            <v>INSTITUCION EDUCATIVA LLANA DE LA TIGRA</v>
          </cell>
          <cell r="K7344">
            <v>22183676</v>
          </cell>
        </row>
        <row r="7345">
          <cell r="I7345">
            <v>900162027</v>
          </cell>
          <cell r="J7345" t="str">
            <v>INSTITUCION EDUCATIVA LA RISALDA</v>
          </cell>
          <cell r="K7345">
            <v>51366009</v>
          </cell>
        </row>
        <row r="7346">
          <cell r="I7346">
            <v>900162532</v>
          </cell>
          <cell r="J7346" t="str">
            <v>Fondo de Servicios Educativos Institución Educativa La Presentación</v>
          </cell>
          <cell r="K7346">
            <v>44139116</v>
          </cell>
        </row>
        <row r="7347">
          <cell r="I7347">
            <v>900163138</v>
          </cell>
          <cell r="J7347" t="str">
            <v>Fondo de Servicios Educativos Intitucion Educativa  Agroecologico de Atrato de Lloro</v>
          </cell>
          <cell r="K7347">
            <v>82650365</v>
          </cell>
        </row>
        <row r="7348">
          <cell r="I7348">
            <v>900163352</v>
          </cell>
          <cell r="J7348" t="str">
            <v>CENTRO EDUCATIVO LA MARIA</v>
          </cell>
          <cell r="K7348">
            <v>13764965</v>
          </cell>
        </row>
        <row r="7349">
          <cell r="I7349">
            <v>900163519</v>
          </cell>
          <cell r="J7349" t="str">
            <v>CENTRO EDUCATIVO RURAL JOSE HILARIO LOPEZ</v>
          </cell>
          <cell r="K7349">
            <v>17171990</v>
          </cell>
        </row>
        <row r="7350">
          <cell r="I7350">
            <v>900164111</v>
          </cell>
          <cell r="J7350" t="str">
            <v>IER KARMATARÚA - Jardín</v>
          </cell>
          <cell r="K7350">
            <v>27978685</v>
          </cell>
        </row>
        <row r="7351">
          <cell r="I7351">
            <v>900164140</v>
          </cell>
          <cell r="J7351" t="str">
            <v>CER EL PUEBLITO - Yarumal</v>
          </cell>
          <cell r="K7351">
            <v>10266155</v>
          </cell>
        </row>
        <row r="7352">
          <cell r="I7352">
            <v>900164218</v>
          </cell>
          <cell r="J7352" t="str">
            <v>Fondo de Servicios Educativos Institución Educativa Cesar Conto</v>
          </cell>
          <cell r="K7352">
            <v>59436446</v>
          </cell>
        </row>
        <row r="7353">
          <cell r="I7353">
            <v>900164239</v>
          </cell>
          <cell r="J7353" t="str">
            <v>Fondo de Servicios Educativos Institución Educativa Robinson Palacios de Napipí</v>
          </cell>
          <cell r="K7353">
            <v>32931382</v>
          </cell>
        </row>
        <row r="7354">
          <cell r="I7354">
            <v>900164572</v>
          </cell>
          <cell r="J7354" t="str">
            <v>INSTITUCION  EDUCATIVA  ARMANDO LUNA ROA</v>
          </cell>
          <cell r="K7354">
            <v>74381257</v>
          </cell>
        </row>
        <row r="7355">
          <cell r="I7355">
            <v>900164764</v>
          </cell>
          <cell r="J7355" t="str">
            <v>FONDO DE SERVICIOS EDUCATIVOS DE LA INSTITUCION EDUCATIVA SANTA TERESA</v>
          </cell>
          <cell r="K7355">
            <v>24902467</v>
          </cell>
        </row>
        <row r="7356">
          <cell r="I7356">
            <v>900164936</v>
          </cell>
          <cell r="J7356" t="str">
            <v>INSTITUCION EDUCATIVA NUESTRA SENORA DE LA POBREZA</v>
          </cell>
          <cell r="K7356">
            <v>109652334</v>
          </cell>
        </row>
        <row r="7357">
          <cell r="I7357">
            <v>900164968</v>
          </cell>
          <cell r="J7357" t="str">
            <v>CENTRO EDUCATIVO DE CARACOLI</v>
          </cell>
          <cell r="K7357">
            <v>68578037</v>
          </cell>
        </row>
        <row r="7358">
          <cell r="I7358">
            <v>900165204</v>
          </cell>
          <cell r="J7358" t="str">
            <v>INSTITUCION EDUCATIVA MARCO FIDEL SUAREZ</v>
          </cell>
          <cell r="K7358">
            <v>51736949</v>
          </cell>
        </row>
        <row r="7359">
          <cell r="I7359">
            <v>900165759</v>
          </cell>
          <cell r="J7359" t="str">
            <v>CENT EDUC RUR MONTECRISTO</v>
          </cell>
          <cell r="K7359">
            <v>16401357</v>
          </cell>
        </row>
        <row r="7360">
          <cell r="I7360">
            <v>900166262</v>
          </cell>
          <cell r="J7360" t="str">
            <v>INSTITUCION EDUCATIVA FRANCISCO DE ORELLANA</v>
          </cell>
          <cell r="K7360">
            <v>79266948</v>
          </cell>
        </row>
        <row r="7361">
          <cell r="I7361">
            <v>900167733</v>
          </cell>
          <cell r="J7361" t="str">
            <v>COLEGIO CARLOS PIZARRO LEON-GOMEZ</v>
          </cell>
          <cell r="K7361">
            <v>326654098</v>
          </cell>
        </row>
        <row r="7362">
          <cell r="I7362">
            <v>900168184</v>
          </cell>
          <cell r="J7362" t="str">
            <v>Fondo de Servicios Educativos Intitucion Educativa Agroecologica San Rafae el  Dos</v>
          </cell>
          <cell r="K7362">
            <v>35631985</v>
          </cell>
        </row>
        <row r="7363">
          <cell r="I7363">
            <v>900169188</v>
          </cell>
          <cell r="J7363" t="str">
            <v>Fondo de Servicios Educativos Institución Educativa Tecnico Agroambiental de Tado</v>
          </cell>
          <cell r="K7363">
            <v>44966014</v>
          </cell>
        </row>
        <row r="7364">
          <cell r="I7364">
            <v>900169209</v>
          </cell>
          <cell r="J7364" t="str">
            <v>s.g.p. conpes. Gratuidad. Institucion educativa rural la ermita --ciudad bolivar</v>
          </cell>
          <cell r="K7364">
            <v>21272179</v>
          </cell>
        </row>
        <row r="7365">
          <cell r="I7365">
            <v>900169290</v>
          </cell>
          <cell r="J7365" t="str">
            <v>Fondo de Servicios Educativos Centro Educativo San Pedro Claver de Guineal</v>
          </cell>
          <cell r="K7365">
            <v>14913949</v>
          </cell>
        </row>
        <row r="7366">
          <cell r="I7366">
            <v>900169426</v>
          </cell>
          <cell r="J7366" t="str">
            <v>INSTITUCION EDUCATIVA AGROECOLOGICO DE PRIMAVERA FONDO DE SERVICIOS EDUCATIVOS</v>
          </cell>
          <cell r="K7366">
            <v>27724871</v>
          </cell>
        </row>
        <row r="7367">
          <cell r="I7367">
            <v>900169816</v>
          </cell>
          <cell r="J7367" t="str">
            <v>INSTITUCION EDUCATIVA POLITECNICO MARCELO MIRANDA</v>
          </cell>
          <cell r="K7367">
            <v>87322990</v>
          </cell>
        </row>
        <row r="7368">
          <cell r="I7368">
            <v>900170314</v>
          </cell>
          <cell r="J7368" t="str">
            <v>CENT EDUC RUR LAS MESAS</v>
          </cell>
          <cell r="K7368">
            <v>14748411</v>
          </cell>
        </row>
        <row r="7369">
          <cell r="I7369">
            <v>900170552</v>
          </cell>
          <cell r="J7369" t="str">
            <v>CENTRO EDUCATIVO RURAL EL SILENCIO</v>
          </cell>
          <cell r="K7369">
            <v>39007788</v>
          </cell>
        </row>
        <row r="7370">
          <cell r="I7370">
            <v>900171097</v>
          </cell>
          <cell r="J7370" t="str">
            <v>Institución  Educativa Agricola Nuestra Señora de Fatima /Fondo de Servicios Educativos</v>
          </cell>
          <cell r="K7370">
            <v>94311237</v>
          </cell>
        </row>
        <row r="7371">
          <cell r="I7371">
            <v>900171308</v>
          </cell>
          <cell r="J7371" t="str">
            <v>Fondo de Servicios Educativos Intitucion Educativa Institución Educativa Corazón de Maria</v>
          </cell>
          <cell r="K7371">
            <v>24396250</v>
          </cell>
        </row>
        <row r="7372">
          <cell r="I7372">
            <v>900171795</v>
          </cell>
          <cell r="J7372" t="str">
            <v>IER LOS LLANOS - Peque</v>
          </cell>
          <cell r="K7372">
            <v>64266993</v>
          </cell>
        </row>
        <row r="7373">
          <cell r="I7373">
            <v>900172054</v>
          </cell>
          <cell r="J7373" t="str">
            <v>INSTITUCION EDUCATIVA EL RODEO</v>
          </cell>
          <cell r="K7373">
            <v>85444084</v>
          </cell>
        </row>
        <row r="7374">
          <cell r="I7374">
            <v>900172322</v>
          </cell>
          <cell r="J7374" t="str">
            <v>FONDO DE SERVICIOS EDUCATIVOS</v>
          </cell>
          <cell r="K7374">
            <v>10080969</v>
          </cell>
        </row>
        <row r="7375">
          <cell r="I7375">
            <v>900172786</v>
          </cell>
          <cell r="J7375" t="str">
            <v>COLEGIO SALUDCOOP NORTE IED</v>
          </cell>
          <cell r="K7375">
            <v>153568960</v>
          </cell>
        </row>
        <row r="7376">
          <cell r="I7376">
            <v>900173145</v>
          </cell>
          <cell r="J7376" t="str">
            <v>COLEGIO GONZALO ARANGO</v>
          </cell>
          <cell r="K7376">
            <v>162562400</v>
          </cell>
        </row>
        <row r="7377">
          <cell r="I7377">
            <v>900173576</v>
          </cell>
          <cell r="J7377" t="str">
            <v>INSTITUCION EDUCATIVA AGROECOLOGICA FRANCISCO EUGENIO MOSQUERA</v>
          </cell>
          <cell r="K7377">
            <v>54274921</v>
          </cell>
        </row>
        <row r="7378">
          <cell r="I7378">
            <v>900174081</v>
          </cell>
          <cell r="J7378" t="str">
            <v>CENTRO DUCATIVO EL CARMEN</v>
          </cell>
          <cell r="K7378">
            <v>34143716</v>
          </cell>
        </row>
        <row r="7379">
          <cell r="I7379">
            <v>900174449</v>
          </cell>
          <cell r="J7379" t="str">
            <v>INSTITUCION EDUCATIVA RURAL  LA  INMACULADA</v>
          </cell>
          <cell r="K7379">
            <v>31667524</v>
          </cell>
        </row>
        <row r="7380">
          <cell r="I7380">
            <v>900174479</v>
          </cell>
          <cell r="J7380" t="str">
            <v>FONDO DE SERVICIOS EDUCATIVOS COLEGIO ORLANDO HIGUITA ROJAS</v>
          </cell>
          <cell r="K7380">
            <v>239463107</v>
          </cell>
        </row>
        <row r="7381">
          <cell r="I7381">
            <v>900174689</v>
          </cell>
          <cell r="J7381" t="str">
            <v>INSTITUCION EDUCATIVA SANTO DOMINGO DE GUZMAN</v>
          </cell>
          <cell r="K7381">
            <v>68512659</v>
          </cell>
        </row>
        <row r="7382">
          <cell r="I7382">
            <v>900174723</v>
          </cell>
          <cell r="J7382" t="str">
            <v>INSTITUCION EDUCATIVA JOAQUIN URRUTIA</v>
          </cell>
          <cell r="K7382">
            <v>26229280</v>
          </cell>
        </row>
        <row r="7383">
          <cell r="I7383">
            <v>900174932</v>
          </cell>
          <cell r="J7383" t="str">
            <v>CENTRO EDUCATIVO INDIGENA RONGOY</v>
          </cell>
          <cell r="K7383">
            <v>13061566</v>
          </cell>
        </row>
        <row r="7384">
          <cell r="I7384">
            <v>900175006</v>
          </cell>
          <cell r="J7384" t="str">
            <v>IE JORGE ELIECER GAITAN - Nechí</v>
          </cell>
          <cell r="K7384">
            <v>44788179</v>
          </cell>
        </row>
        <row r="7385">
          <cell r="I7385">
            <v>900175348</v>
          </cell>
          <cell r="J7385" t="str">
            <v>FONDO DE SERVICIOS EDUCATIVOS DE LA INSTITUCION EDUCATIVA AGRIPECUARIA SAGRADO CORAZON DE JESUS DE VIRUDO</v>
          </cell>
          <cell r="K7385">
            <v>35667570</v>
          </cell>
        </row>
        <row r="7386">
          <cell r="I7386">
            <v>900175366</v>
          </cell>
          <cell r="J7386" t="str">
            <v>CENTRO EDUCATIVO SANTA ROSA</v>
          </cell>
          <cell r="K7386">
            <v>32169784</v>
          </cell>
        </row>
        <row r="7387">
          <cell r="I7387">
            <v>900176074</v>
          </cell>
          <cell r="J7387" t="str">
            <v>COLEGIO ALFONSO REYES ECHANDÍA</v>
          </cell>
          <cell r="K7387">
            <v>236523565</v>
          </cell>
        </row>
        <row r="7388">
          <cell r="I7388">
            <v>900176103</v>
          </cell>
          <cell r="J7388" t="str">
            <v>COLEGIO DISTRITAL DELIA ZAPATA OLIVELLA</v>
          </cell>
          <cell r="K7388">
            <v>157579840</v>
          </cell>
        </row>
        <row r="7389">
          <cell r="I7389">
            <v>900176207</v>
          </cell>
          <cell r="J7389" t="str">
            <v>CENTRO EDUCATIVO CHERUA</v>
          </cell>
          <cell r="K7389">
            <v>19747608</v>
          </cell>
        </row>
        <row r="7390">
          <cell r="I7390">
            <v>900176401</v>
          </cell>
          <cell r="J7390" t="str">
            <v>INSTITUCION EDUCATIVA LAS CAÑAS</v>
          </cell>
          <cell r="K7390">
            <v>12210253</v>
          </cell>
        </row>
        <row r="7391">
          <cell r="I7391">
            <v>900176411</v>
          </cell>
          <cell r="J7391" t="str">
            <v>INSTITUCION EDUCATIVA CASCAJAL</v>
          </cell>
          <cell r="K7391">
            <v>16587457</v>
          </cell>
        </row>
        <row r="7392">
          <cell r="I7392">
            <v>900176969</v>
          </cell>
          <cell r="J7392" t="str">
            <v>IE LA CONCHA - Nechí</v>
          </cell>
          <cell r="K7392">
            <v>60578228</v>
          </cell>
        </row>
        <row r="7393">
          <cell r="I7393">
            <v>900177038</v>
          </cell>
          <cell r="J7393" t="str">
            <v>Centro Educativo Aguacate</v>
          </cell>
          <cell r="K7393">
            <v>8814349</v>
          </cell>
        </row>
        <row r="7394">
          <cell r="I7394">
            <v>900177462</v>
          </cell>
          <cell r="J7394" t="str">
            <v>cer el farache del municipio de teorama</v>
          </cell>
          <cell r="K7394">
            <v>26182154</v>
          </cell>
        </row>
        <row r="7395">
          <cell r="I7395">
            <v>900177557</v>
          </cell>
          <cell r="J7395" t="str">
            <v>IER  SAN  PABLO  APOSTOL - San Pedro de Urabá</v>
          </cell>
          <cell r="K7395">
            <v>30030334</v>
          </cell>
        </row>
        <row r="7396">
          <cell r="I7396">
            <v>900178809</v>
          </cell>
          <cell r="J7396" t="str">
            <v>Fondo de Servicios Educativos Intitucion Educativa Agropecuaria Nuestra Señora del carmen</v>
          </cell>
          <cell r="K7396">
            <v>71546148</v>
          </cell>
        </row>
        <row r="7397">
          <cell r="I7397">
            <v>900179301</v>
          </cell>
          <cell r="J7397" t="str">
            <v>Fondo de Servicios Educativos In stitución Educativa  de Samurindo</v>
          </cell>
          <cell r="K7397">
            <v>52405620</v>
          </cell>
        </row>
        <row r="7398">
          <cell r="I7398">
            <v>900179332</v>
          </cell>
          <cell r="J7398" t="str">
            <v>COLEGIO ALFONSO LOPEZ MICHELSEN</v>
          </cell>
          <cell r="K7398">
            <v>259534713</v>
          </cell>
        </row>
        <row r="7399">
          <cell r="I7399">
            <v>900179946</v>
          </cell>
          <cell r="J7399" t="str">
            <v>Fondo de Servicios Educativos Institución Educativa San Jose de Viro - Viro</v>
          </cell>
          <cell r="K7399">
            <v>24021905</v>
          </cell>
        </row>
        <row r="7400">
          <cell r="I7400">
            <v>900180108</v>
          </cell>
          <cell r="J7400" t="str">
            <v>CENTRO EDUCATIVO CIATO</v>
          </cell>
          <cell r="K7400">
            <v>11421702</v>
          </cell>
        </row>
        <row r="7401">
          <cell r="I7401">
            <v>900180147</v>
          </cell>
          <cell r="J7401" t="str">
            <v>CENTRO EDUCATIVO ARROYO GRANDE ABAJO</v>
          </cell>
          <cell r="K7401">
            <v>15367613</v>
          </cell>
        </row>
        <row r="7402">
          <cell r="I7402">
            <v>900180152</v>
          </cell>
          <cell r="J7402" t="str">
            <v>CENTRO EDUCATIVO CABUYA</v>
          </cell>
          <cell r="K7402">
            <v>24658137</v>
          </cell>
        </row>
        <row r="7403">
          <cell r="I7403">
            <v>900180589</v>
          </cell>
          <cell r="J7403" t="str">
            <v>Fondo de Servicios Educativos Centro Educativo Jose Eulises Mosquera Perea</v>
          </cell>
          <cell r="K7403">
            <v>17967012</v>
          </cell>
        </row>
        <row r="7404">
          <cell r="I7404">
            <v>900180694</v>
          </cell>
          <cell r="J7404" t="str">
            <v>INSTITUCION EDUCATIVA DEPARTAMENTAL CASADILLAS BAJO</v>
          </cell>
          <cell r="K7404">
            <v>20391168</v>
          </cell>
        </row>
        <row r="7405">
          <cell r="I7405">
            <v>900182107</v>
          </cell>
          <cell r="J7405" t="str">
            <v>Institucion Educativa La Unilla</v>
          </cell>
          <cell r="K7405">
            <v>47151210</v>
          </cell>
        </row>
        <row r="7406">
          <cell r="I7406">
            <v>900183339</v>
          </cell>
          <cell r="J7406" t="str">
            <v>CENTRO EDUCATIVO ETNOEDUCATIVO EMBERA CHAMÍ</v>
          </cell>
          <cell r="K7406">
            <v>133426196</v>
          </cell>
        </row>
        <row r="7407">
          <cell r="I7407">
            <v>900184334</v>
          </cell>
          <cell r="J7407" t="str">
            <v>IED LIBANO</v>
          </cell>
          <cell r="K7407">
            <v>70212365</v>
          </cell>
        </row>
        <row r="7408">
          <cell r="I7408">
            <v>900185459</v>
          </cell>
          <cell r="J7408" t="str">
            <v>CENT EDUC RUR SAN ROQUE</v>
          </cell>
          <cell r="K7408">
            <v>14326229</v>
          </cell>
        </row>
        <row r="7409">
          <cell r="I7409">
            <v>900185623</v>
          </cell>
          <cell r="J7409" t="str">
            <v>CENTRO EDUCATIVO VILLA DEL RIO</v>
          </cell>
          <cell r="K7409">
            <v>19060115</v>
          </cell>
        </row>
        <row r="7410">
          <cell r="I7410">
            <v>900185716</v>
          </cell>
          <cell r="J7410" t="str">
            <v>INSTITUCION EDUCATIVA MANUEL RUIZ ALVAREZ</v>
          </cell>
          <cell r="K7410">
            <v>124274667</v>
          </cell>
        </row>
        <row r="7411">
          <cell r="I7411">
            <v>900186611</v>
          </cell>
          <cell r="J7411" t="str">
            <v>CER HORACIO TORO OCHOA - Santa Rosa de Osos</v>
          </cell>
          <cell r="K7411">
            <v>10870158</v>
          </cell>
        </row>
        <row r="7412">
          <cell r="I7412">
            <v>900187743</v>
          </cell>
          <cell r="J7412" t="str">
            <v>FSE COLEGIO FERNANDO GONZALEZ OCHOA</v>
          </cell>
          <cell r="K7412">
            <v>145729144</v>
          </cell>
        </row>
        <row r="7413">
          <cell r="I7413">
            <v>900189106</v>
          </cell>
          <cell r="J7413" t="str">
            <v>INSTITUCION EDUCATIVA SAN JOAQUIN DE LAS ANIMAS</v>
          </cell>
          <cell r="K7413">
            <v>65825100</v>
          </cell>
        </row>
        <row r="7414">
          <cell r="I7414">
            <v>900189185</v>
          </cell>
          <cell r="J7414" t="str">
            <v>Centro Educativo Jardin de las Peñas</v>
          </cell>
          <cell r="K7414">
            <v>23524811</v>
          </cell>
        </row>
        <row r="7415">
          <cell r="I7415">
            <v>900191602</v>
          </cell>
          <cell r="J7415" t="str">
            <v>IER ROSALIA HOYOS DE R - Marinilla</v>
          </cell>
          <cell r="K7415">
            <v>40168483</v>
          </cell>
        </row>
        <row r="7416">
          <cell r="I7416">
            <v>900192833</v>
          </cell>
          <cell r="J7416" t="str">
            <v>MUNICIPIO NOROSI BOLIVAR</v>
          </cell>
          <cell r="K7416">
            <v>161252119</v>
          </cell>
        </row>
        <row r="7417">
          <cell r="I7417">
            <v>900193232</v>
          </cell>
          <cell r="J7417" t="str">
            <v>IER  BUCHADO  MEDIO - San Pedro de Urabá</v>
          </cell>
          <cell r="K7417">
            <v>48536275</v>
          </cell>
        </row>
        <row r="7418">
          <cell r="I7418">
            <v>900194320</v>
          </cell>
          <cell r="J7418" t="str">
            <v>CENTRO EDUCATIVO BASICO AMPLIADO DE BOMBA</v>
          </cell>
          <cell r="K7418">
            <v>30916904</v>
          </cell>
        </row>
        <row r="7419">
          <cell r="I7419">
            <v>900194541</v>
          </cell>
          <cell r="J7419" t="str">
            <v>Fondo de Servicios Educativos Institución Educativa Agropecuaria Marco Fidel Suarez</v>
          </cell>
          <cell r="K7419">
            <v>79268114</v>
          </cell>
        </row>
        <row r="7420">
          <cell r="I7420">
            <v>900195133</v>
          </cell>
          <cell r="J7420" t="str">
            <v>INST EDUC ANGELA RESTREPO MORENO</v>
          </cell>
          <cell r="K7420">
            <v>113495876</v>
          </cell>
        </row>
        <row r="7421">
          <cell r="I7421">
            <v>900195673</v>
          </cell>
          <cell r="J7421" t="str">
            <v>MARIA ANALIA ORTIZ  HORMAZA</v>
          </cell>
          <cell r="K7421">
            <v>22437860</v>
          </cell>
        </row>
        <row r="7422">
          <cell r="I7422">
            <v>900196243</v>
          </cell>
          <cell r="J7422" t="str">
            <v>INSTITUCION EDUCATIVA CAÑA BRAVA</v>
          </cell>
          <cell r="K7422">
            <v>27592292</v>
          </cell>
        </row>
        <row r="7423">
          <cell r="I7423">
            <v>900196624</v>
          </cell>
          <cell r="J7423" t="str">
            <v>Centro Educativo Charras</v>
          </cell>
          <cell r="K7423">
            <v>19764736</v>
          </cell>
        </row>
        <row r="7424">
          <cell r="I7424">
            <v>900196642</v>
          </cell>
          <cell r="J7424" t="str">
            <v>INST EDUC DEBORA ARANGO PEREZ</v>
          </cell>
          <cell r="K7424">
            <v>72999031</v>
          </cell>
        </row>
        <row r="7425">
          <cell r="I7425">
            <v>900196800</v>
          </cell>
          <cell r="J7425" t="str">
            <v>INSTITUCION EDUCATIVA SILVANO CAICEDO GIRON</v>
          </cell>
          <cell r="K7425">
            <v>38396785</v>
          </cell>
        </row>
        <row r="7426">
          <cell r="I7426">
            <v>900197510</v>
          </cell>
          <cell r="J7426" t="str">
            <v>INSTITUCION EDUCATIVA JHON F KENEDY</v>
          </cell>
          <cell r="K7426">
            <v>69738311</v>
          </cell>
        </row>
        <row r="7427">
          <cell r="I7427">
            <v>900198781</v>
          </cell>
          <cell r="J7427" t="str">
            <v>CE. NUESTRA SEÑORA DEL ROSARIO</v>
          </cell>
          <cell r="K7427">
            <v>59547459</v>
          </cell>
        </row>
        <row r="7428">
          <cell r="I7428">
            <v>900198784</v>
          </cell>
          <cell r="J7428" t="str">
            <v>INSTITUCION EDUCATIVA PLAYA BLANCA</v>
          </cell>
          <cell r="K7428">
            <v>23129582</v>
          </cell>
        </row>
        <row r="7429">
          <cell r="I7429">
            <v>900198912</v>
          </cell>
          <cell r="J7429" t="str">
            <v>INSTITUCIÓN EDUCATIVA EL ROSARIO</v>
          </cell>
          <cell r="K7429">
            <v>27545630</v>
          </cell>
        </row>
        <row r="7430">
          <cell r="I7430">
            <v>900199073</v>
          </cell>
          <cell r="J7430" t="str">
            <v>IE MIGUEL A CAICEDO MENA</v>
          </cell>
          <cell r="K7430">
            <v>76502722</v>
          </cell>
        </row>
        <row r="7431">
          <cell r="I7431">
            <v>900199136</v>
          </cell>
          <cell r="J7431" t="str">
            <v>CENT EDUC RUR FILO REAL</v>
          </cell>
          <cell r="K7431">
            <v>21964420</v>
          </cell>
        </row>
        <row r="7432">
          <cell r="I7432">
            <v>900199324</v>
          </cell>
          <cell r="J7432" t="str">
            <v>CENTRO EDUCATIVO LA PRIMAVERA MUNICIPIO DE CACHIRA</v>
          </cell>
          <cell r="K7432">
            <v>23150946</v>
          </cell>
        </row>
        <row r="7433">
          <cell r="I7433">
            <v>900199400</v>
          </cell>
          <cell r="J7433" t="str">
            <v>CENT EDUC RUR LOS GUAYABALES</v>
          </cell>
          <cell r="K7433">
            <v>19856183</v>
          </cell>
        </row>
        <row r="7434">
          <cell r="I7434">
            <v>900199823</v>
          </cell>
          <cell r="J7434" t="str">
            <v>FSE COLEGIO CUNDINAMARCA</v>
          </cell>
          <cell r="K7434">
            <v>256478790</v>
          </cell>
        </row>
        <row r="7435">
          <cell r="I7435">
            <v>900200097</v>
          </cell>
          <cell r="J7435" t="str">
            <v>CENTRO EDUCATIVO RURAL LA CURVA</v>
          </cell>
          <cell r="K7435">
            <v>16733646</v>
          </cell>
        </row>
        <row r="7436">
          <cell r="I7436">
            <v>900200101</v>
          </cell>
          <cell r="J7436" t="str">
            <v>CENT EDUC RUR LA PRIMAVERA</v>
          </cell>
          <cell r="K7436">
            <v>21869394</v>
          </cell>
        </row>
        <row r="7437">
          <cell r="I7437">
            <v>900200108</v>
          </cell>
          <cell r="J7437" t="str">
            <v>CENTRO EDUCATIVO RURAL CHAMIZON</v>
          </cell>
          <cell r="K7437">
            <v>16557011</v>
          </cell>
        </row>
        <row r="7438">
          <cell r="I7438">
            <v>900200114</v>
          </cell>
          <cell r="J7438" t="str">
            <v>IE COLORADO - Nechí</v>
          </cell>
          <cell r="K7438">
            <v>36479586</v>
          </cell>
        </row>
        <row r="7439">
          <cell r="I7439">
            <v>900200125</v>
          </cell>
          <cell r="J7439" t="str">
            <v>CENTRO EDUCATIVO RURAL EL SUL</v>
          </cell>
          <cell r="K7439">
            <v>27244466</v>
          </cell>
        </row>
        <row r="7440">
          <cell r="I7440">
            <v>900200236</v>
          </cell>
          <cell r="J7440" t="str">
            <v>centro educativo rural san jose de castro</v>
          </cell>
          <cell r="K7440">
            <v>48450591</v>
          </cell>
        </row>
        <row r="7441">
          <cell r="I7441">
            <v>900200311</v>
          </cell>
          <cell r="J7441" t="str">
            <v>CENTRO EDUCATIVO RURAL SIRAVITA</v>
          </cell>
          <cell r="K7441">
            <v>15341414</v>
          </cell>
        </row>
        <row r="7442">
          <cell r="I7442">
            <v>900200860</v>
          </cell>
          <cell r="J7442" t="str">
            <v>Colegio General Gustavo Rojas Pinilla Institucion Educativa Distrital</v>
          </cell>
          <cell r="K7442">
            <v>230367386</v>
          </cell>
        </row>
        <row r="7443">
          <cell r="I7443">
            <v>900201177</v>
          </cell>
          <cell r="J7443" t="str">
            <v>IE SAN PIO X - Cañasgordas</v>
          </cell>
          <cell r="K7443">
            <v>52950091</v>
          </cell>
        </row>
        <row r="7444">
          <cell r="I7444">
            <v>900201603</v>
          </cell>
          <cell r="J7444" t="str">
            <v>centro eductivo rural cerro viejo</v>
          </cell>
          <cell r="K7444">
            <v>19698521</v>
          </cell>
        </row>
        <row r="7445">
          <cell r="I7445">
            <v>900201695</v>
          </cell>
          <cell r="J7445" t="str">
            <v>COLEGIO GERARDO MOLINA IED</v>
          </cell>
          <cell r="K7445">
            <v>228089070</v>
          </cell>
        </row>
        <row r="7446">
          <cell r="I7446">
            <v>900201721</v>
          </cell>
          <cell r="J7446" t="str">
            <v>CENTRO EDUCATIVO JARDIN</v>
          </cell>
          <cell r="K7446">
            <v>24520456</v>
          </cell>
        </row>
        <row r="7447">
          <cell r="I7447">
            <v>900201752</v>
          </cell>
          <cell r="J7447" t="str">
            <v>CENTRO EDUCATIVO RURAL LA CARRERA</v>
          </cell>
          <cell r="K7447">
            <v>23366888</v>
          </cell>
        </row>
        <row r="7448">
          <cell r="I7448">
            <v>900201796</v>
          </cell>
          <cell r="J7448" t="str">
            <v>CENTRO EDUCATIVO RURAL SANTA RITA</v>
          </cell>
          <cell r="K7448">
            <v>10078577</v>
          </cell>
        </row>
        <row r="7449">
          <cell r="I7449">
            <v>900201998</v>
          </cell>
          <cell r="J7449" t="str">
            <v>COLEGIO DE EDUCACIÓN BÁSICA EL MORAL</v>
          </cell>
          <cell r="K7449">
            <v>34338179</v>
          </cell>
        </row>
        <row r="7450">
          <cell r="I7450">
            <v>900202112</v>
          </cell>
          <cell r="J7450" t="str">
            <v>CENTRO EDUCATIVO RURAL LA COLONIA</v>
          </cell>
          <cell r="K7450">
            <v>14196947</v>
          </cell>
        </row>
        <row r="7451">
          <cell r="I7451">
            <v>900202388</v>
          </cell>
          <cell r="J7451" t="str">
            <v>INSTITUCION EDUCATIVA AGROEMPRESARIAL HUASANO</v>
          </cell>
          <cell r="K7451">
            <v>48309965</v>
          </cell>
        </row>
        <row r="7452">
          <cell r="I7452">
            <v>900202414</v>
          </cell>
          <cell r="J7452" t="str">
            <v>Fondo de Servicios Educativos Intitucion Educativa Antonio Angles de San Isidro</v>
          </cell>
          <cell r="K7452">
            <v>44430334</v>
          </cell>
        </row>
        <row r="7453">
          <cell r="I7453">
            <v>900203323</v>
          </cell>
          <cell r="J7453" t="str">
            <v>INSTITUCION EDUCATIVA JAIME RUIZ CARRILLO</v>
          </cell>
          <cell r="K7453">
            <v>9233395</v>
          </cell>
        </row>
        <row r="7454">
          <cell r="I7454">
            <v>900203346</v>
          </cell>
          <cell r="J7454" t="str">
            <v>INSTITUCION EDUCATIVA LAS MERCEDES</v>
          </cell>
          <cell r="K7454">
            <v>15983957</v>
          </cell>
        </row>
        <row r="7455">
          <cell r="I7455">
            <v>900203856</v>
          </cell>
          <cell r="J7455" t="str">
            <v>Colegio Saludcoop Sur IED</v>
          </cell>
          <cell r="K7455">
            <v>156967535</v>
          </cell>
        </row>
        <row r="7456">
          <cell r="I7456">
            <v>900203875</v>
          </cell>
          <cell r="J7456" t="str">
            <v>INSTITUTO TECNICO DISTRITAL CRUZADA SOCIAL</v>
          </cell>
          <cell r="K7456">
            <v>118791517</v>
          </cell>
        </row>
        <row r="7457">
          <cell r="I7457">
            <v>900204834</v>
          </cell>
          <cell r="J7457" t="str">
            <v>CENTRO EDUCATIVO GAITANIA</v>
          </cell>
          <cell r="K7457">
            <v>7225570</v>
          </cell>
        </row>
        <row r="7458">
          <cell r="I7458">
            <v>900205654</v>
          </cell>
          <cell r="J7458" t="str">
            <v>institucion educativa enoc mendoza</v>
          </cell>
          <cell r="K7458">
            <v>77063221</v>
          </cell>
        </row>
        <row r="7459">
          <cell r="I7459">
            <v>900205732</v>
          </cell>
          <cell r="J7459" t="str">
            <v>INSTITUCION EDUCATIVA CAMILO TORRES</v>
          </cell>
          <cell r="K7459">
            <v>23975355</v>
          </cell>
        </row>
        <row r="7460">
          <cell r="I7460">
            <v>900205796</v>
          </cell>
          <cell r="J7460" t="str">
            <v>INSTITUCION EDUCATIVA  SAN NICOLAS</v>
          </cell>
          <cell r="K7460">
            <v>42309426</v>
          </cell>
        </row>
        <row r="7461">
          <cell r="I7461">
            <v>900207030</v>
          </cell>
          <cell r="J7461" t="str">
            <v>IED LUIS ANTONIO ESCOBAR VILLAPINZON</v>
          </cell>
          <cell r="K7461">
            <v>91364540</v>
          </cell>
        </row>
        <row r="7462">
          <cell r="I7462">
            <v>900207396</v>
          </cell>
          <cell r="J7462" t="str">
            <v>colegio tomas cipriano de mosquera i.e.d</v>
          </cell>
          <cell r="K7462">
            <v>129981882</v>
          </cell>
        </row>
        <row r="7463">
          <cell r="I7463">
            <v>900207616</v>
          </cell>
          <cell r="J7463" t="str">
            <v>Centro Educativo San Isidro</v>
          </cell>
          <cell r="K7463">
            <v>9606077</v>
          </cell>
        </row>
        <row r="7464">
          <cell r="I7464">
            <v>900207708</v>
          </cell>
          <cell r="J7464" t="str">
            <v>Fondo de Servicios Educativos Intitucion Educativa normal Superior Nuetra Señora de las Mercedes</v>
          </cell>
          <cell r="K7464">
            <v>107556010</v>
          </cell>
        </row>
        <row r="7465">
          <cell r="I7465">
            <v>900207730</v>
          </cell>
          <cell r="J7465" t="str">
            <v>COLEGIO VIRGINIA GUTIERREZ DE PINEDA</v>
          </cell>
          <cell r="K7465">
            <v>144405937</v>
          </cell>
        </row>
        <row r="7466">
          <cell r="I7466">
            <v>900207921</v>
          </cell>
          <cell r="J7466" t="str">
            <v>INSTITUCION EDUCATIVA RURAL NIÑA DEL CARMEN</v>
          </cell>
          <cell r="K7466">
            <v>23881445</v>
          </cell>
        </row>
        <row r="7467">
          <cell r="I7467">
            <v>900208112</v>
          </cell>
          <cell r="J7467" t="str">
            <v>COLEGIO ANTONIO GARCIA IED</v>
          </cell>
          <cell r="K7467">
            <v>150319250</v>
          </cell>
        </row>
        <row r="7468">
          <cell r="I7468">
            <v>900208263</v>
          </cell>
          <cell r="J7468" t="str">
            <v>CENTRO EDUCATIVO RURAL LA CAPILLA</v>
          </cell>
          <cell r="K7468">
            <v>30004063</v>
          </cell>
        </row>
        <row r="7469">
          <cell r="I7469">
            <v>900208285</v>
          </cell>
          <cell r="J7469" t="str">
            <v>CENTRO EDUCATIVO LOS FUNDADORES</v>
          </cell>
          <cell r="K7469">
            <v>73068473</v>
          </cell>
        </row>
        <row r="7470">
          <cell r="I7470">
            <v>900208313</v>
          </cell>
          <cell r="J7470" t="str">
            <v>INSTITUCION EDUCATUIVA FRANCISCO CESAR</v>
          </cell>
          <cell r="K7470">
            <v>67534596</v>
          </cell>
        </row>
        <row r="7471">
          <cell r="I7471">
            <v>900209540</v>
          </cell>
          <cell r="J7471" t="str">
            <v>institucion educativa hatoviejo</v>
          </cell>
          <cell r="K7471">
            <v>11013986</v>
          </cell>
        </row>
        <row r="7472">
          <cell r="I7472">
            <v>900209994</v>
          </cell>
          <cell r="J7472" t="str">
            <v>FONDO DE  SERVICIOS  DOCENTES  I.E</v>
          </cell>
          <cell r="K7472">
            <v>229918337</v>
          </cell>
        </row>
        <row r="7473">
          <cell r="I7473">
            <v>900210027</v>
          </cell>
          <cell r="J7473" t="str">
            <v>INSTITUCION EDUCATIVAFONDO DE SERVICIOS EDUCATIVOSPEDACITO DE CIELO ALVARO URIBE VELEZ</v>
          </cell>
          <cell r="K7473">
            <v>62868413</v>
          </cell>
        </row>
        <row r="7474">
          <cell r="I7474">
            <v>900210543</v>
          </cell>
          <cell r="J7474" t="str">
            <v>I. E. TEC AGROP OPCION PESCA</v>
          </cell>
          <cell r="K7474">
            <v>37129890</v>
          </cell>
        </row>
        <row r="7475">
          <cell r="I7475">
            <v>900210569</v>
          </cell>
          <cell r="J7475" t="str">
            <v>INSTITUCION EDUCATIVA SOCHAQUIRA ABAJO</v>
          </cell>
          <cell r="K7475">
            <v>14389453</v>
          </cell>
        </row>
        <row r="7476">
          <cell r="I7476">
            <v>900210654</v>
          </cell>
          <cell r="J7476" t="str">
            <v>Fondo de Servicios Educativos Intitucion Educativa Superior Santa Teresita del Valle</v>
          </cell>
          <cell r="K7476">
            <v>50545114</v>
          </cell>
        </row>
        <row r="7477">
          <cell r="I7477">
            <v>900211224</v>
          </cell>
          <cell r="J7477" t="str">
            <v>Fondo de Servicios Educativos Institución Educativa Ecoturistica Litoral Pacifico - Nuquí.</v>
          </cell>
          <cell r="K7477">
            <v>67256861</v>
          </cell>
        </row>
        <row r="7478">
          <cell r="I7478">
            <v>900211388</v>
          </cell>
          <cell r="J7478" t="str">
            <v>CENTRO EDUCATIVO RURAL VIJAGUAL</v>
          </cell>
          <cell r="K7478">
            <v>25756818</v>
          </cell>
        </row>
        <row r="7479">
          <cell r="I7479">
            <v>900211540</v>
          </cell>
          <cell r="J7479" t="str">
            <v>IE CAÑO PRIETO</v>
          </cell>
          <cell r="K7479">
            <v>21653460</v>
          </cell>
        </row>
        <row r="7480">
          <cell r="I7480">
            <v>900211563</v>
          </cell>
          <cell r="J7480" t="str">
            <v>COLEGIO GERMAN ARCINIEGAS</v>
          </cell>
          <cell r="K7480">
            <v>233229876</v>
          </cell>
        </row>
        <row r="7481">
          <cell r="I7481">
            <v>900212111</v>
          </cell>
          <cell r="J7481" t="str">
            <v>CENTRO EDUCATIVO ALFONSO LOPEZ</v>
          </cell>
          <cell r="K7481">
            <v>27088761</v>
          </cell>
        </row>
        <row r="7482">
          <cell r="I7482">
            <v>900212225</v>
          </cell>
          <cell r="J7482" t="str">
            <v>CEENTRO EDUCATIVO PEÑAS COLORADAS</v>
          </cell>
          <cell r="K7482">
            <v>17935184</v>
          </cell>
        </row>
        <row r="7483">
          <cell r="I7483">
            <v>900212492</v>
          </cell>
          <cell r="J7483" t="str">
            <v>C.E. QUEBRADA SECA UNIDA</v>
          </cell>
          <cell r="K7483">
            <v>11194203</v>
          </cell>
        </row>
        <row r="7484">
          <cell r="I7484">
            <v>900212595</v>
          </cell>
          <cell r="J7484" t="str">
            <v>FONDO DE SERVICIOS EDUCATIVOS COLEGIO MARIA CANO</v>
          </cell>
          <cell r="K7484">
            <v>112270522</v>
          </cell>
        </row>
        <row r="7485">
          <cell r="I7485">
            <v>900212983</v>
          </cell>
          <cell r="J7485" t="str">
            <v>CENTRO EDUCATIVO MARCO FIDEL SUAREZ</v>
          </cell>
          <cell r="K7485">
            <v>13042898</v>
          </cell>
        </row>
        <row r="7486">
          <cell r="I7486">
            <v>900213046</v>
          </cell>
          <cell r="J7486" t="str">
            <v>CENTRO EDUCATIVO SANTA FE DEL ARCIAL</v>
          </cell>
          <cell r="K7486">
            <v>9158048</v>
          </cell>
        </row>
        <row r="7487">
          <cell r="I7487">
            <v>900213587</v>
          </cell>
          <cell r="J7487" t="str">
            <v>INSTITUCION EDUCATIVA TECNICA INDUSTRIAL JOSE CASTILLO BOLIVAR</v>
          </cell>
          <cell r="K7487">
            <v>101472903</v>
          </cell>
        </row>
        <row r="7488">
          <cell r="I7488">
            <v>900213748</v>
          </cell>
          <cell r="J7488" t="str">
            <v>COLEGIO DEBORA ARANGO PÉREZ</v>
          </cell>
          <cell r="K7488">
            <v>201722768</v>
          </cell>
        </row>
        <row r="7489">
          <cell r="I7489">
            <v>900213936</v>
          </cell>
          <cell r="J7489" t="str">
            <v>INSTITUCION EDUCATIVA SINCELEJITO</v>
          </cell>
          <cell r="K7489">
            <v>29089613</v>
          </cell>
        </row>
        <row r="7490">
          <cell r="I7490">
            <v>900214880</v>
          </cell>
          <cell r="J7490" t="str">
            <v>INSTIOTUCION EDUCATIVA SIMON BOLIVAR</v>
          </cell>
          <cell r="K7490">
            <v>8588193</v>
          </cell>
        </row>
        <row r="7491">
          <cell r="I7491">
            <v>900216627</v>
          </cell>
          <cell r="J7491" t="str">
            <v>CENTRO EDUCATIVO SANTA CRUZ DEL AGUILA</v>
          </cell>
          <cell r="K7491">
            <v>18344842</v>
          </cell>
        </row>
        <row r="7492">
          <cell r="I7492">
            <v>900216737</v>
          </cell>
          <cell r="J7492" t="str">
            <v>CENTRO EDUCATIVO TEUSAQUILLO</v>
          </cell>
          <cell r="K7492">
            <v>27192584</v>
          </cell>
        </row>
        <row r="7493">
          <cell r="I7493">
            <v>900216754</v>
          </cell>
          <cell r="J7493" t="str">
            <v>CENTRO EDUCATIVO PUERTO AMOR</v>
          </cell>
          <cell r="K7493">
            <v>15197349</v>
          </cell>
        </row>
        <row r="7494">
          <cell r="I7494">
            <v>900216789</v>
          </cell>
          <cell r="J7494" t="str">
            <v>CENTRO EDUCATIVO REINA BAJA</v>
          </cell>
          <cell r="K7494">
            <v>21306376</v>
          </cell>
        </row>
        <row r="7495">
          <cell r="I7495">
            <v>900217243</v>
          </cell>
          <cell r="J7495" t="str">
            <v>CENTRO EDUCATIVO LA UNION</v>
          </cell>
          <cell r="K7495">
            <v>16654933</v>
          </cell>
        </row>
        <row r="7496">
          <cell r="I7496">
            <v>900217627</v>
          </cell>
          <cell r="J7496" t="str">
            <v>INSTITUCION EDUCATIVA LAS BRISAS</v>
          </cell>
          <cell r="K7496">
            <v>23931986</v>
          </cell>
        </row>
        <row r="7497">
          <cell r="I7497">
            <v>900218102</v>
          </cell>
          <cell r="J7497" t="str">
            <v>CENTRO EDUCATIVO BRISAS DE LOSADA</v>
          </cell>
          <cell r="K7497">
            <v>14898846</v>
          </cell>
        </row>
        <row r="7498">
          <cell r="I7498">
            <v>900218599</v>
          </cell>
          <cell r="J7498" t="str">
            <v>CENTRO EDUCATIVO LA AGUILILLA</v>
          </cell>
          <cell r="K7498">
            <v>33862931</v>
          </cell>
        </row>
        <row r="7499">
          <cell r="I7499">
            <v>900218633</v>
          </cell>
          <cell r="J7499" t="str">
            <v>INST EDUC AURES</v>
          </cell>
          <cell r="K7499">
            <v>118156504</v>
          </cell>
        </row>
        <row r="7500">
          <cell r="I7500">
            <v>900218844</v>
          </cell>
          <cell r="J7500" t="str">
            <v>INSTITUCION EDUCATIVA RURAL CORTEZANA</v>
          </cell>
          <cell r="K7500">
            <v>9287389</v>
          </cell>
        </row>
        <row r="7501">
          <cell r="I7501">
            <v>900219232</v>
          </cell>
          <cell r="J7501" t="str">
            <v>CENT EDUC SAN JERONIMO</v>
          </cell>
          <cell r="K7501">
            <v>20310732</v>
          </cell>
        </row>
        <row r="7502">
          <cell r="I7502">
            <v>900219678</v>
          </cell>
          <cell r="J7502" t="str">
            <v>FSE COLEGIO CIUDADELA EDUCATIVA DE BOSA</v>
          </cell>
          <cell r="K7502">
            <v>452819414</v>
          </cell>
        </row>
        <row r="7503">
          <cell r="I7503">
            <v>900220061</v>
          </cell>
          <cell r="J7503" t="str">
            <v>MUNICIPIO DE SAN JOSE DE URE</v>
          </cell>
          <cell r="K7503">
            <v>231442645</v>
          </cell>
        </row>
        <row r="7504">
          <cell r="I7504">
            <v>900220147</v>
          </cell>
          <cell r="J7504" t="str">
            <v>MUNICIPIO DE TUCHIN</v>
          </cell>
          <cell r="K7504">
            <v>872000311</v>
          </cell>
        </row>
        <row r="7505">
          <cell r="I7505">
            <v>900220680</v>
          </cell>
          <cell r="J7505" t="str">
            <v>INSTITUCION  EDUCATIVA  NORMAL  SUPERIOR SUPERIOR  MANUEL  CAÑISALES</v>
          </cell>
          <cell r="K7505">
            <v>136372189</v>
          </cell>
        </row>
        <row r="7506">
          <cell r="I7506">
            <v>900221162</v>
          </cell>
          <cell r="J7506" t="str">
            <v>IER LA  JOSEFINA - San Luis</v>
          </cell>
          <cell r="K7506">
            <v>37274817</v>
          </cell>
        </row>
        <row r="7507">
          <cell r="I7507">
            <v>900221444</v>
          </cell>
          <cell r="J7507" t="str">
            <v>CENTRO EDUCATIVO LAS MERCEDES</v>
          </cell>
          <cell r="K7507">
            <v>15380976</v>
          </cell>
        </row>
        <row r="7508">
          <cell r="I7508">
            <v>900221671</v>
          </cell>
          <cell r="J7508" t="str">
            <v>CE SANTO TOMAS DE AQUINO</v>
          </cell>
          <cell r="K7508">
            <v>18617411</v>
          </cell>
        </row>
        <row r="7509">
          <cell r="I7509">
            <v>900221763</v>
          </cell>
          <cell r="J7509" t="str">
            <v>CENTRO EDUCATIVO LA SAMARIA</v>
          </cell>
          <cell r="K7509">
            <v>33225478</v>
          </cell>
        </row>
        <row r="7510">
          <cell r="I7510">
            <v>900222051</v>
          </cell>
          <cell r="J7510" t="str">
            <v>CENTRO EDUCATIVO MAMON DE MARIA</v>
          </cell>
          <cell r="K7510">
            <v>41299158</v>
          </cell>
        </row>
        <row r="7511">
          <cell r="I7511">
            <v>900222065</v>
          </cell>
          <cell r="J7511" t="str">
            <v>CENTRO EDUCATIVO ALTA MONTAÑA</v>
          </cell>
          <cell r="K7511">
            <v>34444054</v>
          </cell>
        </row>
        <row r="7512">
          <cell r="I7512">
            <v>900223457</v>
          </cell>
          <cell r="J7512" t="str">
            <v>centro educativo nueva esperanza</v>
          </cell>
          <cell r="K7512">
            <v>17929538</v>
          </cell>
        </row>
        <row r="7513">
          <cell r="I7513">
            <v>900223827</v>
          </cell>
          <cell r="J7513" t="str">
            <v>CENTRO EDUCATIVO VILLA CARMONA</v>
          </cell>
          <cell r="K7513">
            <v>43046130</v>
          </cell>
        </row>
        <row r="7514">
          <cell r="I7514">
            <v>900225604</v>
          </cell>
          <cell r="J7514" t="str">
            <v>Institución Educativa Agropecuaria Nuestra Señora de la pobreza /Fondo de Servicios Educativos</v>
          </cell>
          <cell r="K7514">
            <v>37179002</v>
          </cell>
        </row>
        <row r="7515">
          <cell r="I7515">
            <v>900225989</v>
          </cell>
          <cell r="J7515" t="str">
            <v>COLEGIO DE EDUCACIÓN BÁSICA PAZ Y LIBERTAD</v>
          </cell>
          <cell r="K7515">
            <v>9033496</v>
          </cell>
        </row>
        <row r="7516">
          <cell r="I7516">
            <v>900227267</v>
          </cell>
          <cell r="J7516" t="str">
            <v>INSITUCION EDUCATIVA LAS AREPAS</v>
          </cell>
          <cell r="K7516">
            <v>56064202</v>
          </cell>
        </row>
        <row r="7517">
          <cell r="I7517">
            <v>900227645</v>
          </cell>
          <cell r="J7517" t="str">
            <v>FONDO DE SERVICIO EDUCATIVO COL PUERTO NUEVO</v>
          </cell>
          <cell r="K7517">
            <v>41841194</v>
          </cell>
        </row>
        <row r="7518">
          <cell r="I7518">
            <v>900227781</v>
          </cell>
          <cell r="J7518" t="str">
            <v>INSTITUCION EDUCATIVA VILLA NUEVA</v>
          </cell>
          <cell r="K7518">
            <v>27557354</v>
          </cell>
        </row>
        <row r="7519">
          <cell r="I7519">
            <v>900227937</v>
          </cell>
          <cell r="J7519" t="str">
            <v>CENTRO EDUCATIVO CAMPO LEJANO</v>
          </cell>
          <cell r="K7519">
            <v>21728209</v>
          </cell>
        </row>
        <row r="7520">
          <cell r="I7520">
            <v>900227943</v>
          </cell>
          <cell r="J7520" t="str">
            <v>CENTRO EDUCATIVO DANUBIO</v>
          </cell>
          <cell r="K7520">
            <v>8909684</v>
          </cell>
        </row>
        <row r="7521">
          <cell r="I7521">
            <v>900228255</v>
          </cell>
          <cell r="J7521" t="str">
            <v>Instituto Educativo Agroecologico de Puerto Salazar  / Fondo de Servicios Educativos</v>
          </cell>
          <cell r="K7521">
            <v>18884006</v>
          </cell>
        </row>
        <row r="7522">
          <cell r="I7522">
            <v>900229008</v>
          </cell>
          <cell r="J7522" t="str">
            <v>INSTITUCION EDUCATIVA ESTAMBUL</v>
          </cell>
          <cell r="K7522">
            <v>44313364</v>
          </cell>
        </row>
        <row r="7523">
          <cell r="I7523">
            <v>900229084</v>
          </cell>
          <cell r="J7523" t="str">
            <v>I.E. ANTONIO DERKA - SANTO DOMINGO</v>
          </cell>
          <cell r="K7523">
            <v>248672746</v>
          </cell>
        </row>
        <row r="7524">
          <cell r="I7524">
            <v>900229988</v>
          </cell>
          <cell r="J7524" t="str">
            <v>Institucion Educativa Colegio de Acaricuara</v>
          </cell>
          <cell r="K7524">
            <v>34875748</v>
          </cell>
        </row>
        <row r="7525">
          <cell r="I7525">
            <v>900230451</v>
          </cell>
          <cell r="J7525" t="str">
            <v>CENTRO EDUCATIVO CAÑO BONITO</v>
          </cell>
          <cell r="K7525">
            <v>15253135</v>
          </cell>
        </row>
        <row r="7526">
          <cell r="I7526">
            <v>900230843</v>
          </cell>
          <cell r="J7526" t="str">
            <v>INSTITUCION EDUCATIVA TECNICA AGROPECUARIA TALAIGUA VIEJO</v>
          </cell>
          <cell r="K7526">
            <v>40974844</v>
          </cell>
        </row>
        <row r="7527">
          <cell r="I7527">
            <v>900231145</v>
          </cell>
          <cell r="J7527" t="str">
            <v>INSTITUCION EDUCATIVA TECNICA AGROINDUSTRIAL NUEVA GENER</v>
          </cell>
          <cell r="K7527">
            <v>34650850</v>
          </cell>
        </row>
        <row r="7528">
          <cell r="I7528">
            <v>900231975</v>
          </cell>
          <cell r="J7528" t="str">
            <v>FONDOS DE SERVICIOS EDUCATIVOS INSTITUCION EDUCATIVA LAS COLINAS</v>
          </cell>
          <cell r="K7528">
            <v>38433499</v>
          </cell>
        </row>
        <row r="7529">
          <cell r="I7529">
            <v>900233450</v>
          </cell>
          <cell r="J7529" t="str">
            <v>COLEGIO DEPARTAAMENTAL DE BACHILLERATO RICARDO CASTELLAR BARR</v>
          </cell>
          <cell r="K7529">
            <v>80974759</v>
          </cell>
        </row>
        <row r="7530">
          <cell r="I7530">
            <v>900233636</v>
          </cell>
          <cell r="J7530" t="str">
            <v>COLEGIO JOSE MARIA VARGAS VILA</v>
          </cell>
          <cell r="K7530">
            <v>160031345</v>
          </cell>
        </row>
        <row r="7531">
          <cell r="I7531">
            <v>900233637</v>
          </cell>
          <cell r="J7531" t="str">
            <v>INTITUCION EDUCATIVA SANTO DOMINGO SAVIO</v>
          </cell>
          <cell r="K7531">
            <v>123811586</v>
          </cell>
        </row>
        <row r="7532">
          <cell r="I7532">
            <v>900233673</v>
          </cell>
          <cell r="J7532" t="str">
            <v>CENT EDUC CUCHILLO BLANCO</v>
          </cell>
          <cell r="K7532">
            <v>24089778</v>
          </cell>
        </row>
        <row r="7533">
          <cell r="I7533">
            <v>900233728</v>
          </cell>
          <cell r="J7533" t="str">
            <v>FONDO DE SERVICIO EDUCATIVO INSTITUCION EDUCATIVA EL RODEO</v>
          </cell>
          <cell r="K7533">
            <v>113024066</v>
          </cell>
        </row>
        <row r="7534">
          <cell r="I7534">
            <v>900233888</v>
          </cell>
          <cell r="J7534" t="str">
            <v>INSTITUCION EDUCATIVATECNICO AGROECOLOGICO EL MOTILON</v>
          </cell>
          <cell r="K7534">
            <v>33785749</v>
          </cell>
        </row>
        <row r="7535">
          <cell r="I7535">
            <v>900233966</v>
          </cell>
          <cell r="J7535" t="str">
            <v>INST EDUC TEC AGROPESQUERA JORGE ELIECER GAITAN</v>
          </cell>
          <cell r="K7535">
            <v>27502959</v>
          </cell>
        </row>
        <row r="7536">
          <cell r="I7536">
            <v>900234215</v>
          </cell>
          <cell r="J7536" t="str">
            <v>CENTRO EDUCATIVO RURAL EL CEDRO</v>
          </cell>
          <cell r="K7536">
            <v>19992851</v>
          </cell>
        </row>
        <row r="7537">
          <cell r="I7537">
            <v>900235059</v>
          </cell>
          <cell r="J7537" t="str">
            <v>CE.Bocanegra</v>
          </cell>
          <cell r="K7537">
            <v>21396387</v>
          </cell>
        </row>
        <row r="7538">
          <cell r="I7538">
            <v>900235415</v>
          </cell>
          <cell r="J7538" t="str">
            <v>CENT EDUC RUR LA UNION</v>
          </cell>
          <cell r="K7538">
            <v>16952626</v>
          </cell>
        </row>
        <row r="7539">
          <cell r="I7539">
            <v>900236694</v>
          </cell>
          <cell r="J7539" t="str">
            <v>CENTRO EDUCATIVO RURAL LOS AGUACATES</v>
          </cell>
          <cell r="K7539">
            <v>17222186</v>
          </cell>
        </row>
        <row r="7540">
          <cell r="I7540">
            <v>900236697</v>
          </cell>
          <cell r="J7540" t="str">
            <v>CENTRO EDUCATIVO MORALITOS</v>
          </cell>
          <cell r="K7540">
            <v>31691191</v>
          </cell>
        </row>
        <row r="7541">
          <cell r="I7541">
            <v>900236926</v>
          </cell>
          <cell r="J7541" t="str">
            <v>Fondo de Servicio Educativo CED Don Jaca</v>
          </cell>
          <cell r="K7541">
            <v>21854792</v>
          </cell>
        </row>
        <row r="7542">
          <cell r="I7542">
            <v>900236928</v>
          </cell>
          <cell r="J7542" t="str">
            <v>Fondo de Servicio Docente CED Bellavista</v>
          </cell>
          <cell r="K7542">
            <v>28596768</v>
          </cell>
        </row>
        <row r="7543">
          <cell r="I7543">
            <v>900237149</v>
          </cell>
          <cell r="J7543" t="str">
            <v>CENTRO EDUCATIVO INMACULADO CORAZON DE MARIA</v>
          </cell>
          <cell r="K7543">
            <v>25038424</v>
          </cell>
        </row>
        <row r="7544">
          <cell r="I7544">
            <v>900237199</v>
          </cell>
          <cell r="J7544" t="str">
            <v>CENTRO EDUCATIVO RURAL DEL PASO LAS FLORES</v>
          </cell>
          <cell r="K7544">
            <v>18741153</v>
          </cell>
        </row>
        <row r="7545">
          <cell r="I7545">
            <v>900237341</v>
          </cell>
          <cell r="J7545" t="str">
            <v>INSTITUCION EDUCATIVA ABROJAL</v>
          </cell>
          <cell r="K7545">
            <v>14906492</v>
          </cell>
        </row>
        <row r="7546">
          <cell r="I7546">
            <v>900237804</v>
          </cell>
          <cell r="J7546" t="str">
            <v>IER CRISTO REY - Maceo</v>
          </cell>
          <cell r="K7546">
            <v>22204721</v>
          </cell>
        </row>
        <row r="7547">
          <cell r="I7547">
            <v>900238537</v>
          </cell>
          <cell r="J7547" t="str">
            <v>Fondo de Servicio Docente CED El Mamey</v>
          </cell>
          <cell r="K7547">
            <v>24559902</v>
          </cell>
        </row>
        <row r="7548">
          <cell r="I7548">
            <v>900239650</v>
          </cell>
          <cell r="J7548" t="str">
            <v>INSTITUCION EDUCATIVA SAGRADA FAMILIA</v>
          </cell>
          <cell r="K7548">
            <v>58258437</v>
          </cell>
        </row>
        <row r="7549">
          <cell r="I7549">
            <v>900239990</v>
          </cell>
          <cell r="J7549" t="str">
            <v>INSTITUCION EDUCATIVA PICA PICA VIEJO</v>
          </cell>
          <cell r="K7549">
            <v>54228273</v>
          </cell>
        </row>
        <row r="7550">
          <cell r="I7550">
            <v>900240003</v>
          </cell>
          <cell r="J7550" t="str">
            <v>IE TUNJUELITO DE MONGUA</v>
          </cell>
          <cell r="K7550">
            <v>25218933</v>
          </cell>
        </row>
        <row r="7551">
          <cell r="I7551">
            <v>900240812</v>
          </cell>
          <cell r="J7551" t="str">
            <v>IE ALTO DEL CORRAL - Heliconia</v>
          </cell>
          <cell r="K7551">
            <v>15982228</v>
          </cell>
        </row>
        <row r="7552">
          <cell r="I7552">
            <v>900241018</v>
          </cell>
          <cell r="J7552" t="str">
            <v>centro educativo cayo delgado</v>
          </cell>
          <cell r="K7552">
            <v>10960383</v>
          </cell>
        </row>
        <row r="7553">
          <cell r="I7553">
            <v>900241221</v>
          </cell>
          <cell r="J7553" t="str">
            <v>INSTITUCION EDUCATIVA SIMON BOLIVAR</v>
          </cell>
          <cell r="K7553">
            <v>42397707</v>
          </cell>
        </row>
        <row r="7554">
          <cell r="I7554">
            <v>900241285</v>
          </cell>
          <cell r="J7554" t="str">
            <v>institucion educativa la meseta</v>
          </cell>
          <cell r="K7554">
            <v>20146966</v>
          </cell>
        </row>
        <row r="7555">
          <cell r="I7555">
            <v>900241507</v>
          </cell>
          <cell r="J7555" t="str">
            <v>INSTITUCION EDUCATIVA BARRO PRIETO</v>
          </cell>
          <cell r="K7555">
            <v>47896839</v>
          </cell>
        </row>
        <row r="7556">
          <cell r="I7556">
            <v>900241534</v>
          </cell>
          <cell r="J7556" t="str">
            <v>INSTITUCION EDUCATIVA LOS  LIBERTADORES</v>
          </cell>
          <cell r="K7556">
            <v>12710678</v>
          </cell>
        </row>
        <row r="7557">
          <cell r="I7557">
            <v>900241537</v>
          </cell>
          <cell r="J7557" t="str">
            <v>INSTITUCION EDUCATIVA SANTO DOMINGO SAVIO</v>
          </cell>
          <cell r="K7557">
            <v>16496756</v>
          </cell>
        </row>
        <row r="7558">
          <cell r="I7558">
            <v>900241589</v>
          </cell>
          <cell r="J7558" t="str">
            <v>INSTITUCION EDUCATIVA  MATILDE ANARAY</v>
          </cell>
          <cell r="K7558">
            <v>13793213</v>
          </cell>
        </row>
        <row r="7559">
          <cell r="I7559">
            <v>900242552</v>
          </cell>
          <cell r="J7559" t="str">
            <v>IE JULIAN PINTO BUENDIA</v>
          </cell>
          <cell r="K7559">
            <v>95512333</v>
          </cell>
        </row>
        <row r="7560">
          <cell r="I7560">
            <v>900243221</v>
          </cell>
          <cell r="J7560" t="str">
            <v>Fondo de Servicio Educativo CED Aeromar</v>
          </cell>
          <cell r="K7560">
            <v>33510360</v>
          </cell>
        </row>
        <row r="7561">
          <cell r="I7561">
            <v>900243250</v>
          </cell>
          <cell r="J7561" t="str">
            <v>Institucion educativa Mindala</v>
          </cell>
          <cell r="K7561">
            <v>23458546</v>
          </cell>
        </row>
        <row r="7562">
          <cell r="I7562">
            <v>900243293</v>
          </cell>
          <cell r="J7562" t="str">
            <v>CENTRO EDUCATIVO PUEBLO NUEVO</v>
          </cell>
          <cell r="K7562">
            <v>45431441</v>
          </cell>
        </row>
        <row r="7563">
          <cell r="I7563">
            <v>900244050</v>
          </cell>
          <cell r="J7563" t="str">
            <v>INSTITUCION EDUCATIVA DE MACHADO</v>
          </cell>
          <cell r="K7563">
            <v>18715391</v>
          </cell>
        </row>
        <row r="7564">
          <cell r="I7564">
            <v>900244894</v>
          </cell>
          <cell r="J7564" t="str">
            <v>CENTRO EDUCATIVO SIETE PALMA</v>
          </cell>
          <cell r="K7564">
            <v>19961988</v>
          </cell>
        </row>
        <row r="7565">
          <cell r="I7565">
            <v>900244896</v>
          </cell>
          <cell r="J7565" t="str">
            <v>CENTRO EDUCATIVO CAMPO BELLO</v>
          </cell>
          <cell r="K7565">
            <v>17744732</v>
          </cell>
        </row>
        <row r="7566">
          <cell r="I7566">
            <v>900245142</v>
          </cell>
          <cell r="J7566" t="str">
            <v>INSTITUCION EDUCATIVA MIMBRES CENTRO</v>
          </cell>
          <cell r="K7566">
            <v>46169977</v>
          </cell>
        </row>
        <row r="7567">
          <cell r="I7567">
            <v>900245345</v>
          </cell>
          <cell r="J7567" t="str">
            <v>CENTRO EDUCATIVO RURAL LOS VIDALES</v>
          </cell>
          <cell r="K7567">
            <v>55144830</v>
          </cell>
        </row>
        <row r="7568">
          <cell r="I7568">
            <v>900245541</v>
          </cell>
          <cell r="J7568" t="str">
            <v>CENTRO EDUCATIVO ANTONIA SANTOS</v>
          </cell>
          <cell r="K7568">
            <v>55931000</v>
          </cell>
        </row>
        <row r="7569">
          <cell r="I7569">
            <v>900245620</v>
          </cell>
          <cell r="J7569" t="str">
            <v>Fondo de Servicio Educativo CED Buenos Aires</v>
          </cell>
          <cell r="K7569">
            <v>26822368</v>
          </cell>
        </row>
        <row r="7570">
          <cell r="I7570">
            <v>900246248</v>
          </cell>
          <cell r="J7570" t="str">
            <v>FONDO DE SERVICIOS EDUCATIVOS DE LA INSTITUCIóN EDUCATIVA EL QUEBRADON</v>
          </cell>
          <cell r="K7570">
            <v>34153123</v>
          </cell>
        </row>
        <row r="7571">
          <cell r="I7571">
            <v>900246445</v>
          </cell>
          <cell r="J7571" t="str">
            <v>CENTRO EDUCATIVO SAN NICOLAS DE CHAPARRAL</v>
          </cell>
          <cell r="K7571">
            <v>11583372</v>
          </cell>
        </row>
        <row r="7572">
          <cell r="I7572">
            <v>900246906</v>
          </cell>
          <cell r="J7572" t="str">
            <v>FONDO DE SERVICIOS EDUCATIVOS</v>
          </cell>
          <cell r="K7572">
            <v>19743099</v>
          </cell>
        </row>
        <row r="7573">
          <cell r="I7573">
            <v>900247161</v>
          </cell>
          <cell r="J7573" t="str">
            <v>CENTRO EDUCATIVO MALAMBO</v>
          </cell>
          <cell r="K7573">
            <v>14559102</v>
          </cell>
        </row>
        <row r="7574">
          <cell r="I7574">
            <v>900247189</v>
          </cell>
          <cell r="J7574" t="str">
            <v>centro educativo la ventura</v>
          </cell>
          <cell r="K7574">
            <v>15121292</v>
          </cell>
        </row>
        <row r="7575">
          <cell r="I7575">
            <v>900247194</v>
          </cell>
          <cell r="J7575" t="str">
            <v>CENTRO EDUC.RURAL SAN ANTONIO DE TACHIRA</v>
          </cell>
          <cell r="K7575">
            <v>26904907</v>
          </cell>
        </row>
        <row r="7576">
          <cell r="I7576">
            <v>900247371</v>
          </cell>
          <cell r="J7576" t="str">
            <v>institución educativa el rosario</v>
          </cell>
          <cell r="K7576">
            <v>21470068</v>
          </cell>
        </row>
        <row r="7577">
          <cell r="I7577">
            <v>900247511</v>
          </cell>
          <cell r="J7577" t="str">
            <v>CENTRO EDUCATIVO EL HATO</v>
          </cell>
          <cell r="K7577">
            <v>53027581</v>
          </cell>
        </row>
        <row r="7578">
          <cell r="I7578">
            <v>900248029</v>
          </cell>
          <cell r="J7578" t="str">
            <v>C.E LA FLORESTA No 5</v>
          </cell>
          <cell r="K7578">
            <v>16107039</v>
          </cell>
        </row>
        <row r="7579">
          <cell r="I7579">
            <v>900248364</v>
          </cell>
          <cell r="J7579" t="str">
            <v>IER LOS  ALMAGROS - San Pedro de Urabá</v>
          </cell>
          <cell r="K7579">
            <v>36433524</v>
          </cell>
        </row>
        <row r="7580">
          <cell r="I7580">
            <v>900248409</v>
          </cell>
          <cell r="J7580" t="str">
            <v>C.E.R. BARRIO GIRON</v>
          </cell>
          <cell r="K7580">
            <v>50540572</v>
          </cell>
        </row>
        <row r="7581">
          <cell r="I7581">
            <v>900248809</v>
          </cell>
          <cell r="J7581" t="str">
            <v>FONDOS EDUCATIVOS INSTITUCION EDUCATIVA JESUS ANTONIO AMEZQUITA</v>
          </cell>
          <cell r="K7581">
            <v>49109544</v>
          </cell>
        </row>
        <row r="7582">
          <cell r="I7582">
            <v>900248908</v>
          </cell>
          <cell r="J7582" t="str">
            <v>CENT EDUC RUR LAS  BALSAS</v>
          </cell>
          <cell r="K7582">
            <v>56489184</v>
          </cell>
        </row>
        <row r="7583">
          <cell r="I7583">
            <v>900248973</v>
          </cell>
          <cell r="J7583" t="str">
            <v>Intitucion  Postmaria Miguel Angel Guerrero Garces de Paito -  Fondo de Servicios Educativos</v>
          </cell>
          <cell r="K7583">
            <v>23962855</v>
          </cell>
        </row>
        <row r="7584">
          <cell r="I7584">
            <v>900249323</v>
          </cell>
          <cell r="J7584" t="str">
            <v>IE SANTA CATALINA - San Pedro de Urabá</v>
          </cell>
          <cell r="K7584">
            <v>94331137</v>
          </cell>
        </row>
        <row r="7585">
          <cell r="I7585">
            <v>900249682</v>
          </cell>
          <cell r="J7585" t="str">
            <v>CENTRO EDUCATIVO ALTO QUEBRADON</v>
          </cell>
          <cell r="K7585">
            <v>31019676</v>
          </cell>
        </row>
        <row r="7586">
          <cell r="I7586">
            <v>900250094</v>
          </cell>
          <cell r="J7586" t="str">
            <v>INSTITUCION EDUCATIVA RURAL SIMON BOLIVAR</v>
          </cell>
          <cell r="K7586">
            <v>46839842</v>
          </cell>
        </row>
        <row r="7587">
          <cell r="I7587">
            <v>900250139</v>
          </cell>
          <cell r="J7587" t="str">
            <v>Diazgranados</v>
          </cell>
          <cell r="K7587">
            <v>7801422</v>
          </cell>
        </row>
        <row r="7588">
          <cell r="I7588">
            <v>900250546</v>
          </cell>
          <cell r="J7588" t="str">
            <v>INSTITUCION EDUCATIVA COSTA RICA</v>
          </cell>
          <cell r="K7588">
            <v>23350530</v>
          </cell>
        </row>
        <row r="7589">
          <cell r="I7589">
            <v>900250978</v>
          </cell>
          <cell r="J7589" t="str">
            <v>CENTRON EDUCATIVO RURAL LA BALSA</v>
          </cell>
          <cell r="K7589">
            <v>23990155</v>
          </cell>
        </row>
        <row r="7590">
          <cell r="I7590">
            <v>900251658</v>
          </cell>
          <cell r="J7590" t="str">
            <v>INSTITUCION EDUCATIVA SIMON BOLIVAR DE CAMAJON</v>
          </cell>
          <cell r="K7590">
            <v>15000053</v>
          </cell>
        </row>
        <row r="7591">
          <cell r="I7591">
            <v>900252639</v>
          </cell>
          <cell r="J7591" t="str">
            <v>Fondo de Servicios Educativos Intitucion Educativa Diego Luis Cordoba Pino - Medio Atrato</v>
          </cell>
          <cell r="K7591">
            <v>40218724</v>
          </cell>
        </row>
        <row r="7592">
          <cell r="I7592">
            <v>900253245</v>
          </cell>
          <cell r="J7592" t="str">
            <v>Centro Educativo Loma Alta</v>
          </cell>
          <cell r="K7592">
            <v>17681777</v>
          </cell>
        </row>
        <row r="7593">
          <cell r="I7593">
            <v>900253334</v>
          </cell>
          <cell r="J7593" t="str">
            <v>COLEGIO DE EDUCCION BASICA PEDREGAL ALTO SUTAMARCHAN</v>
          </cell>
          <cell r="K7593">
            <v>23421246</v>
          </cell>
        </row>
        <row r="7594">
          <cell r="I7594">
            <v>900253478</v>
          </cell>
          <cell r="J7594" t="str">
            <v>CENTRO EDUCATIVO COMEJEN</v>
          </cell>
          <cell r="K7594">
            <v>27494363</v>
          </cell>
        </row>
        <row r="7595">
          <cell r="I7595">
            <v>900253878</v>
          </cell>
          <cell r="J7595" t="str">
            <v>IER BETANIA - San Pedro de Urabá</v>
          </cell>
          <cell r="K7595">
            <v>24906609</v>
          </cell>
        </row>
        <row r="7596">
          <cell r="I7596">
            <v>900253925</v>
          </cell>
          <cell r="J7596" t="str">
            <v>C.E. ESTADOS UNIDOS</v>
          </cell>
          <cell r="K7596">
            <v>32535704</v>
          </cell>
        </row>
        <row r="7597">
          <cell r="I7597">
            <v>900254314</v>
          </cell>
          <cell r="J7597" t="str">
            <v>IER ZUMBIDO - San Pedro de Urabá</v>
          </cell>
          <cell r="K7597">
            <v>23685885</v>
          </cell>
        </row>
        <row r="7598">
          <cell r="I7598">
            <v>900254337</v>
          </cell>
          <cell r="J7598" t="str">
            <v>INSTITUCION EDUCATIVA RURAL DEPARTAMENTAL ANATOLI</v>
          </cell>
          <cell r="K7598">
            <v>17839082</v>
          </cell>
        </row>
        <row r="7599">
          <cell r="I7599">
            <v>900254492</v>
          </cell>
          <cell r="J7599" t="str">
            <v>CENTRO EDUCATIVO SITIO NUEVO</v>
          </cell>
          <cell r="K7599">
            <v>40257449</v>
          </cell>
        </row>
        <row r="7600">
          <cell r="I7600">
            <v>900254815</v>
          </cell>
          <cell r="J7600" t="str">
            <v>Institución Educativa La Cabaña</v>
          </cell>
          <cell r="K7600">
            <v>23999290</v>
          </cell>
        </row>
        <row r="7601">
          <cell r="I7601">
            <v>900254968</v>
          </cell>
          <cell r="J7601" t="str">
            <v>Centro Educativo Boca de Bebara / Fondo de Servicios Educativos</v>
          </cell>
          <cell r="K7601">
            <v>21785544</v>
          </cell>
        </row>
        <row r="7602">
          <cell r="I7602">
            <v>900255240</v>
          </cell>
          <cell r="J7602" t="str">
            <v>CENTRO EDUCATIVO LA ARGENTINA</v>
          </cell>
          <cell r="K7602">
            <v>10494992</v>
          </cell>
        </row>
        <row r="7603">
          <cell r="I7603">
            <v>900255337</v>
          </cell>
          <cell r="J7603" t="str">
            <v>IER ARENAS MONAS - San Pedro de Urabá</v>
          </cell>
          <cell r="K7603">
            <v>17595862</v>
          </cell>
        </row>
        <row r="7604">
          <cell r="I7604">
            <v>900256055</v>
          </cell>
          <cell r="J7604" t="str">
            <v>INSTITUCION EDUCATIVA MARIA AUXILIADORA</v>
          </cell>
          <cell r="K7604">
            <v>110903490</v>
          </cell>
        </row>
        <row r="7605">
          <cell r="I7605">
            <v>900256070</v>
          </cell>
          <cell r="J7605" t="str">
            <v>CENTYRO EDUCATIVO NUESTRA SEÑORA DEL CARMEN</v>
          </cell>
          <cell r="K7605">
            <v>13322237</v>
          </cell>
        </row>
        <row r="7606">
          <cell r="I7606">
            <v>900256345</v>
          </cell>
          <cell r="J7606" t="str">
            <v>CENTRO EDUCATIVO BRISAS DE SAN  ISIDRO</v>
          </cell>
          <cell r="K7606">
            <v>28834543</v>
          </cell>
        </row>
        <row r="7607">
          <cell r="I7607">
            <v>900256484</v>
          </cell>
          <cell r="J7607" t="str">
            <v>CENTRO EDUCATIVO JHON F KENEDY FONDO DE SERVICIOS EDUCATIVOS</v>
          </cell>
          <cell r="K7607">
            <v>5969196</v>
          </cell>
        </row>
        <row r="7608">
          <cell r="I7608">
            <v>900256595</v>
          </cell>
          <cell r="J7608" t="str">
            <v>INSTITUCION EDUCATIVA INSTITUTO INDIGENA PUREMBARA</v>
          </cell>
          <cell r="K7608">
            <v>43644705</v>
          </cell>
        </row>
        <row r="7609">
          <cell r="I7609">
            <v>900256963</v>
          </cell>
          <cell r="J7609" t="str">
            <v>Fondo de Servicios Educativos - IE del Llano</v>
          </cell>
          <cell r="K7609">
            <v>97520742</v>
          </cell>
        </row>
        <row r="7610">
          <cell r="I7610">
            <v>900256993</v>
          </cell>
          <cell r="J7610" t="str">
            <v>Fondo de Servicios Educativos Postprimaria de Bocas de Limón</v>
          </cell>
          <cell r="K7610">
            <v>33861912</v>
          </cell>
        </row>
        <row r="7611">
          <cell r="I7611">
            <v>900257005</v>
          </cell>
          <cell r="J7611" t="str">
            <v>FONDO DE SERVICIOS EDUCATIVOS DE LA INSTITUCION EDUCATIVA JORGE VALENCIA LOZANO DE LA TROJE</v>
          </cell>
          <cell r="K7611">
            <v>32491950</v>
          </cell>
        </row>
        <row r="7612">
          <cell r="I7612">
            <v>900257015</v>
          </cell>
          <cell r="J7612" t="str">
            <v>CENTTRO EDUCATIVO VERDUM</v>
          </cell>
          <cell r="K7612">
            <v>9262210</v>
          </cell>
        </row>
        <row r="7613">
          <cell r="I7613">
            <v>900257135</v>
          </cell>
          <cell r="J7613" t="str">
            <v>CENTRO EDUCATIVO SANTA TERESITA DEL NIÑO JESUS</v>
          </cell>
          <cell r="K7613">
            <v>6202137</v>
          </cell>
        </row>
        <row r="7614">
          <cell r="I7614">
            <v>900257137</v>
          </cell>
          <cell r="J7614" t="str">
            <v>Fondo de Servicios Educativos Centro Educativo de San Jose de Buey</v>
          </cell>
          <cell r="K7614">
            <v>18880607</v>
          </cell>
        </row>
        <row r="7615">
          <cell r="I7615">
            <v>900257478</v>
          </cell>
          <cell r="J7615" t="str">
            <v>INSTITUCION EDUCATIVA  OLAYA</v>
          </cell>
          <cell r="K7615">
            <v>51335987</v>
          </cell>
        </row>
        <row r="7616">
          <cell r="I7616">
            <v>900259553</v>
          </cell>
          <cell r="J7616" t="str">
            <v>CENTRO EDUCATIVO GALINDO</v>
          </cell>
          <cell r="K7616">
            <v>10965420</v>
          </cell>
        </row>
        <row r="7617">
          <cell r="I7617">
            <v>900259945</v>
          </cell>
          <cell r="J7617" t="str">
            <v>I. E. PABLO SEXTO</v>
          </cell>
          <cell r="K7617">
            <v>18130705</v>
          </cell>
        </row>
        <row r="7618">
          <cell r="I7618">
            <v>900260161</v>
          </cell>
          <cell r="J7618" t="str">
            <v>Fondo de Servicios Educativos Intitucion Educativa Heraclio Lara Arroyo</v>
          </cell>
          <cell r="K7618">
            <v>99058504</v>
          </cell>
        </row>
        <row r="7619">
          <cell r="I7619">
            <v>900260776</v>
          </cell>
          <cell r="J7619" t="str">
            <v>CENTRO EDUCATIVO SAN ISIDRO</v>
          </cell>
          <cell r="K7619">
            <v>39215178</v>
          </cell>
        </row>
        <row r="7620">
          <cell r="I7620">
            <v>900260908</v>
          </cell>
          <cell r="J7620" t="str">
            <v>i.e.d.colegio jose francisco socarras</v>
          </cell>
          <cell r="K7620">
            <v>253683658</v>
          </cell>
        </row>
        <row r="7621">
          <cell r="I7621">
            <v>900261791</v>
          </cell>
          <cell r="J7621" t="str">
            <v>INSTITUTO TENICO AGRICOLA</v>
          </cell>
          <cell r="K7621">
            <v>55753747</v>
          </cell>
        </row>
        <row r="7622">
          <cell r="I7622">
            <v>900261897</v>
          </cell>
          <cell r="J7622" t="str">
            <v>I.E. ESCUELA NORMAL SUPERIOR SAN PIO X</v>
          </cell>
          <cell r="K7622">
            <v>93073334</v>
          </cell>
        </row>
        <row r="7623">
          <cell r="I7623">
            <v>900261948</v>
          </cell>
          <cell r="J7623" t="str">
            <v>FSE LLANO LINDO - SGP - GRATUIDAD</v>
          </cell>
          <cell r="K7623">
            <v>151643220</v>
          </cell>
        </row>
        <row r="7624">
          <cell r="I7624">
            <v>900262284</v>
          </cell>
          <cell r="J7624" t="str">
            <v>INSTITUCION EDUCATIVA LA GRANJA</v>
          </cell>
          <cell r="K7624">
            <v>17795713</v>
          </cell>
        </row>
        <row r="7625">
          <cell r="I7625">
            <v>900262481</v>
          </cell>
          <cell r="J7625" t="str">
            <v>FONDO DE SERVICIOS EDUCATIVOS INSTITUCION EDUCATIVA MODELIA</v>
          </cell>
          <cell r="K7625">
            <v>78491883</v>
          </cell>
        </row>
        <row r="7626">
          <cell r="I7626">
            <v>900262901</v>
          </cell>
          <cell r="J7626" t="str">
            <v>CENTRO EDUC RURAL LA QUINA</v>
          </cell>
          <cell r="K7626">
            <v>44264459</v>
          </cell>
        </row>
        <row r="7627">
          <cell r="I7627">
            <v>900263298</v>
          </cell>
          <cell r="J7627" t="str">
            <v>Fondo de Servicios Educativos Centro Educativo  de San Francisco de Asis</v>
          </cell>
          <cell r="K7627">
            <v>21805161</v>
          </cell>
        </row>
        <row r="7628">
          <cell r="I7628">
            <v>900263668</v>
          </cell>
          <cell r="J7628" t="str">
            <v>INSTITUCION EDUCATIVA LUCILA GODOY</v>
          </cell>
          <cell r="K7628">
            <v>54703662</v>
          </cell>
        </row>
        <row r="7629">
          <cell r="I7629">
            <v>900263883</v>
          </cell>
          <cell r="J7629" t="str">
            <v>INSTITUCION EDUCATIVA NOVIRAO</v>
          </cell>
          <cell r="K7629">
            <v>19356302</v>
          </cell>
        </row>
        <row r="7630">
          <cell r="I7630">
            <v>900264398</v>
          </cell>
          <cell r="J7630" t="str">
            <v>INSTITUCION EDUCATIVA VILLA ESTHER</v>
          </cell>
          <cell r="K7630">
            <v>11405797</v>
          </cell>
        </row>
        <row r="7631">
          <cell r="I7631">
            <v>900265534</v>
          </cell>
          <cell r="J7631" t="str">
            <v>FONDO DE SERVICIOS EDUCATIVOS</v>
          </cell>
          <cell r="K7631">
            <v>33315463</v>
          </cell>
        </row>
        <row r="7632">
          <cell r="I7632">
            <v>900265595</v>
          </cell>
          <cell r="J7632" t="str">
            <v>INSTITUCION EDUCATIVA  SAN ANTONIO</v>
          </cell>
          <cell r="K7632">
            <v>32789722</v>
          </cell>
        </row>
        <row r="7633">
          <cell r="I7633">
            <v>900265596</v>
          </cell>
          <cell r="J7633" t="str">
            <v>INSTITUCION EDUCATIVA PABLO VI</v>
          </cell>
          <cell r="K7633">
            <v>43530565</v>
          </cell>
        </row>
        <row r="7634">
          <cell r="I7634">
            <v>900265926</v>
          </cell>
          <cell r="J7634" t="str">
            <v>Fondo de Servicios Educativos Centro Educativo Santa Maria</v>
          </cell>
          <cell r="K7634">
            <v>42509400</v>
          </cell>
        </row>
        <row r="7635">
          <cell r="I7635">
            <v>900266333</v>
          </cell>
          <cell r="J7635" t="str">
            <v>INSTITUCION EDUCATIVA AGROPECUARIA  CHAPA</v>
          </cell>
          <cell r="K7635">
            <v>10568277</v>
          </cell>
        </row>
        <row r="7636">
          <cell r="I7636">
            <v>900266853</v>
          </cell>
          <cell r="J7636" t="str">
            <v>INSTITUTO EDUCATIVO RURAL DIVINO SALVADOR - FONDO DE SERVICIOS EDUCATIVOS</v>
          </cell>
          <cell r="K7636">
            <v>45292123</v>
          </cell>
        </row>
        <row r="7637">
          <cell r="I7637">
            <v>900269131</v>
          </cell>
          <cell r="J7637" t="str">
            <v>IE. JESUS EMILIO JARAMILLO MONSALVE</v>
          </cell>
          <cell r="K7637">
            <v>16674197</v>
          </cell>
        </row>
        <row r="7638">
          <cell r="I7638">
            <v>900269153</v>
          </cell>
          <cell r="J7638" t="str">
            <v>CENTRO EDUCATIVO HERMANO ANSELMO MOLANO DE NAUCA</v>
          </cell>
          <cell r="K7638">
            <v>24561876</v>
          </cell>
        </row>
        <row r="7639">
          <cell r="I7639">
            <v>900269425</v>
          </cell>
          <cell r="J7639" t="str">
            <v>inatitucion educativa la primaver a</v>
          </cell>
          <cell r="K7639">
            <v>29225430</v>
          </cell>
        </row>
        <row r="7640">
          <cell r="I7640">
            <v>900272394</v>
          </cell>
          <cell r="J7640" t="str">
            <v>BICENTENARIO DE LA INDEPENDENCIA DE LA REPUBLICA DE COLOMBIA</v>
          </cell>
          <cell r="K7640">
            <v>84282438</v>
          </cell>
        </row>
        <row r="7641">
          <cell r="I7641">
            <v>900272561</v>
          </cell>
          <cell r="J7641" t="str">
            <v>CENT EDUC PUEBLO NUEVO</v>
          </cell>
          <cell r="K7641">
            <v>23083938</v>
          </cell>
        </row>
        <row r="7642">
          <cell r="I7642">
            <v>900272571</v>
          </cell>
          <cell r="J7642" t="str">
            <v>Fondo de Servicios Educativos Institución Educativa Agropecuaria  Hernando Palacios</v>
          </cell>
          <cell r="K7642">
            <v>36658684</v>
          </cell>
        </row>
        <row r="7643">
          <cell r="I7643">
            <v>900272754</v>
          </cell>
          <cell r="J7643" t="str">
            <v>Fondo de Servicios Educativos Centro Educativo post Primaria Francisco de Paula de Santander de Pilisa</v>
          </cell>
          <cell r="K7643">
            <v>11486303</v>
          </cell>
        </row>
        <row r="7644">
          <cell r="I7644">
            <v>900273082</v>
          </cell>
          <cell r="J7644" t="str">
            <v>institución educativa chuare napi</v>
          </cell>
          <cell r="K7644">
            <v>21451662</v>
          </cell>
        </row>
        <row r="7645">
          <cell r="I7645">
            <v>900273156</v>
          </cell>
          <cell r="J7645" t="str">
            <v>Centro Educativo Bocas del Yi</v>
          </cell>
          <cell r="K7645">
            <v>19685568</v>
          </cell>
        </row>
        <row r="7646">
          <cell r="I7646">
            <v>900273615</v>
          </cell>
          <cell r="J7646" t="str">
            <v>INSTITUCION EDUCATIVA TAMBORES</v>
          </cell>
          <cell r="K7646">
            <v>36061144</v>
          </cell>
        </row>
        <row r="7647">
          <cell r="I7647">
            <v>900273759</v>
          </cell>
          <cell r="J7647" t="str">
            <v>INSTITUCION EDUCATIVA DISTRITAL FUNDACION PIES DESCALZOS</v>
          </cell>
          <cell r="K7647">
            <v>102579048</v>
          </cell>
        </row>
        <row r="7648">
          <cell r="I7648">
            <v>900273982</v>
          </cell>
          <cell r="J7648" t="str">
            <v>Institucion Educativa El Cristal</v>
          </cell>
          <cell r="K7648">
            <v>32598123</v>
          </cell>
        </row>
        <row r="7649">
          <cell r="I7649">
            <v>900274029</v>
          </cell>
          <cell r="J7649" t="str">
            <v>Institucion Educativa Las Acacias</v>
          </cell>
          <cell r="K7649">
            <v>11002515</v>
          </cell>
        </row>
        <row r="7650">
          <cell r="I7650">
            <v>900274149</v>
          </cell>
          <cell r="J7650" t="str">
            <v>institución educativa san isidro</v>
          </cell>
          <cell r="K7650">
            <v>26834053</v>
          </cell>
        </row>
        <row r="7651">
          <cell r="I7651">
            <v>900274179</v>
          </cell>
          <cell r="J7651" t="str">
            <v>Institucion Educativa Triunfo II</v>
          </cell>
          <cell r="K7651">
            <v>15424649</v>
          </cell>
        </row>
        <row r="7652">
          <cell r="I7652">
            <v>900274187</v>
          </cell>
          <cell r="J7652" t="str">
            <v>Institucion Educativa Agua Bonita</v>
          </cell>
          <cell r="K7652">
            <v>55142313</v>
          </cell>
        </row>
        <row r="7653">
          <cell r="I7653">
            <v>900274194</v>
          </cell>
          <cell r="J7653" t="str">
            <v>Institucion Educativa Mocuare</v>
          </cell>
          <cell r="K7653">
            <v>7956306</v>
          </cell>
        </row>
        <row r="7654">
          <cell r="I7654">
            <v>900274428</v>
          </cell>
          <cell r="J7654" t="str">
            <v>INSTITUCION EDUCATIVA EL TREBOL</v>
          </cell>
          <cell r="K7654">
            <v>19922602</v>
          </cell>
        </row>
        <row r="7655">
          <cell r="I7655">
            <v>900274541</v>
          </cell>
          <cell r="J7655" t="str">
            <v>Fondo de Servicios Educativos Centro Educativo Nuestra Señora del Carmen de Villamaria</v>
          </cell>
          <cell r="K7655">
            <v>17385406</v>
          </cell>
        </row>
        <row r="7656">
          <cell r="I7656">
            <v>900274561</v>
          </cell>
          <cell r="J7656" t="str">
            <v>Institucion Educativa el Resbalon</v>
          </cell>
          <cell r="K7656">
            <v>18965182</v>
          </cell>
        </row>
        <row r="7657">
          <cell r="I7657">
            <v>900274573</v>
          </cell>
          <cell r="J7657" t="str">
            <v>Institucion Educativa Cerro Azul</v>
          </cell>
          <cell r="K7657">
            <v>5856047</v>
          </cell>
        </row>
        <row r="7658">
          <cell r="I7658">
            <v>900274587</v>
          </cell>
          <cell r="J7658" t="str">
            <v>Institucion Educativa La Carpa</v>
          </cell>
          <cell r="K7658">
            <v>17512134</v>
          </cell>
        </row>
        <row r="7659">
          <cell r="I7659">
            <v>900275465</v>
          </cell>
          <cell r="J7659" t="str">
            <v>INSTITUCION EDUCATIVA INDIGENA Y PLURICULTURAL KANKAWAR</v>
          </cell>
          <cell r="K7659">
            <v>93252653</v>
          </cell>
        </row>
        <row r="7660">
          <cell r="I7660">
            <v>900275718</v>
          </cell>
          <cell r="J7660" t="str">
            <v>Institucion educactiva Tomachipan</v>
          </cell>
          <cell r="K7660">
            <v>12477690</v>
          </cell>
        </row>
        <row r="7661">
          <cell r="I7661">
            <v>900276055</v>
          </cell>
          <cell r="J7661" t="str">
            <v>CENTRO ETNOEDUCATIVO PLURICULTURAL DE GUNMAKU</v>
          </cell>
          <cell r="K7661">
            <v>46398300</v>
          </cell>
        </row>
        <row r="7662">
          <cell r="I7662">
            <v>900276714</v>
          </cell>
          <cell r="J7662" t="str">
            <v>Centro Educativo El Eden</v>
          </cell>
          <cell r="K7662">
            <v>8588886</v>
          </cell>
        </row>
        <row r="7663">
          <cell r="I7663">
            <v>900277402</v>
          </cell>
          <cell r="J7663" t="str">
            <v>CENTRO EDUCATIVO ARROYO GRANDE ARRIBA</v>
          </cell>
          <cell r="K7663">
            <v>15354113</v>
          </cell>
        </row>
        <row r="7664">
          <cell r="I7664">
            <v>900277707</v>
          </cell>
          <cell r="J7664" t="str">
            <v>COLEGIO KIMI PERNIA DOMICO</v>
          </cell>
          <cell r="K7664">
            <v>208782560</v>
          </cell>
        </row>
        <row r="7665">
          <cell r="I7665">
            <v>900277991</v>
          </cell>
          <cell r="J7665" t="str">
            <v>INSTITUCION EDUCTIVA LUIS MANUEL PARRA CARO FONDO SERVICIOS EDUCATIVOS</v>
          </cell>
          <cell r="K7665">
            <v>6837422</v>
          </cell>
        </row>
        <row r="7666">
          <cell r="I7666">
            <v>900278259</v>
          </cell>
          <cell r="J7666" t="str">
            <v>CENTRO EDUCATIVO VILLA FATIMA</v>
          </cell>
          <cell r="K7666">
            <v>15432263</v>
          </cell>
        </row>
        <row r="7667">
          <cell r="I7667">
            <v>900278521</v>
          </cell>
          <cell r="J7667" t="str">
            <v>Fondo de Servicios Educativos Postprimaria Maria de Fatima de Siviru</v>
          </cell>
          <cell r="K7667">
            <v>21983942</v>
          </cell>
        </row>
        <row r="7668">
          <cell r="I7668">
            <v>900279011</v>
          </cell>
          <cell r="J7668" t="str">
            <v>INSTITUCION EDUCATIVA JUAN PABLO II</v>
          </cell>
          <cell r="K7668">
            <v>47407184</v>
          </cell>
        </row>
        <row r="7669">
          <cell r="I7669">
            <v>900279639</v>
          </cell>
          <cell r="J7669" t="str">
            <v>Fondo de Servicio Educativo CED RURAL MOSQUITO</v>
          </cell>
          <cell r="K7669">
            <v>22207971</v>
          </cell>
        </row>
        <row r="7670">
          <cell r="I7670">
            <v>900281558</v>
          </cell>
          <cell r="J7670" t="str">
            <v>Institucion Educativ Rural Las Mercedes El Caucho</v>
          </cell>
          <cell r="K7670">
            <v>17755382</v>
          </cell>
        </row>
        <row r="7671">
          <cell r="I7671">
            <v>900281595</v>
          </cell>
          <cell r="J7671" t="str">
            <v>INSTITUCION EDUCATIVA DISTRITAL JOSE MARIA VELAZ</v>
          </cell>
          <cell r="K7671">
            <v>74654155</v>
          </cell>
        </row>
        <row r="7672">
          <cell r="I7672">
            <v>900281633</v>
          </cell>
          <cell r="J7672" t="str">
            <v>Fondo de Servicios Educativos Centro Educativo de Bebarama</v>
          </cell>
          <cell r="K7672">
            <v>9718955</v>
          </cell>
        </row>
        <row r="7673">
          <cell r="I7673">
            <v>900281688</v>
          </cell>
          <cell r="J7673" t="str">
            <v>Fondo de Servicios Educativos Centro Educativo de Simon Bolivar de Playa Roja</v>
          </cell>
          <cell r="K7673">
            <v>59799041</v>
          </cell>
        </row>
        <row r="7674">
          <cell r="I7674">
            <v>900283371</v>
          </cell>
          <cell r="J7674" t="str">
            <v>INSTITUCION EDUCATIVA SAUSAGUA</v>
          </cell>
          <cell r="K7674">
            <v>37170354</v>
          </cell>
        </row>
        <row r="7675">
          <cell r="I7675">
            <v>900283427</v>
          </cell>
          <cell r="J7675" t="str">
            <v>FONDO DE SERVICIOS EDUCATIVOS</v>
          </cell>
          <cell r="K7675">
            <v>8256973</v>
          </cell>
        </row>
        <row r="7676">
          <cell r="I7676">
            <v>900283557</v>
          </cell>
          <cell r="J7676" t="str">
            <v>INSTITUCION EDUCATIVA AGUAS NEGRAS</v>
          </cell>
          <cell r="K7676">
            <v>76002587</v>
          </cell>
        </row>
        <row r="7677">
          <cell r="I7677">
            <v>900284297</v>
          </cell>
          <cell r="J7677" t="str">
            <v>Centro Educativo Tofeme</v>
          </cell>
          <cell r="K7677">
            <v>12186791</v>
          </cell>
        </row>
        <row r="7678">
          <cell r="I7678">
            <v>900284801</v>
          </cell>
          <cell r="J7678" t="str">
            <v>CENTRO EDUCATIVO NUEVA ESTACION</v>
          </cell>
          <cell r="K7678">
            <v>10442190</v>
          </cell>
        </row>
        <row r="7679">
          <cell r="I7679">
            <v>900284802</v>
          </cell>
          <cell r="J7679" t="str">
            <v>CENTRO EDUCATIVO CEDEÑO</v>
          </cell>
          <cell r="K7679">
            <v>10457298</v>
          </cell>
        </row>
        <row r="7680">
          <cell r="I7680">
            <v>900285356</v>
          </cell>
          <cell r="J7680" t="str">
            <v>INSTITUCION EDUCATIVA BELLO HORIZONTE</v>
          </cell>
          <cell r="K7680">
            <v>86303606</v>
          </cell>
        </row>
        <row r="7681">
          <cell r="I7681">
            <v>900291159</v>
          </cell>
          <cell r="J7681" t="str">
            <v>IER HOJAS ANCHAS - GUARNE</v>
          </cell>
          <cell r="K7681">
            <v>31716324</v>
          </cell>
        </row>
        <row r="7682">
          <cell r="I7682">
            <v>900291840</v>
          </cell>
          <cell r="J7682" t="str">
            <v>IED SAN PEDRO DEL MUNICIPIO DE CAPARRAPI</v>
          </cell>
          <cell r="K7682">
            <v>31474715</v>
          </cell>
        </row>
        <row r="7683">
          <cell r="I7683">
            <v>900291964</v>
          </cell>
          <cell r="J7683" t="str">
            <v>FONDO DE SERVICIOS EDUCATIVOS CENTRO EDUCATIVO BORAUDO</v>
          </cell>
          <cell r="K7683">
            <v>20311384</v>
          </cell>
        </row>
        <row r="7684">
          <cell r="I7684">
            <v>900293076</v>
          </cell>
          <cell r="J7684" t="str">
            <v>CENTRO EDUCATIVO VENTANILLA ARRIBA</v>
          </cell>
          <cell r="K7684">
            <v>17750029</v>
          </cell>
        </row>
        <row r="7685">
          <cell r="I7685">
            <v>900293357</v>
          </cell>
          <cell r="J7685" t="str">
            <v>Centro Educativo Rural el Encanto</v>
          </cell>
          <cell r="K7685">
            <v>25675589</v>
          </cell>
        </row>
        <row r="7686">
          <cell r="I7686">
            <v>900293751</v>
          </cell>
          <cell r="J7686" t="str">
            <v>IER EL CONCILIO - Salgar</v>
          </cell>
          <cell r="K7686">
            <v>40485665</v>
          </cell>
        </row>
        <row r="7687">
          <cell r="I7687">
            <v>900296854</v>
          </cell>
          <cell r="J7687" t="str">
            <v>Centro Educativo Santa Teresita de Cañaveral - Fondo de Sevicios Educativos - Sipí</v>
          </cell>
          <cell r="K7687">
            <v>20807031</v>
          </cell>
        </row>
        <row r="7688">
          <cell r="I7688">
            <v>900296932</v>
          </cell>
          <cell r="J7688" t="str">
            <v>Centro Educativo La Unión Charco largo / Fondo de Servicios Educativos</v>
          </cell>
          <cell r="K7688">
            <v>29793869</v>
          </cell>
        </row>
        <row r="7689">
          <cell r="I7689">
            <v>900297945</v>
          </cell>
          <cell r="J7689" t="str">
            <v>CENTRO EDUCATIVO EL DIVISO</v>
          </cell>
          <cell r="K7689">
            <v>22653248</v>
          </cell>
        </row>
        <row r="7690">
          <cell r="I7690">
            <v>900298474</v>
          </cell>
          <cell r="J7690" t="str">
            <v>Centro Educativo Rural Indigenista el Mango</v>
          </cell>
          <cell r="K7690">
            <v>43997280</v>
          </cell>
        </row>
        <row r="7691">
          <cell r="I7691">
            <v>900298565</v>
          </cell>
          <cell r="J7691" t="str">
            <v>Institucion Educativa Francisco de Paula Santander</v>
          </cell>
          <cell r="K7691">
            <v>9234897</v>
          </cell>
        </row>
        <row r="7692">
          <cell r="I7692">
            <v>900298583</v>
          </cell>
          <cell r="J7692" t="str">
            <v>Institucion Educativa Cristo Rey</v>
          </cell>
          <cell r="K7692">
            <v>7773661</v>
          </cell>
        </row>
        <row r="7693">
          <cell r="I7693">
            <v>900298609</v>
          </cell>
          <cell r="J7693" t="str">
            <v>INSTITUCION EDUCATIVASICARA LIMON</v>
          </cell>
          <cell r="K7693">
            <v>33736759</v>
          </cell>
        </row>
        <row r="7694">
          <cell r="I7694">
            <v>900298790</v>
          </cell>
          <cell r="J7694" t="str">
            <v>INSTITUCION EDUCATIVA EL HATO</v>
          </cell>
          <cell r="K7694">
            <v>25114738</v>
          </cell>
        </row>
        <row r="7695">
          <cell r="I7695">
            <v>900298951</v>
          </cell>
          <cell r="J7695" t="str">
            <v>CENTRO ETNOEDUCATIVO DE DOMINGUEKA</v>
          </cell>
          <cell r="K7695">
            <v>48977809</v>
          </cell>
        </row>
        <row r="7696">
          <cell r="I7696">
            <v>900299027</v>
          </cell>
          <cell r="J7696" t="str">
            <v>COLEGIO SAN JOSE DE MOTOSO</v>
          </cell>
          <cell r="K7696">
            <v>35895889</v>
          </cell>
        </row>
        <row r="7697">
          <cell r="I7697">
            <v>900299085</v>
          </cell>
          <cell r="J7697" t="str">
            <v>Institucion Educativa Caño Tigre</v>
          </cell>
          <cell r="K7697">
            <v>4984272</v>
          </cell>
        </row>
        <row r="7698">
          <cell r="I7698">
            <v>900299556</v>
          </cell>
          <cell r="J7698" t="str">
            <v>Institucion Educativa Corocoro</v>
          </cell>
          <cell r="K7698">
            <v>4146861</v>
          </cell>
        </row>
        <row r="7699">
          <cell r="I7699">
            <v>900299987</v>
          </cell>
          <cell r="J7699" t="str">
            <v>INSTITUCION EDUCATIVA AGROPECUARIA SANTO ECCEHOMO</v>
          </cell>
          <cell r="K7699">
            <v>23682443</v>
          </cell>
        </row>
        <row r="7700">
          <cell r="I7700">
            <v>900301528</v>
          </cell>
          <cell r="J7700" t="str">
            <v>INSTITUCION EDUCTIVA  SANTA ROSA</v>
          </cell>
          <cell r="K7700">
            <v>25100687</v>
          </cell>
        </row>
        <row r="7701">
          <cell r="I7701">
            <v>900301824</v>
          </cell>
          <cell r="J7701" t="str">
            <v>Fondo de Servicios Educativos Centro Educativo  de Postprimaria Manuel Rodriguez de Villa  Claret</v>
          </cell>
          <cell r="K7701">
            <v>18728334</v>
          </cell>
        </row>
        <row r="7702">
          <cell r="I7702">
            <v>900303913</v>
          </cell>
          <cell r="J7702" t="str">
            <v>INSTITUCION EDUCATIVA BUTAGA DEL MUNICIPIO DE PESCA</v>
          </cell>
          <cell r="K7702">
            <v>20196208</v>
          </cell>
        </row>
        <row r="7703">
          <cell r="I7703">
            <v>900304063</v>
          </cell>
          <cell r="J7703" t="str">
            <v>CENTRO EDUCATIVO SAN JOSE DE CAQUETANIA</v>
          </cell>
          <cell r="K7703">
            <v>19171052</v>
          </cell>
        </row>
        <row r="7704">
          <cell r="I7704">
            <v>900304340</v>
          </cell>
          <cell r="J7704" t="str">
            <v>CENT EDUC LOS COQUITOS</v>
          </cell>
          <cell r="K7704">
            <v>29583616</v>
          </cell>
        </row>
        <row r="7705">
          <cell r="I7705">
            <v>900304471</v>
          </cell>
          <cell r="J7705" t="str">
            <v>INSTITUCION EDUCATIVA RURAL BUENOS AIRES</v>
          </cell>
          <cell r="K7705">
            <v>39172705</v>
          </cell>
        </row>
        <row r="7706">
          <cell r="I7706">
            <v>900305803</v>
          </cell>
          <cell r="J7706" t="str">
            <v>CENTRO EDUCATIVO LA PALMA</v>
          </cell>
          <cell r="K7706">
            <v>9170557</v>
          </cell>
        </row>
        <row r="7707">
          <cell r="I7707">
            <v>900306114</v>
          </cell>
          <cell r="J7707" t="str">
            <v>IE PADRE ROBERTO ARROYAVE VELEZ - San Pedro de los Milagros</v>
          </cell>
          <cell r="K7707">
            <v>79741782</v>
          </cell>
        </row>
        <row r="7708">
          <cell r="I7708">
            <v>900306324</v>
          </cell>
          <cell r="J7708" t="str">
            <v>centro educativo rural la bodega</v>
          </cell>
          <cell r="K7708">
            <v>16409644</v>
          </cell>
        </row>
        <row r="7709">
          <cell r="I7709">
            <v>900307264</v>
          </cell>
          <cell r="J7709" t="str">
            <v>IER EL JUNCO - Sabanalarga</v>
          </cell>
          <cell r="K7709">
            <v>26229560</v>
          </cell>
        </row>
        <row r="7710">
          <cell r="I7710">
            <v>900307382</v>
          </cell>
          <cell r="J7710" t="str">
            <v>FONDO DE SERVICIOS EDUCATIVOS DEL CENTRO EDUCATIVO I</v>
          </cell>
          <cell r="K7710">
            <v>11425590</v>
          </cell>
        </row>
        <row r="7711">
          <cell r="I7711">
            <v>900309234</v>
          </cell>
          <cell r="J7711" t="str">
            <v>LUIS ERNESTO VANEGAS NEIRA</v>
          </cell>
          <cell r="K7711">
            <v>27323894</v>
          </cell>
        </row>
        <row r="7712">
          <cell r="I7712">
            <v>900311418</v>
          </cell>
          <cell r="J7712" t="str">
            <v>INSTITUCION EDUCATIVA SAN MIGUEL</v>
          </cell>
          <cell r="K7712">
            <v>13224344</v>
          </cell>
        </row>
        <row r="7713">
          <cell r="I7713">
            <v>900312682</v>
          </cell>
          <cell r="J7713" t="str">
            <v>FONDO DE SERVICIOS EDUCATIVOS CENTRO EDUCATIVO EL MARQUEZ</v>
          </cell>
          <cell r="K7713">
            <v>33302696</v>
          </cell>
        </row>
        <row r="7714">
          <cell r="I7714">
            <v>900312737</v>
          </cell>
          <cell r="J7714" t="str">
            <v>FONDO DE SERVICIOS EDUCATIVOS CENTRO EDUCATIVO VENADILLO</v>
          </cell>
          <cell r="K7714">
            <v>27001999</v>
          </cell>
        </row>
        <row r="7715">
          <cell r="I7715">
            <v>900313746</v>
          </cell>
          <cell r="J7715" t="str">
            <v>centro educativo la mejia</v>
          </cell>
          <cell r="K7715">
            <v>10576656</v>
          </cell>
        </row>
        <row r="7716">
          <cell r="I7716">
            <v>900314002</v>
          </cell>
          <cell r="J7716" t="str">
            <v>INSTITUCION EDUCATIVA SUR DE AQUITANIA</v>
          </cell>
          <cell r="K7716">
            <v>12143341</v>
          </cell>
        </row>
        <row r="7717">
          <cell r="I7717">
            <v>900314083</v>
          </cell>
          <cell r="J7717" t="str">
            <v>COLEGIO ANGULO</v>
          </cell>
          <cell r="K7717">
            <v>43066185</v>
          </cell>
        </row>
        <row r="7718">
          <cell r="I7718">
            <v>900314821</v>
          </cell>
          <cell r="J7718" t="str">
            <v>IER EZEQUIEL SIERRA - Guarne</v>
          </cell>
          <cell r="K7718">
            <v>72265756</v>
          </cell>
        </row>
        <row r="7719">
          <cell r="I7719">
            <v>900315928</v>
          </cell>
          <cell r="J7719" t="str">
            <v>CENTRO EDUCATIVO DIEGO LUIS CORDOBA DE NEGUA</v>
          </cell>
          <cell r="K7719">
            <v>12414780</v>
          </cell>
        </row>
        <row r="7720">
          <cell r="I7720">
            <v>900315955</v>
          </cell>
          <cell r="J7720" t="str">
            <v>COLEGIO DE BTO AGROPECUARIO DE TAGACHI</v>
          </cell>
          <cell r="K7720">
            <v>18981982</v>
          </cell>
        </row>
        <row r="7721">
          <cell r="I7721">
            <v>900316547</v>
          </cell>
          <cell r="J7721" t="str">
            <v>Centro Educativo  de Potedo / Fondo de Servicios Educativos</v>
          </cell>
          <cell r="K7721">
            <v>22312466</v>
          </cell>
        </row>
        <row r="7722">
          <cell r="I7722">
            <v>900317279</v>
          </cell>
          <cell r="J7722" t="str">
            <v>CENTRO EDUCATIVO ALTAGRACIA</v>
          </cell>
          <cell r="K7722">
            <v>17956988</v>
          </cell>
        </row>
        <row r="7723">
          <cell r="I7723">
            <v>900318246</v>
          </cell>
          <cell r="J7723" t="str">
            <v>INSTITUCION EDUCATIVA SAN JOSE DE NAZARETH</v>
          </cell>
          <cell r="K7723">
            <v>8044657</v>
          </cell>
        </row>
        <row r="7724">
          <cell r="I7724">
            <v>900318367</v>
          </cell>
          <cell r="J7724" t="str">
            <v>Fondo de Servicios Educativos San Roque de la Frontera</v>
          </cell>
          <cell r="K7724">
            <v>38646451</v>
          </cell>
        </row>
        <row r="7725">
          <cell r="I7725">
            <v>900323183</v>
          </cell>
          <cell r="J7725" t="str">
            <v>INSTITUCION EDUCATIVA SAN ISIDRO DE SAN MARINO</v>
          </cell>
          <cell r="K7725">
            <v>27261007</v>
          </cell>
        </row>
        <row r="7726">
          <cell r="I7726">
            <v>900323827</v>
          </cell>
          <cell r="J7726" t="str">
            <v>Fondo de Servicios Educativos Institución Educativa Escuela Normal Superior Demetrio Salazar Castillo</v>
          </cell>
          <cell r="K7726">
            <v>94610830</v>
          </cell>
        </row>
        <row r="7727">
          <cell r="I7727">
            <v>900326692</v>
          </cell>
          <cell r="J7727" t="str">
            <v>fondo de servicios educativos inst educ fundacion</v>
          </cell>
          <cell r="K7727">
            <v>34267752</v>
          </cell>
        </row>
        <row r="7728">
          <cell r="I7728">
            <v>900329280</v>
          </cell>
          <cell r="J7728" t="str">
            <v>Institución Educativa Concentración de desarrollo Rural   de Balboa - Fondo de  Servicios  Educativos</v>
          </cell>
          <cell r="K7728">
            <v>42722060</v>
          </cell>
        </row>
        <row r="7729">
          <cell r="I7729">
            <v>900332496</v>
          </cell>
          <cell r="J7729" t="str">
            <v>INSTITUTO TECNICO INDUSTRIAL MUNICIPAL RAFAEL REYES</v>
          </cell>
          <cell r="K7729">
            <v>158830949</v>
          </cell>
        </row>
        <row r="7730">
          <cell r="I7730">
            <v>900334649</v>
          </cell>
          <cell r="J7730" t="str">
            <v>C.E.R El Mariani</v>
          </cell>
          <cell r="K7730">
            <v>144628375</v>
          </cell>
        </row>
        <row r="7731">
          <cell r="I7731">
            <v>900336231</v>
          </cell>
          <cell r="J7731" t="str">
            <v>ESC MARIA INMACULADA</v>
          </cell>
          <cell r="K7731">
            <v>54619932</v>
          </cell>
        </row>
        <row r="7732">
          <cell r="I7732">
            <v>900336684</v>
          </cell>
          <cell r="J7732" t="str">
            <v>Fondo Servicios Educativos Institucion Educativa Currulao</v>
          </cell>
          <cell r="K7732">
            <v>178115299</v>
          </cell>
        </row>
        <row r="7733">
          <cell r="I7733">
            <v>900337274</v>
          </cell>
          <cell r="J7733" t="str">
            <v>INSTITUCION EDUCATIVA CAUCA</v>
          </cell>
          <cell r="K7733">
            <v>67803776</v>
          </cell>
        </row>
        <row r="7734">
          <cell r="I7734">
            <v>900338670</v>
          </cell>
          <cell r="J7734" t="str">
            <v>INSTITUCION EDUCATIVA NUEVA VISTA HERMOSA</v>
          </cell>
          <cell r="K7734">
            <v>26983094</v>
          </cell>
        </row>
        <row r="7735">
          <cell r="I7735">
            <v>900338726</v>
          </cell>
          <cell r="J7735" t="str">
            <v>C.E. HIJOS DEL AGUA</v>
          </cell>
          <cell r="K7735">
            <v>6557910</v>
          </cell>
        </row>
        <row r="7736">
          <cell r="I7736">
            <v>900339251</v>
          </cell>
          <cell r="J7736" t="str">
            <v>INSTITUCION EDUCATIVA LOYOLA PARA LA CIENCIA Y LA INNOVACION</v>
          </cell>
          <cell r="K7736">
            <v>35452883</v>
          </cell>
        </row>
        <row r="7737">
          <cell r="I7737">
            <v>900339320</v>
          </cell>
          <cell r="J7737" t="str">
            <v>INSTITUCION EDUCATIVA  PALO GRANDE  BAJO</v>
          </cell>
          <cell r="K7737">
            <v>15070689</v>
          </cell>
        </row>
        <row r="7738">
          <cell r="I7738">
            <v>900340013</v>
          </cell>
          <cell r="J7738" t="str">
            <v>IE LUIS EDUARDO DIAZ - Yondó(Casabe)</v>
          </cell>
          <cell r="K7738">
            <v>180284788</v>
          </cell>
        </row>
        <row r="7739">
          <cell r="I7739">
            <v>900343358</v>
          </cell>
          <cell r="J7739" t="str">
            <v>I.E. LA HUERTA</v>
          </cell>
          <cell r="K7739">
            <v>92597520</v>
          </cell>
        </row>
        <row r="7740">
          <cell r="I7740">
            <v>900344402</v>
          </cell>
          <cell r="J7740" t="str">
            <v>I.E. EL BOSQUE</v>
          </cell>
          <cell r="K7740">
            <v>69335027</v>
          </cell>
        </row>
        <row r="7741">
          <cell r="I7741">
            <v>900348671</v>
          </cell>
          <cell r="J7741" t="str">
            <v>CER VALE PAVAS - Necoclí</v>
          </cell>
          <cell r="K7741">
            <v>15208722</v>
          </cell>
        </row>
        <row r="7742">
          <cell r="I7742">
            <v>900349236</v>
          </cell>
          <cell r="J7742" t="str">
            <v>INSTITUCION EDUCATIVA RURAL INTEGRADA QUINTERO</v>
          </cell>
          <cell r="K7742">
            <v>14326630</v>
          </cell>
        </row>
        <row r="7743">
          <cell r="I7743">
            <v>900350350</v>
          </cell>
          <cell r="J7743" t="str">
            <v>COLEGIO DISTRITAL CHARRY</v>
          </cell>
          <cell r="K7743">
            <v>125382580</v>
          </cell>
        </row>
        <row r="7744">
          <cell r="I7744">
            <v>900353376</v>
          </cell>
          <cell r="J7744" t="str">
            <v>CENTRO EDUCATIVO MAYABANGLOMA</v>
          </cell>
          <cell r="K7744">
            <v>28033226</v>
          </cell>
        </row>
        <row r="7745">
          <cell r="I7745">
            <v>900354557</v>
          </cell>
          <cell r="J7745" t="str">
            <v>institucion educativapueblo nuevo cipres</v>
          </cell>
          <cell r="K7745">
            <v>24537412</v>
          </cell>
        </row>
        <row r="7746">
          <cell r="I7746">
            <v>900354862</v>
          </cell>
          <cell r="J7746" t="str">
            <v>INSTITUCION EDUCATIVA DINDE</v>
          </cell>
          <cell r="K7746">
            <v>21156569</v>
          </cell>
        </row>
        <row r="7747">
          <cell r="I7747">
            <v>900356610</v>
          </cell>
          <cell r="J7747" t="str">
            <v>Institucion Educativa El Retiro</v>
          </cell>
          <cell r="K7747">
            <v>21346644</v>
          </cell>
        </row>
        <row r="7748">
          <cell r="I7748">
            <v>900357633</v>
          </cell>
          <cell r="J7748" t="str">
            <v>Institución Educativa El Marquez</v>
          </cell>
          <cell r="K7748">
            <v>6827249</v>
          </cell>
        </row>
        <row r="7749">
          <cell r="I7749">
            <v>900358212</v>
          </cell>
          <cell r="J7749" t="str">
            <v>SGP GRATU-CENTRO ETNOEDUCATIVO RURAL No 3 DE NAZARET</v>
          </cell>
          <cell r="K7749">
            <v>114494585</v>
          </cell>
        </row>
        <row r="7750">
          <cell r="I7750">
            <v>900358721</v>
          </cell>
          <cell r="J7750" t="str">
            <v>INSTITUCION EDUCATIVA ALTO MOJIBIO</v>
          </cell>
          <cell r="K7750">
            <v>17391918</v>
          </cell>
        </row>
        <row r="7751">
          <cell r="I7751">
            <v>900359724</v>
          </cell>
          <cell r="J7751" t="str">
            <v>FONDO DE SERVICIOS EDUCATIVOS I.E. BOQUIA</v>
          </cell>
          <cell r="K7751">
            <v>32316276</v>
          </cell>
        </row>
        <row r="7752">
          <cell r="I7752">
            <v>900361388</v>
          </cell>
          <cell r="J7752" t="str">
            <v>INSTITUCION EDUCATIVA DEPARTAMENTAL SAGRADO CORAZON DE JESUS</v>
          </cell>
          <cell r="K7752">
            <v>31424992</v>
          </cell>
        </row>
        <row r="7753">
          <cell r="I7753">
            <v>900365647</v>
          </cell>
          <cell r="J7753" t="str">
            <v>Institucion Educativa Guacamayas</v>
          </cell>
          <cell r="K7753">
            <v>13939940</v>
          </cell>
        </row>
        <row r="7754">
          <cell r="I7754">
            <v>900368042</v>
          </cell>
          <cell r="J7754" t="str">
            <v>Fondo de Servicios Educativos Centro Educativo San Jose de Tamboral</v>
          </cell>
          <cell r="K7754">
            <v>12335325</v>
          </cell>
        </row>
        <row r="7755">
          <cell r="I7755">
            <v>900368451</v>
          </cell>
          <cell r="J7755" t="str">
            <v>I.E. TÉCNICA COMERCIAL PANGÚS</v>
          </cell>
          <cell r="K7755">
            <v>9422349</v>
          </cell>
        </row>
        <row r="7756">
          <cell r="I7756">
            <v>900368652</v>
          </cell>
          <cell r="J7756" t="str">
            <v>CENTRO EDUCATIVO RURAL AGUA BLANCA</v>
          </cell>
          <cell r="K7756">
            <v>19830530</v>
          </cell>
        </row>
        <row r="7757">
          <cell r="I7757">
            <v>900369041</v>
          </cell>
          <cell r="J7757" t="str">
            <v>INSTITUCION EDUCATIVA SAN  IGNACIO</v>
          </cell>
          <cell r="K7757">
            <v>16372450</v>
          </cell>
        </row>
        <row r="7758">
          <cell r="I7758">
            <v>900369227</v>
          </cell>
          <cell r="J7758" t="str">
            <v>INSTITUCION EDUCATIVA DEL NORTE</v>
          </cell>
          <cell r="K7758">
            <v>17147782</v>
          </cell>
        </row>
        <row r="7759">
          <cell r="I7759">
            <v>900370139</v>
          </cell>
          <cell r="J7759" t="str">
            <v>INSTITUCION EDUCATIVA PABLO VI</v>
          </cell>
          <cell r="K7759">
            <v>39282592</v>
          </cell>
        </row>
        <row r="7760">
          <cell r="I7760">
            <v>900370149</v>
          </cell>
          <cell r="J7760" t="str">
            <v>INSTITUCION  EDUCATIVAPAZ  Y  ESPERANZA</v>
          </cell>
          <cell r="K7760">
            <v>58457892</v>
          </cell>
        </row>
        <row r="7761">
          <cell r="I7761">
            <v>900371924</v>
          </cell>
          <cell r="J7761" t="str">
            <v>IE MARCO TOBÓN MEJÍA - Santa Rosa de Osos</v>
          </cell>
          <cell r="K7761">
            <v>114698703</v>
          </cell>
        </row>
        <row r="7762">
          <cell r="I7762">
            <v>900371991</v>
          </cell>
          <cell r="J7762" t="str">
            <v>CENTRO EDUCATIVO EL PORVENIR NO TE PASES</v>
          </cell>
          <cell r="K7762">
            <v>10212378</v>
          </cell>
        </row>
        <row r="7763">
          <cell r="I7763">
            <v>900372883</v>
          </cell>
          <cell r="J7763" t="str">
            <v>Institucion Educativa Nueva Granada</v>
          </cell>
          <cell r="K7763">
            <v>38606700</v>
          </cell>
        </row>
        <row r="7764">
          <cell r="I7764">
            <v>900373028</v>
          </cell>
          <cell r="J7764" t="str">
            <v>Fondo de Servicios Educativos Centro Educativo Pascual santander de Jurubira</v>
          </cell>
          <cell r="K7764">
            <v>17201898</v>
          </cell>
        </row>
        <row r="7765">
          <cell r="I7765">
            <v>900373378</v>
          </cell>
          <cell r="J7765" t="str">
            <v>CENTRO EDUCATIVO DIVINO NIÑO DEL MUNICIPIO DE CODAZZI</v>
          </cell>
          <cell r="K7765">
            <v>24280314</v>
          </cell>
        </row>
        <row r="7766">
          <cell r="I7766">
            <v>900373842</v>
          </cell>
          <cell r="J7766" t="str">
            <v>Institucion Educativa Altos Mulatos</v>
          </cell>
          <cell r="K7766">
            <v>39416445</v>
          </cell>
        </row>
        <row r="7767">
          <cell r="I7767">
            <v>900376440</v>
          </cell>
          <cell r="J7767" t="str">
            <v>Centro Educativo de Postprimaria Agropecuario el Cacique de Noanama  Fondo de Servios Educativos</v>
          </cell>
          <cell r="K7767">
            <v>21748640</v>
          </cell>
        </row>
        <row r="7768">
          <cell r="I7768">
            <v>900379177</v>
          </cell>
          <cell r="J7768" t="str">
            <v>INSTITUCION EDUCATIVA SAN JOSE</v>
          </cell>
          <cell r="K7768">
            <v>34330749</v>
          </cell>
        </row>
        <row r="7769">
          <cell r="I7769">
            <v>900379179</v>
          </cell>
          <cell r="J7769" t="str">
            <v>INSTITUCION EDUCATIVA COLEGIO INDIGENA CASA DEL CONOCIEMIENTO</v>
          </cell>
          <cell r="K7769">
            <v>64324669</v>
          </cell>
        </row>
        <row r="7770">
          <cell r="I7770">
            <v>900379187</v>
          </cell>
          <cell r="J7770" t="str">
            <v>INSTITUCION EDUCATIVA VILLA CARMEN</v>
          </cell>
          <cell r="K7770">
            <v>37247940</v>
          </cell>
        </row>
        <row r="7771">
          <cell r="I7771">
            <v>900379222</v>
          </cell>
          <cell r="J7771" t="str">
            <v>INSTITUCION EDUCATIVA PUERTO ALEGRIA</v>
          </cell>
          <cell r="K7771">
            <v>12436370</v>
          </cell>
        </row>
        <row r="7772">
          <cell r="I7772">
            <v>900379327</v>
          </cell>
          <cell r="J7772" t="str">
            <v>INSTITUCION EDUCATIVA MURUI</v>
          </cell>
          <cell r="K7772">
            <v>35834087</v>
          </cell>
        </row>
        <row r="7773">
          <cell r="I7773">
            <v>900380621</v>
          </cell>
          <cell r="J7773" t="str">
            <v>CENTRO ETNOEDUCATIVO INTEGRAL RURAL MEDIA LUNA- JAWOU</v>
          </cell>
          <cell r="K7773">
            <v>119344826</v>
          </cell>
        </row>
        <row r="7774">
          <cell r="I7774">
            <v>900380913</v>
          </cell>
          <cell r="J7774" t="str">
            <v>COLEGIO FANNY MIKEY IED</v>
          </cell>
          <cell r="K7774">
            <v>114441943</v>
          </cell>
        </row>
        <row r="7775">
          <cell r="I7775">
            <v>900381139</v>
          </cell>
          <cell r="J7775" t="str">
            <v>I.E.SAN ANTONIO MARIA CLARET</v>
          </cell>
          <cell r="K7775">
            <v>48724857</v>
          </cell>
        </row>
        <row r="7776">
          <cell r="I7776">
            <v>900381210</v>
          </cell>
          <cell r="J7776" t="str">
            <v>Centro Educativo Indigena Kogui San Jose</v>
          </cell>
          <cell r="K7776">
            <v>9108396</v>
          </cell>
        </row>
        <row r="7777">
          <cell r="I7777">
            <v>900381275</v>
          </cell>
          <cell r="J7777" t="str">
            <v>CENTRO EDUCATIVO RIO MISTRATO</v>
          </cell>
          <cell r="K7777">
            <v>93485236</v>
          </cell>
        </row>
        <row r="7778">
          <cell r="I7778">
            <v>900384035</v>
          </cell>
          <cell r="J7778" t="str">
            <v>CENTRO EDUCATIVO RURAL SANTIAG POBRE</v>
          </cell>
          <cell r="K7778">
            <v>16709612</v>
          </cell>
        </row>
        <row r="7779">
          <cell r="I7779">
            <v>900384801</v>
          </cell>
          <cell r="J7779" t="str">
            <v>INSTITUCION EDUCATIVA MANUC</v>
          </cell>
          <cell r="K7779">
            <v>33473140</v>
          </cell>
        </row>
        <row r="7780">
          <cell r="I7780">
            <v>900389575</v>
          </cell>
          <cell r="J7780" t="str">
            <v>Fondo de Servicios Educativos Centro Educativo Sagrado Corazón de Jesus</v>
          </cell>
          <cell r="K7780">
            <v>46461514</v>
          </cell>
        </row>
        <row r="7781">
          <cell r="I7781">
            <v>900393218</v>
          </cell>
          <cell r="J7781" t="str">
            <v>INSTITUCION EDUCATIVA RURAL DEPARTAMENTAL LIMONCITOS</v>
          </cell>
          <cell r="K7781">
            <v>28553850</v>
          </cell>
        </row>
        <row r="7782">
          <cell r="I7782">
            <v>900394086</v>
          </cell>
          <cell r="J7782" t="str">
            <v>CENT EDUC CHUGANDI</v>
          </cell>
          <cell r="K7782">
            <v>13720010</v>
          </cell>
        </row>
        <row r="7783">
          <cell r="I7783">
            <v>900394212</v>
          </cell>
          <cell r="J7783" t="str">
            <v>INSTITUCION EDUCATIVA FRANCISCO DEL ROSARIO VELA</v>
          </cell>
          <cell r="K7783">
            <v>84794254</v>
          </cell>
        </row>
        <row r="7784">
          <cell r="I7784">
            <v>900396595</v>
          </cell>
          <cell r="J7784" t="str">
            <v>CENTRO ETNOEDUCATIVO INTEGRAL RURAL KASUTALAIN</v>
          </cell>
          <cell r="K7784">
            <v>122247716</v>
          </cell>
        </row>
        <row r="7785">
          <cell r="I7785">
            <v>900397838</v>
          </cell>
          <cell r="J7785" t="str">
            <v>CENTRO ETNOEDUCATIVO INTEGRAL RURAL PUAY</v>
          </cell>
          <cell r="K7785">
            <v>193103687</v>
          </cell>
        </row>
        <row r="7786">
          <cell r="I7786">
            <v>900405155</v>
          </cell>
          <cell r="J7786" t="str">
            <v>FSE CENTRO EDUCATIVO DONACWI</v>
          </cell>
          <cell r="K7786">
            <v>30871087</v>
          </cell>
        </row>
        <row r="7787">
          <cell r="I7787">
            <v>900411736</v>
          </cell>
          <cell r="J7787" t="str">
            <v>INSTITUCION EDUCATIVA LA ESPERANZA</v>
          </cell>
          <cell r="K7787">
            <v>22546546</v>
          </cell>
        </row>
        <row r="7788">
          <cell r="I7788">
            <v>900411862</v>
          </cell>
          <cell r="J7788" t="str">
            <v>I.E. CIUDADELA NUEVO OCCIDENTE</v>
          </cell>
          <cell r="K7788">
            <v>198137392</v>
          </cell>
        </row>
        <row r="7789">
          <cell r="I7789">
            <v>900412462</v>
          </cell>
          <cell r="J7789" t="str">
            <v>INSTITUCIóN EDUCATIVA LA AGUADITA</v>
          </cell>
          <cell r="K7789">
            <v>44820379</v>
          </cell>
        </row>
        <row r="7790">
          <cell r="I7790">
            <v>900412657</v>
          </cell>
          <cell r="J7790" t="str">
            <v>INSTITUCION EDUCATIVA LA LIBERTAD</v>
          </cell>
          <cell r="K7790">
            <v>69446838</v>
          </cell>
        </row>
        <row r="7791">
          <cell r="I7791">
            <v>900412664</v>
          </cell>
          <cell r="J7791" t="str">
            <v>I.E. MANUEL URIBE ÁNGEL</v>
          </cell>
          <cell r="K7791">
            <v>124612435</v>
          </cell>
        </row>
        <row r="7792">
          <cell r="I7792">
            <v>900413482</v>
          </cell>
          <cell r="J7792" t="str">
            <v>Centro Educativo Guartinaja</v>
          </cell>
          <cell r="K7792">
            <v>13860358</v>
          </cell>
        </row>
        <row r="7793">
          <cell r="I7793">
            <v>900413822</v>
          </cell>
          <cell r="J7793" t="str">
            <v>Institucion Educativa San Isidro</v>
          </cell>
          <cell r="K7793">
            <v>16643474</v>
          </cell>
        </row>
        <row r="7794">
          <cell r="I7794">
            <v>900413904</v>
          </cell>
          <cell r="J7794" t="str">
            <v>I.E. JORGE ELIECER GAITAN</v>
          </cell>
          <cell r="K7794">
            <v>73089266</v>
          </cell>
        </row>
        <row r="7795">
          <cell r="I7795">
            <v>900414419</v>
          </cell>
          <cell r="J7795" t="str">
            <v>centro educativo san roque</v>
          </cell>
          <cell r="K7795">
            <v>10811307</v>
          </cell>
        </row>
        <row r="7796">
          <cell r="I7796">
            <v>900414712</v>
          </cell>
          <cell r="J7796" t="str">
            <v>I.E. EL PINAL</v>
          </cell>
          <cell r="K7796">
            <v>102197186</v>
          </cell>
        </row>
        <row r="7797">
          <cell r="I7797">
            <v>900415584</v>
          </cell>
          <cell r="J7797" t="str">
            <v>IED RURAL DIEGO GOMEZ DE MENA</v>
          </cell>
          <cell r="K7797">
            <v>68270885</v>
          </cell>
        </row>
        <row r="7798">
          <cell r="I7798">
            <v>900415749</v>
          </cell>
          <cell r="J7798" t="str">
            <v>CENTRO EDUCATIVO INDIGENA RURAL N. 11</v>
          </cell>
          <cell r="K7798">
            <v>69994767</v>
          </cell>
        </row>
        <row r="7799">
          <cell r="I7799">
            <v>900415995</v>
          </cell>
          <cell r="J7799" t="str">
            <v>INSTITUCION EDUCATIVA VILLAS DE SAN IGNACIO</v>
          </cell>
          <cell r="K7799">
            <v>49903980</v>
          </cell>
        </row>
        <row r="7800">
          <cell r="I7800">
            <v>900416109</v>
          </cell>
          <cell r="J7800" t="str">
            <v>CENTRO ETNOEDUCATIVO INTEGRAL RURAL VILLA FÁTIMA</v>
          </cell>
          <cell r="K7800">
            <v>72090954</v>
          </cell>
        </row>
        <row r="7801">
          <cell r="I7801">
            <v>900417640</v>
          </cell>
          <cell r="J7801" t="str">
            <v>CENTRO ETNOEDUCATIVO RURAL BALLENAS</v>
          </cell>
          <cell r="K7801">
            <v>29965456</v>
          </cell>
        </row>
        <row r="7802">
          <cell r="I7802">
            <v>900417643</v>
          </cell>
          <cell r="J7802" t="str">
            <v>CENTRO ETNOEDUCATIVO RURAL PROVINCIAL</v>
          </cell>
          <cell r="K7802">
            <v>13164428</v>
          </cell>
        </row>
        <row r="7803">
          <cell r="I7803">
            <v>900419075</v>
          </cell>
          <cell r="J7803" t="str">
            <v>I.E. CARLOS VIECO ORTIZ</v>
          </cell>
          <cell r="K7803">
            <v>154237554</v>
          </cell>
        </row>
        <row r="7804">
          <cell r="I7804">
            <v>900419687</v>
          </cell>
          <cell r="J7804" t="str">
            <v>CENTRO ETNOEDUCATIVO INTEGRAL RURAL NUESTRA SEÑORA DE FATIMA DE NAZARETH</v>
          </cell>
          <cell r="K7804">
            <v>74871008</v>
          </cell>
        </row>
        <row r="7805">
          <cell r="I7805">
            <v>900420833</v>
          </cell>
          <cell r="J7805" t="str">
            <v>I.E. DE PUEBLITO MEJIA</v>
          </cell>
          <cell r="K7805">
            <v>32320294</v>
          </cell>
        </row>
        <row r="7806">
          <cell r="I7806">
            <v>900422215</v>
          </cell>
          <cell r="J7806" t="str">
            <v>I.E. INDÍGENA AGROAMBIENTAL MAYKER</v>
          </cell>
          <cell r="K7806">
            <v>14960908</v>
          </cell>
        </row>
        <row r="7807">
          <cell r="I7807">
            <v>900424328</v>
          </cell>
          <cell r="J7807" t="str">
            <v>F.S.E INSTITUCION EDUCATIVA RURAL CAMPO ALEGRE</v>
          </cell>
          <cell r="K7807">
            <v>45370483</v>
          </cell>
        </row>
        <row r="7808">
          <cell r="I7808">
            <v>900435634</v>
          </cell>
          <cell r="J7808" t="str">
            <v>IE EL PROGRESO - Carmen de Viboral</v>
          </cell>
          <cell r="K7808">
            <v>106293733</v>
          </cell>
        </row>
        <row r="7809">
          <cell r="I7809">
            <v>900436367</v>
          </cell>
          <cell r="J7809" t="str">
            <v>CEAR TIERRA SECA</v>
          </cell>
          <cell r="K7809">
            <v>28960262</v>
          </cell>
        </row>
        <row r="7810">
          <cell r="I7810">
            <v>900436931</v>
          </cell>
          <cell r="J7810" t="str">
            <v>IED BICENTENARIO DE FUNZA</v>
          </cell>
          <cell r="K7810">
            <v>139380911</v>
          </cell>
        </row>
        <row r="7811">
          <cell r="I7811">
            <v>900440766</v>
          </cell>
          <cell r="J7811" t="str">
            <v>COLEGIO MARTA SEDE A</v>
          </cell>
          <cell r="K7811">
            <v>10525354</v>
          </cell>
        </row>
        <row r="7812">
          <cell r="I7812">
            <v>900441704</v>
          </cell>
          <cell r="J7812" t="str">
            <v>INSTITUCION EDUCATIVA AGROPECUARIA RIO SANQUIANGA</v>
          </cell>
          <cell r="K7812">
            <v>42135096</v>
          </cell>
        </row>
        <row r="7813">
          <cell r="I7813">
            <v>900444072</v>
          </cell>
          <cell r="J7813" t="str">
            <v>INSTITUCION EDUCATIVA DISTRITAL NUEVO COLEGIO DEL BARRIO MONTES</v>
          </cell>
          <cell r="K7813">
            <v>95938678</v>
          </cell>
        </row>
        <row r="7814">
          <cell r="I7814">
            <v>900444279</v>
          </cell>
          <cell r="J7814" t="str">
            <v>INSTITUCION  EDUCATIVA   JOSE   ASUNCION  SILVA</v>
          </cell>
          <cell r="K7814">
            <v>85011406</v>
          </cell>
        </row>
        <row r="7815">
          <cell r="I7815">
            <v>900444681</v>
          </cell>
          <cell r="J7815" t="str">
            <v>CENTRO ETNOEDUCATIVO INTEGRAL RURAL KATANAMANA</v>
          </cell>
          <cell r="K7815">
            <v>155958195</v>
          </cell>
        </row>
        <row r="7816">
          <cell r="I7816">
            <v>900444977</v>
          </cell>
          <cell r="J7816" t="str">
            <v>CENTRO ETNOEDUCATIVO INTEGRAL RURAL URU</v>
          </cell>
          <cell r="K7816">
            <v>104448240</v>
          </cell>
        </row>
        <row r="7817">
          <cell r="I7817">
            <v>900445000</v>
          </cell>
          <cell r="J7817" t="str">
            <v>CENTRO ETNOEDUCATIVO INTEGRAL RURAL PUERTO NUEVO</v>
          </cell>
          <cell r="K7817">
            <v>130209251</v>
          </cell>
        </row>
        <row r="7818">
          <cell r="I7818">
            <v>900446449</v>
          </cell>
          <cell r="J7818" t="str">
            <v>CENTRO ETNOEDUCATIVO INTEGRAL RURAL JURURA</v>
          </cell>
          <cell r="K7818">
            <v>113110631</v>
          </cell>
        </row>
        <row r="7819">
          <cell r="I7819">
            <v>900446457</v>
          </cell>
          <cell r="J7819" t="str">
            <v>CENTRO ETNOEDUCATIVO INTEGRAL RURAL FLOR DE PATAJATAMANA</v>
          </cell>
          <cell r="K7819">
            <v>89730578</v>
          </cell>
        </row>
        <row r="7820">
          <cell r="I7820">
            <v>900452278</v>
          </cell>
          <cell r="J7820" t="str">
            <v>I.E. NUEVO LATIR</v>
          </cell>
          <cell r="K7820">
            <v>103456298</v>
          </cell>
        </row>
        <row r="7821">
          <cell r="I7821">
            <v>900464149</v>
          </cell>
          <cell r="J7821" t="str">
            <v>INSTITUCION EDUCATIVA ANTONIO NARIÑO</v>
          </cell>
          <cell r="K7821">
            <v>53730687</v>
          </cell>
        </row>
        <row r="7822">
          <cell r="I7822">
            <v>900464652</v>
          </cell>
          <cell r="J7822" t="str">
            <v>INSTITUCIÓN ETNOEDUCATIVA RURAL  BILINGÜE INGA ATUN IAC</v>
          </cell>
          <cell r="K7822">
            <v>10633551</v>
          </cell>
        </row>
        <row r="7823">
          <cell r="I7823">
            <v>900466745</v>
          </cell>
          <cell r="J7823" t="str">
            <v>C.E. LAS FLORES</v>
          </cell>
          <cell r="K7823">
            <v>40005036</v>
          </cell>
        </row>
        <row r="7824">
          <cell r="I7824">
            <v>900475803</v>
          </cell>
          <cell r="J7824" t="str">
            <v>Centro Educativo de Postprimaria San Onofre  Fondo de Servicios Educativos</v>
          </cell>
          <cell r="K7824">
            <v>46761364</v>
          </cell>
        </row>
        <row r="7825">
          <cell r="I7825">
            <v>900477343</v>
          </cell>
          <cell r="J7825" t="str">
            <v>COLEGIO RODOLFO LLINAS IED</v>
          </cell>
          <cell r="K7825">
            <v>165693496</v>
          </cell>
        </row>
        <row r="7826">
          <cell r="I7826">
            <v>900477852</v>
          </cell>
          <cell r="J7826" t="str">
            <v>INSTITUCION EDUCATIVA MANUEL MOSQUERA MORENO</v>
          </cell>
          <cell r="K7826">
            <v>25181663</v>
          </cell>
        </row>
        <row r="7827">
          <cell r="I7827">
            <v>900478858</v>
          </cell>
          <cell r="J7827" t="str">
            <v>institucion educativa puerto rico</v>
          </cell>
          <cell r="K7827">
            <v>32880637</v>
          </cell>
        </row>
        <row r="7828">
          <cell r="I7828">
            <v>900479556</v>
          </cell>
          <cell r="J7828" t="str">
            <v>INSTITUCION EDUCATIVA PIZANDA</v>
          </cell>
          <cell r="K7828">
            <v>16338850</v>
          </cell>
        </row>
        <row r="7829">
          <cell r="I7829">
            <v>900480053</v>
          </cell>
          <cell r="J7829" t="str">
            <v>INSTITUCION ETNOEDUCATIVA RURAL AKUAIPA, INTERNADO INDIGENA DE ALBANIA</v>
          </cell>
          <cell r="K7829">
            <v>147164762</v>
          </cell>
        </row>
        <row r="7830">
          <cell r="I7830">
            <v>900481228</v>
          </cell>
          <cell r="J7830" t="str">
            <v>CENTRO EDUCATIVO SAN JOSE</v>
          </cell>
          <cell r="K7830">
            <v>17206026</v>
          </cell>
        </row>
        <row r="7831">
          <cell r="I7831">
            <v>900481241</v>
          </cell>
          <cell r="J7831" t="str">
            <v>Centro Educativo Municipal Instituto de Promoción Social</v>
          </cell>
          <cell r="K7831">
            <v>15588492</v>
          </cell>
        </row>
        <row r="7832">
          <cell r="I7832">
            <v>900481273</v>
          </cell>
          <cell r="J7832" t="str">
            <v>SGP GRATU-CENTRO EDUCATIVO DE CORREA</v>
          </cell>
          <cell r="K7832">
            <v>17374640</v>
          </cell>
        </row>
        <row r="7833">
          <cell r="I7833">
            <v>900501044</v>
          </cell>
          <cell r="J7833" t="str">
            <v>CENTRO EDUCATIVO RURAL SANTA ROSA DE LIMA</v>
          </cell>
          <cell r="K7833">
            <v>19632285</v>
          </cell>
        </row>
        <row r="7834">
          <cell r="I7834">
            <v>900518591</v>
          </cell>
          <cell r="J7834" t="str">
            <v>CE VILLA ESTRELLA</v>
          </cell>
          <cell r="K7834">
            <v>62031075</v>
          </cell>
        </row>
        <row r="7835">
          <cell r="I7835">
            <v>900520731</v>
          </cell>
          <cell r="J7835" t="str">
            <v>I.E. NUEVO HORIZONTE</v>
          </cell>
          <cell r="K7835">
            <v>105679634</v>
          </cell>
        </row>
        <row r="7836">
          <cell r="I7836">
            <v>900540487</v>
          </cell>
          <cell r="J7836" t="str">
            <v>CENTRO EDUCATIVO No 1 CARLOS ALBERTO CAMARGO MENDEZ</v>
          </cell>
          <cell r="K7836">
            <v>73469603</v>
          </cell>
        </row>
        <row r="7837">
          <cell r="I7837">
            <v>900541503</v>
          </cell>
          <cell r="J7837" t="str">
            <v>I.E. SANTA MARTHA</v>
          </cell>
          <cell r="K7837">
            <v>29019962</v>
          </cell>
        </row>
        <row r="7838">
          <cell r="I7838">
            <v>900545329</v>
          </cell>
          <cell r="J7838" t="str">
            <v>CENTRO ETNOEDUCATIVO EL CERRO</v>
          </cell>
          <cell r="K7838">
            <v>19845643</v>
          </cell>
        </row>
        <row r="7839">
          <cell r="I7839">
            <v>900548040</v>
          </cell>
          <cell r="J7839" t="str">
            <v>SGP GRATU-Centro Educativo el Limon</v>
          </cell>
          <cell r="K7839">
            <v>11177254</v>
          </cell>
        </row>
        <row r="7840">
          <cell r="I7840">
            <v>900553593</v>
          </cell>
          <cell r="J7840" t="str">
            <v>INSTITUCION EDUCATIVA AGROPECUARIA Y AMBIENTAL ARCA DE NOE</v>
          </cell>
          <cell r="K7840">
            <v>20129365</v>
          </cell>
        </row>
        <row r="7841">
          <cell r="I7841">
            <v>900562390</v>
          </cell>
          <cell r="J7841" t="str">
            <v>C.E. ANTONIO NARIÑO</v>
          </cell>
          <cell r="K7841">
            <v>19997966</v>
          </cell>
        </row>
        <row r="7842">
          <cell r="I7842">
            <v>900569306</v>
          </cell>
          <cell r="J7842" t="str">
            <v>I.E. ENRIQUE MILLAN RUBIO</v>
          </cell>
          <cell r="K7842">
            <v>45461599</v>
          </cell>
        </row>
        <row r="7843">
          <cell r="I7843">
            <v>900574528</v>
          </cell>
          <cell r="J7843" t="str">
            <v>INSTITUCION EDUCATIVA RURAL MARIA AUXILIADORA DE CUESTECITAS</v>
          </cell>
          <cell r="K7843">
            <v>67934820</v>
          </cell>
        </row>
        <row r="7844">
          <cell r="I7844">
            <v>900576264</v>
          </cell>
          <cell r="J7844" t="str">
            <v>INSTITUCION EDUCATIVA LAURA VICUÑA   SEDE PRINCIPAL</v>
          </cell>
          <cell r="K7844">
            <v>82827573</v>
          </cell>
        </row>
        <row r="7845">
          <cell r="I7845">
            <v>900581960</v>
          </cell>
          <cell r="J7845" t="str">
            <v>Centro Educativo Bocas del Atrato</v>
          </cell>
          <cell r="K7845">
            <v>22672304</v>
          </cell>
        </row>
        <row r="7846">
          <cell r="I7846">
            <v>900582270</v>
          </cell>
          <cell r="J7846" t="str">
            <v>Centro Educativo Galleta</v>
          </cell>
          <cell r="K7846">
            <v>26707432</v>
          </cell>
        </row>
        <row r="7847">
          <cell r="I7847">
            <v>900582286</v>
          </cell>
          <cell r="J7847" t="str">
            <v>I.E. SAGRADO CORAZÓN DE JESÚS</v>
          </cell>
          <cell r="K7847">
            <v>272072872</v>
          </cell>
        </row>
        <row r="7848">
          <cell r="I7848">
            <v>900585184</v>
          </cell>
          <cell r="J7848" t="str">
            <v>I.E. JUAN XXIII</v>
          </cell>
          <cell r="K7848">
            <v>75956479</v>
          </cell>
        </row>
        <row r="7849">
          <cell r="I7849">
            <v>900586929</v>
          </cell>
          <cell r="J7849" t="str">
            <v>INSTITUCIÓN EDUCATIVA "LA CAMILA"</v>
          </cell>
          <cell r="K7849">
            <v>56482206</v>
          </cell>
        </row>
        <row r="7850">
          <cell r="I7850">
            <v>900590329</v>
          </cell>
          <cell r="J7850" t="str">
            <v>SGP GRATU-I. E. DE LA RIBONA</v>
          </cell>
          <cell r="K7850">
            <v>32601708</v>
          </cell>
        </row>
        <row r="7851">
          <cell r="I7851">
            <v>900591644</v>
          </cell>
          <cell r="J7851" t="str">
            <v>INSTITUCION EDUCATIVA CERROS DE JULIO</v>
          </cell>
          <cell r="K7851">
            <v>20241666</v>
          </cell>
        </row>
        <row r="7852">
          <cell r="I7852">
            <v>900591681</v>
          </cell>
          <cell r="J7852" t="str">
            <v>F.S.E. JOSE JUAQUIN VELEZ</v>
          </cell>
          <cell r="K7852">
            <v>104500832</v>
          </cell>
        </row>
        <row r="7853">
          <cell r="I7853">
            <v>900594770</v>
          </cell>
          <cell r="J7853" t="str">
            <v>INSTITUCION EDUCATIVA SAN NICOLAS DE TOLENTINO</v>
          </cell>
          <cell r="K7853">
            <v>35690713</v>
          </cell>
        </row>
        <row r="7854">
          <cell r="I7854">
            <v>900597297</v>
          </cell>
          <cell r="J7854" t="str">
            <v>INSTITUCION EDUCATIVAJOSE CONSUEGRA HIGGINS</v>
          </cell>
          <cell r="K7854">
            <v>44559490</v>
          </cell>
        </row>
        <row r="7855">
          <cell r="I7855">
            <v>900600156</v>
          </cell>
          <cell r="J7855" t="str">
            <v>fondo de servicio educativo de antonio nariño de paluato</v>
          </cell>
          <cell r="K7855">
            <v>19919256</v>
          </cell>
        </row>
        <row r="7856">
          <cell r="I7856">
            <v>900603195</v>
          </cell>
          <cell r="J7856" t="str">
            <v>INSTITUCION EDUCATIVA CHAPIURCO</v>
          </cell>
          <cell r="K7856">
            <v>10077667</v>
          </cell>
        </row>
        <row r="7857">
          <cell r="I7857">
            <v>900603441</v>
          </cell>
          <cell r="J7857" t="str">
            <v>INSTITUCION EDUCATIVA LUIS ENRIQUE BARON LEAL</v>
          </cell>
          <cell r="K7857">
            <v>49484080</v>
          </cell>
        </row>
        <row r="7858">
          <cell r="I7858">
            <v>900604466</v>
          </cell>
          <cell r="J7858" t="str">
            <v>CER CERRO AZUL PARAMO</v>
          </cell>
          <cell r="K7858">
            <v>13888682</v>
          </cell>
        </row>
        <row r="7859">
          <cell r="I7859">
            <v>900605447</v>
          </cell>
          <cell r="J7859" t="str">
            <v>FONDOS DE SERVICIOS EDUCATIVOS DE LA INSTITUCION EDUCATIVA SAN JUAN BOSCO</v>
          </cell>
          <cell r="K7859">
            <v>103144521</v>
          </cell>
        </row>
        <row r="7860">
          <cell r="I7860">
            <v>900605635</v>
          </cell>
          <cell r="J7860" t="str">
            <v>INSTITUCION EDUCATIVA TECNICA AGROPECUARIA SAN CAYETANO DE GALLEGO</v>
          </cell>
          <cell r="K7860">
            <v>38734691</v>
          </cell>
        </row>
        <row r="7861">
          <cell r="I7861">
            <v>900606264</v>
          </cell>
          <cell r="J7861" t="str">
            <v>CENTRO ETNOEDUCATIVO RURAL INDIGENA EÑO MONAYA JITO</v>
          </cell>
          <cell r="K7861">
            <v>13425654</v>
          </cell>
        </row>
        <row r="7862">
          <cell r="I7862">
            <v>900606379</v>
          </cell>
          <cell r="J7862" t="str">
            <v>INSTITUCION EDUCATIVA INDIGENA DE PANURE</v>
          </cell>
          <cell r="K7862">
            <v>15307755</v>
          </cell>
        </row>
        <row r="7863">
          <cell r="I7863">
            <v>900606576</v>
          </cell>
          <cell r="J7863" t="str">
            <v>INSTITUCION EDUCATIVA DEPARTAMENTAL CERRO BLANCO</v>
          </cell>
          <cell r="K7863">
            <v>70988955</v>
          </cell>
        </row>
        <row r="7864">
          <cell r="I7864">
            <v>900607273</v>
          </cell>
          <cell r="J7864" t="str">
            <v>CEPBIN MANUEL QUINTIN LAME CHANTRE</v>
          </cell>
          <cell r="K7864">
            <v>12121853</v>
          </cell>
        </row>
        <row r="7865">
          <cell r="I7865">
            <v>900607903</v>
          </cell>
          <cell r="J7865" t="str">
            <v>MEGACOLEGIO EL PROGRESO DE LA COMUNA V</v>
          </cell>
          <cell r="K7865">
            <v>106661240</v>
          </cell>
        </row>
        <row r="7866">
          <cell r="I7866">
            <v>900608292</v>
          </cell>
          <cell r="J7866" t="str">
            <v>IE Bombay</v>
          </cell>
          <cell r="K7866">
            <v>61757478</v>
          </cell>
        </row>
        <row r="7867">
          <cell r="I7867">
            <v>900611733</v>
          </cell>
          <cell r="J7867" t="str">
            <v>INSTITUCIÓN EDUCATIVA DE LA PEÑA</v>
          </cell>
          <cell r="K7867">
            <v>39728206</v>
          </cell>
        </row>
        <row r="7868">
          <cell r="I7868">
            <v>900612367</v>
          </cell>
          <cell r="J7868" t="str">
            <v>INSTITUCION EDUCATIVA  LA ESTANCIA</v>
          </cell>
          <cell r="K7868">
            <v>11296096</v>
          </cell>
        </row>
        <row r="7869">
          <cell r="I7869">
            <v>900612703</v>
          </cell>
          <cell r="J7869" t="str">
            <v>CENTRO EDUCATIVO CUESTARICA</v>
          </cell>
          <cell r="K7869">
            <v>16236175</v>
          </cell>
        </row>
        <row r="7870">
          <cell r="I7870">
            <v>900613251</v>
          </cell>
          <cell r="J7870" t="str">
            <v>INSTITUCION EDUCATIVA LA PRIMAVERA</v>
          </cell>
          <cell r="K7870">
            <v>53378878</v>
          </cell>
        </row>
        <row r="7871">
          <cell r="I7871">
            <v>900615426</v>
          </cell>
          <cell r="J7871" t="str">
            <v>INSTITUCION EDUCATIVA DEPARTAMENTAL JUAN FRANSISCO OSPINA</v>
          </cell>
          <cell r="K7871">
            <v>70500448</v>
          </cell>
        </row>
        <row r="7872">
          <cell r="I7872">
            <v>900615779</v>
          </cell>
          <cell r="J7872" t="str">
            <v>CENTRO EDUCATIVO INDIGENA RURAL NUMERO CINCO</v>
          </cell>
          <cell r="K7872">
            <v>91393246</v>
          </cell>
        </row>
        <row r="7873">
          <cell r="I7873">
            <v>900615806</v>
          </cell>
          <cell r="J7873" t="str">
            <v>INSTITUCIÓN EDUCATIVA DE LEÑA</v>
          </cell>
          <cell r="K7873">
            <v>51693028</v>
          </cell>
        </row>
        <row r="7874">
          <cell r="I7874">
            <v>900616058</v>
          </cell>
          <cell r="J7874" t="str">
            <v>CENTRO ETNOEDUCATIVO RURAL MONA TO</v>
          </cell>
          <cell r="K7874">
            <v>16878324</v>
          </cell>
        </row>
        <row r="7875">
          <cell r="I7875">
            <v>900616496</v>
          </cell>
          <cell r="J7875" t="str">
            <v>INSTITUCION EDUCATIVA RURAL LA VICTORIA</v>
          </cell>
          <cell r="K7875">
            <v>15231207</v>
          </cell>
        </row>
        <row r="7876">
          <cell r="I7876">
            <v>900622203</v>
          </cell>
          <cell r="J7876" t="str">
            <v>INSTITUCION EDUCATIVA DEPARTAMENTAL SAN JOSE DE KENNEDY</v>
          </cell>
          <cell r="K7876">
            <v>57116272</v>
          </cell>
        </row>
        <row r="7877">
          <cell r="I7877">
            <v>900623122</v>
          </cell>
          <cell r="J7877" t="str">
            <v>IETD KOGI DE MULKWAKUNGUI</v>
          </cell>
          <cell r="K7877">
            <v>26515570</v>
          </cell>
        </row>
        <row r="7878">
          <cell r="I7878">
            <v>900624854</v>
          </cell>
          <cell r="J7878" t="str">
            <v>INSTITUCION EDUCATIVA AGROPECUARIA POLACHAYAN</v>
          </cell>
          <cell r="K7878">
            <v>14696286</v>
          </cell>
        </row>
        <row r="7879">
          <cell r="I7879">
            <v>900625259</v>
          </cell>
          <cell r="J7879" t="str">
            <v>INSTITUCION EDUCATIVA DEPARTAMENTAL CANDELARIA</v>
          </cell>
          <cell r="K7879">
            <v>31221789</v>
          </cell>
        </row>
        <row r="7880">
          <cell r="I7880">
            <v>900625419</v>
          </cell>
          <cell r="J7880" t="str">
            <v>SGP GRATU-I. E. SAN MIGUEL</v>
          </cell>
          <cell r="K7880">
            <v>49319261</v>
          </cell>
        </row>
        <row r="7881">
          <cell r="I7881">
            <v>900625638</v>
          </cell>
          <cell r="J7881" t="str">
            <v>IEPBIN KWE SX KSXA W WALA</v>
          </cell>
          <cell r="K7881">
            <v>10427288</v>
          </cell>
        </row>
        <row r="7882">
          <cell r="I7882">
            <v>900628568</v>
          </cell>
          <cell r="J7882" t="str">
            <v>CER LA ANGELITA</v>
          </cell>
          <cell r="K7882">
            <v>23091497</v>
          </cell>
        </row>
        <row r="7883">
          <cell r="I7883">
            <v>900632248</v>
          </cell>
          <cell r="J7883" t="str">
            <v>SGP GRATU-INSTITUCION  EDUCATIVA  VALENTIN  MANJARREZ</v>
          </cell>
          <cell r="K7883">
            <v>144267411</v>
          </cell>
        </row>
        <row r="7884">
          <cell r="I7884">
            <v>900647946</v>
          </cell>
          <cell r="J7884" t="str">
            <v>Centro Educativo el Recreo</v>
          </cell>
          <cell r="K7884">
            <v>19844817</v>
          </cell>
        </row>
        <row r="7885">
          <cell r="I7885">
            <v>900648405</v>
          </cell>
          <cell r="J7885" t="str">
            <v>SGP GRATU-C.E. LA HUMAREDA</v>
          </cell>
          <cell r="K7885">
            <v>17378068</v>
          </cell>
        </row>
        <row r="7886">
          <cell r="I7886">
            <v>900654269</v>
          </cell>
          <cell r="J7886" t="str">
            <v>CENTRO DE EDUCACION PROPIA BILINGUE E INTERCULTURAL NASA - CEPBIN KWE'SX IPX KWETH DXI'J</v>
          </cell>
          <cell r="K7886">
            <v>10332438</v>
          </cell>
        </row>
        <row r="7887">
          <cell r="I7887">
            <v>900655641</v>
          </cell>
          <cell r="J7887" t="str">
            <v>INSTITUCION DE EDUCACION PROPIA BILINGUE E INTERCULTURAL NASA-IEPBIN KWE´ SX UMA KIWE</v>
          </cell>
          <cell r="K7887">
            <v>12631243</v>
          </cell>
        </row>
        <row r="7888">
          <cell r="I7888">
            <v>900663079</v>
          </cell>
          <cell r="J7888" t="str">
            <v>INSTITUCION EDUCATIVA VALPARAISO BAJO</v>
          </cell>
          <cell r="K7888">
            <v>9352721</v>
          </cell>
        </row>
        <row r="7889">
          <cell r="I7889">
            <v>900663657</v>
          </cell>
          <cell r="J7889" t="str">
            <v>INSTITUCION EDUCATIVA AGROPECUARIA VERACRUZ</v>
          </cell>
          <cell r="K7889">
            <v>30324664</v>
          </cell>
        </row>
        <row r="7890">
          <cell r="I7890">
            <v>900666567</v>
          </cell>
          <cell r="J7890" t="str">
            <v>CENTRO EDUCATIVO GUAPUSCAL ALTO</v>
          </cell>
          <cell r="K7890">
            <v>16569128</v>
          </cell>
        </row>
        <row r="7891">
          <cell r="I7891">
            <v>900673137</v>
          </cell>
          <cell r="J7891" t="str">
            <v>INSTITUCION EDUCATIVA VALORES UNIDOS</v>
          </cell>
          <cell r="K7891">
            <v>62350266</v>
          </cell>
        </row>
        <row r="7892">
          <cell r="I7892">
            <v>900678838</v>
          </cell>
          <cell r="J7892" t="str">
            <v>centro educativo agropiscicola las compuertas</v>
          </cell>
          <cell r="K7892">
            <v>25960156</v>
          </cell>
        </row>
        <row r="7893">
          <cell r="I7893">
            <v>900679821</v>
          </cell>
          <cell r="J7893" t="str">
            <v>INSTITUCION EDUCATIVA DEPARTAMENTAL EL HORNO - FOSE</v>
          </cell>
          <cell r="K7893">
            <v>40026267</v>
          </cell>
        </row>
        <row r="7894">
          <cell r="I7894">
            <v>900680909</v>
          </cell>
          <cell r="J7894" t="str">
            <v>IED BALDOMERO SANIN CANO</v>
          </cell>
          <cell r="K7894">
            <v>48596171</v>
          </cell>
        </row>
        <row r="7895">
          <cell r="I7895">
            <v>900701150</v>
          </cell>
          <cell r="J7895" t="str">
            <v>I.E.YACHAY WASI RUNA YANAKUNA</v>
          </cell>
          <cell r="K7895">
            <v>12809411</v>
          </cell>
        </row>
        <row r="7896">
          <cell r="I7896">
            <v>900703219</v>
          </cell>
          <cell r="J7896" t="str">
            <v>INST EDUC EL DIAMANTE</v>
          </cell>
          <cell r="K7896">
            <v>82532101</v>
          </cell>
        </row>
        <row r="7897">
          <cell r="I7897">
            <v>900704752</v>
          </cell>
          <cell r="J7897" t="str">
            <v>INSTITUCION EDUC LA ASUNCION</v>
          </cell>
          <cell r="K7897">
            <v>54217468</v>
          </cell>
        </row>
        <row r="7898">
          <cell r="I7898">
            <v>900705033</v>
          </cell>
          <cell r="J7898" t="str">
            <v>INST EDUC JESUS MARIA VALLE</v>
          </cell>
          <cell r="K7898">
            <v>78958861</v>
          </cell>
        </row>
        <row r="7899">
          <cell r="I7899">
            <v>900705111</v>
          </cell>
          <cell r="J7899" t="str">
            <v>INSTITUCION EDUCATIVA EL CORAZON</v>
          </cell>
          <cell r="K7899">
            <v>96375696</v>
          </cell>
        </row>
        <row r="7900">
          <cell r="I7900">
            <v>900705997</v>
          </cell>
          <cell r="J7900" t="str">
            <v>I.E. SAN JOSÉ DE RIECITO</v>
          </cell>
          <cell r="K7900">
            <v>39915138</v>
          </cell>
        </row>
        <row r="7901">
          <cell r="I7901">
            <v>900707080</v>
          </cell>
          <cell r="J7901" t="str">
            <v>I.E. SANTA CATALINA DE SENA.</v>
          </cell>
          <cell r="K7901">
            <v>38773447</v>
          </cell>
        </row>
        <row r="7902">
          <cell r="I7902">
            <v>900708167</v>
          </cell>
          <cell r="J7902" t="str">
            <v>INSTITUCIÓN EDUCATIVA ROQUE ACOSTA ECHEVERRÍA</v>
          </cell>
          <cell r="K7902">
            <v>50422976</v>
          </cell>
        </row>
        <row r="7903">
          <cell r="I7903">
            <v>900709106</v>
          </cell>
          <cell r="J7903" t="str">
            <v>INSTITUCION EDUCATIVA REINO DE BELGICA</v>
          </cell>
          <cell r="K7903">
            <v>129207876</v>
          </cell>
        </row>
        <row r="7904">
          <cell r="I7904">
            <v>900712748</v>
          </cell>
          <cell r="J7904" t="str">
            <v>I.E. SANTA LUCIA</v>
          </cell>
          <cell r="K7904">
            <v>35273973</v>
          </cell>
        </row>
        <row r="7905">
          <cell r="I7905">
            <v>900718721</v>
          </cell>
          <cell r="J7905" t="str">
            <v>ie santa maria la antigua</v>
          </cell>
          <cell r="K7905">
            <v>69670110</v>
          </cell>
        </row>
        <row r="7906">
          <cell r="I7906">
            <v>900719842</v>
          </cell>
          <cell r="J7906" t="str">
            <v>CENTRO EDUCATIVO SIMON BOLIVAR DE COLOMBIA</v>
          </cell>
          <cell r="K7906">
            <v>23370014</v>
          </cell>
        </row>
        <row r="7907">
          <cell r="I7907">
            <v>900727810</v>
          </cell>
          <cell r="J7907" t="str">
            <v>INSTITUCION   EDUCATIVA  FRUTO  DE LA ESPERANZA</v>
          </cell>
          <cell r="K7907">
            <v>69062937</v>
          </cell>
        </row>
        <row r="7908">
          <cell r="I7908">
            <v>900734927</v>
          </cell>
          <cell r="J7908" t="str">
            <v>INSTITUCION EDUCATIVA DE COBADILLO - MUNICIPIO DE  RIO VIEJO</v>
          </cell>
          <cell r="K7908">
            <v>52747968</v>
          </cell>
        </row>
        <row r="7909">
          <cell r="I7909">
            <v>900736711</v>
          </cell>
          <cell r="J7909" t="str">
            <v>C.E. INTERCULTURAL INDIGENA SAN VICENTE DEL CAGUAN</v>
          </cell>
          <cell r="K7909">
            <v>14127726</v>
          </cell>
        </row>
        <row r="7910">
          <cell r="I7910">
            <v>900743210</v>
          </cell>
          <cell r="J7910" t="str">
            <v>CENTRO ETNOEDUCATIVO RURAL ASHAJAA WAKUAIPA</v>
          </cell>
          <cell r="K7910">
            <v>155756096</v>
          </cell>
        </row>
        <row r="7911">
          <cell r="I7911">
            <v>900755118</v>
          </cell>
          <cell r="J7911" t="str">
            <v>INSTITUCION EDUCATIVA MACAYEPOS</v>
          </cell>
          <cell r="K7911">
            <v>79500279</v>
          </cell>
        </row>
        <row r="7912">
          <cell r="I7912">
            <v>900760503</v>
          </cell>
          <cell r="J7912" t="str">
            <v>INSTITUCION EDUCATIVA LAGINILLA</v>
          </cell>
          <cell r="K7912">
            <v>43991811</v>
          </cell>
        </row>
        <row r="7913">
          <cell r="I7913">
            <v>900760585</v>
          </cell>
          <cell r="J7913" t="str">
            <v>INSTITUCION EUCATIVA VASCO NUÑEZ DE BALBOA</v>
          </cell>
          <cell r="K7913">
            <v>82272692</v>
          </cell>
        </row>
        <row r="7914">
          <cell r="I7914">
            <v>900763495</v>
          </cell>
          <cell r="J7914" t="str">
            <v>Institución Educativa Claretiano "Gustavo Torres Parra"</v>
          </cell>
          <cell r="K7914">
            <v>93052871</v>
          </cell>
        </row>
        <row r="7915">
          <cell r="I7915">
            <v>900776686</v>
          </cell>
          <cell r="J7915" t="str">
            <v>Institucion Educativa Municipal Rumiyaco Pachakuti</v>
          </cell>
          <cell r="K7915">
            <v>16844109</v>
          </cell>
        </row>
        <row r="7916">
          <cell r="I7916">
            <v>900792923</v>
          </cell>
          <cell r="J7916" t="str">
            <v>INSTITUCION EDUCATIVA DE LETICIA</v>
          </cell>
          <cell r="K7916">
            <v>20956480</v>
          </cell>
        </row>
        <row r="7917">
          <cell r="I7917">
            <v>900802911</v>
          </cell>
          <cell r="J7917" t="str">
            <v>INSTITUCION EDUCATIVA EL SALADO</v>
          </cell>
          <cell r="K7917">
            <v>34148172</v>
          </cell>
        </row>
        <row r="7918">
          <cell r="I7918">
            <v>900816026</v>
          </cell>
          <cell r="J7918" t="str">
            <v>INSTITUCION EDUCATIVA NO. 15</v>
          </cell>
          <cell r="K7918">
            <v>142597300</v>
          </cell>
        </row>
        <row r="7919">
          <cell r="I7919">
            <v>900816337</v>
          </cell>
          <cell r="J7919" t="str">
            <v>I.E. SAN JUAN DE LOS LLANOS</v>
          </cell>
          <cell r="K7919">
            <v>41748910</v>
          </cell>
        </row>
        <row r="7920">
          <cell r="I7920">
            <v>900817827</v>
          </cell>
          <cell r="J7920" t="str">
            <v>INST EDUC SAN BENITO</v>
          </cell>
          <cell r="K7920">
            <v>36139466</v>
          </cell>
        </row>
        <row r="7921">
          <cell r="I7921">
            <v>900825161</v>
          </cell>
          <cell r="J7921" t="str">
            <v>CENT EDUC DIST HERNANDO DURAN DUSAN</v>
          </cell>
          <cell r="K7921">
            <v>190787640</v>
          </cell>
        </row>
        <row r="7922">
          <cell r="I7922">
            <v>900825794</v>
          </cell>
          <cell r="J7922" t="str">
            <v>CENTRO ETNOEDUCATIVO RURAL ANOUI</v>
          </cell>
          <cell r="K7922">
            <v>297724900</v>
          </cell>
        </row>
        <row r="7923">
          <cell r="I7923">
            <v>900826511</v>
          </cell>
          <cell r="J7923" t="str">
            <v>COLEGIO SILVIA APONTE RODRIGUEZ</v>
          </cell>
          <cell r="K7923">
            <v>59200160</v>
          </cell>
        </row>
        <row r="7924">
          <cell r="I7924">
            <v>900826975</v>
          </cell>
          <cell r="J7924" t="str">
            <v>COLEGIO SAN CAYETANO (IED)</v>
          </cell>
          <cell r="K7924">
            <v>125958978</v>
          </cell>
        </row>
        <row r="7925">
          <cell r="I7925">
            <v>900829833</v>
          </cell>
          <cell r="J7925" t="str">
            <v>INSTITUCION EDUCATIVA INTERNADO SAN ANTONIO DE PADUA</v>
          </cell>
          <cell r="K7925">
            <v>15829639</v>
          </cell>
        </row>
        <row r="7926">
          <cell r="I7926">
            <v>900837398</v>
          </cell>
          <cell r="J7926" t="str">
            <v>INSTITUCION EDUCATIVA EL PLACER</v>
          </cell>
          <cell r="K7926">
            <v>27283562</v>
          </cell>
        </row>
        <row r="7927">
          <cell r="I7927">
            <v>900838180</v>
          </cell>
          <cell r="J7927" t="str">
            <v>INSTITUCION EDUCATIVA SAN JOSÉ OBRERO</v>
          </cell>
          <cell r="K7927">
            <v>90734752</v>
          </cell>
        </row>
        <row r="7928">
          <cell r="I7928">
            <v>900845585</v>
          </cell>
          <cell r="J7928" t="str">
            <v>COLEGIO LA JOYA (IED)</v>
          </cell>
          <cell r="K7928">
            <v>82839992</v>
          </cell>
        </row>
        <row r="7929">
          <cell r="I7929">
            <v>900849322</v>
          </cell>
          <cell r="J7929" t="str">
            <v>C.E. DISTRITAL ORINOCO</v>
          </cell>
          <cell r="K7929">
            <v>30842200</v>
          </cell>
        </row>
        <row r="7930">
          <cell r="I7930">
            <v>900851512</v>
          </cell>
          <cell r="J7930" t="str">
            <v>CENTRO EDUCATIVO RURAL GAVIOTAS</v>
          </cell>
          <cell r="K7930">
            <v>18765103</v>
          </cell>
        </row>
        <row r="7931">
          <cell r="I7931">
            <v>900858960</v>
          </cell>
          <cell r="J7931" t="str">
            <v>CENTRO EDUCATIVO ALPES DE SEVILLA</v>
          </cell>
          <cell r="K7931">
            <v>19082330</v>
          </cell>
        </row>
        <row r="7932">
          <cell r="I7932">
            <v>900871157</v>
          </cell>
          <cell r="J7932" t="str">
            <v>INSTITUCION EDUCATIVA  EL MANZANO</v>
          </cell>
          <cell r="K7932">
            <v>17006072</v>
          </cell>
        </row>
        <row r="7933">
          <cell r="I7933">
            <v>900871861</v>
          </cell>
          <cell r="J7933" t="str">
            <v>COLEGIO NELSON MANDELA INSTITUCION EDUCATIVA DISTRITAL</v>
          </cell>
          <cell r="K7933">
            <v>128356726</v>
          </cell>
        </row>
        <row r="7934">
          <cell r="I7934">
            <v>900884737</v>
          </cell>
          <cell r="J7934" t="str">
            <v>INSTITUCION EDUCATIVA BUENAVISTA</v>
          </cell>
          <cell r="K7934">
            <v>17151994</v>
          </cell>
        </row>
        <row r="7935">
          <cell r="I7935">
            <v>900889520</v>
          </cell>
          <cell r="J7935" t="str">
            <v>CENTRO EDUCATIVO  CURIACO</v>
          </cell>
          <cell r="K7935">
            <v>16775348</v>
          </cell>
        </row>
        <row r="7936">
          <cell r="I7936">
            <v>900893281</v>
          </cell>
          <cell r="J7936" t="str">
            <v>INSTITUCION EDUCATIVA FRANCISCO JOSE DE CALDAS</v>
          </cell>
          <cell r="K7936">
            <v>70942550</v>
          </cell>
        </row>
        <row r="7937">
          <cell r="I7937">
            <v>900900742</v>
          </cell>
          <cell r="J7937" t="str">
            <v>INSTITUCION EDUCATIVA LA ARMONIA</v>
          </cell>
          <cell r="K7937">
            <v>157104713</v>
          </cell>
        </row>
        <row r="7938">
          <cell r="I7938">
            <v>900910718</v>
          </cell>
          <cell r="J7938" t="str">
            <v>CENTRO EDUCATIVO SANTA CRUZ</v>
          </cell>
          <cell r="K7938">
            <v>23230414</v>
          </cell>
        </row>
        <row r="7939">
          <cell r="I7939">
            <v>900915708</v>
          </cell>
          <cell r="J7939" t="str">
            <v>CENTRO EDUCATIVO RURAL PUENTE REAL</v>
          </cell>
          <cell r="K7939">
            <v>26636712</v>
          </cell>
        </row>
        <row r="7940">
          <cell r="I7940">
            <v>900916002</v>
          </cell>
          <cell r="J7940" t="str">
            <v>CE JORGE VALENCIA LOZANO</v>
          </cell>
          <cell r="K7940">
            <v>27292284</v>
          </cell>
        </row>
        <row r="7941">
          <cell r="I7941">
            <v>900917501</v>
          </cell>
          <cell r="J7941" t="str">
            <v>CE PRIMITIVO PALACIOS</v>
          </cell>
          <cell r="K7941">
            <v>42270789</v>
          </cell>
        </row>
        <row r="7942">
          <cell r="I7942">
            <v>900920721</v>
          </cell>
          <cell r="J7942" t="str">
            <v>INSTITUCION EDUCATIVA MARCO ANTONIO FRANCO RODRIGUEZ</v>
          </cell>
          <cell r="K7942">
            <v>94303649</v>
          </cell>
        </row>
        <row r="7943">
          <cell r="I7943">
            <v>900926358</v>
          </cell>
          <cell r="J7943" t="str">
            <v>IE Terraplen</v>
          </cell>
          <cell r="K7943">
            <v>31628964</v>
          </cell>
        </row>
        <row r="7944">
          <cell r="I7944">
            <v>900929993</v>
          </cell>
          <cell r="J7944" t="str">
            <v>I.E  GABRIEL GARCIA MARQUEZ</v>
          </cell>
          <cell r="K7944">
            <v>99250053</v>
          </cell>
        </row>
        <row r="7945">
          <cell r="I7945">
            <v>900932971</v>
          </cell>
          <cell r="J7945" t="str">
            <v>INSTITUCIÓN EDUCATIVA LUSITANIA - PAZ DE COLOMBIA</v>
          </cell>
          <cell r="K7945">
            <v>128180394</v>
          </cell>
        </row>
        <row r="7946">
          <cell r="I7946">
            <v>900935808</v>
          </cell>
          <cell r="J7946" t="str">
            <v>INST EDUC LA SIERRA</v>
          </cell>
          <cell r="K7946">
            <v>94939114</v>
          </cell>
        </row>
        <row r="7947">
          <cell r="I7947">
            <v>900939018</v>
          </cell>
          <cell r="J7947" t="str">
            <v>COLEGIO DIANA TURBAY I.E.D</v>
          </cell>
          <cell r="K7947">
            <v>125997842</v>
          </cell>
        </row>
        <row r="7948">
          <cell r="I7948">
            <v>900939451</v>
          </cell>
          <cell r="J7948" t="str">
            <v>INSTITUCION EDUCATICA JOSE MARIA TORTI SORIANO</v>
          </cell>
          <cell r="K7948">
            <v>64869616</v>
          </cell>
        </row>
        <row r="7949">
          <cell r="I7949">
            <v>900942296</v>
          </cell>
          <cell r="J7949" t="str">
            <v>INSTITUCION EDUCATIVA COMPLEJO EDUCATIVO INTEGRAL SOPO</v>
          </cell>
          <cell r="K7949">
            <v>87470827</v>
          </cell>
        </row>
        <row r="7950">
          <cell r="I7950">
            <v>900957153</v>
          </cell>
          <cell r="J7950" t="str">
            <v>INSTITUCION EDUCATIVA FRANCISCO JOSE DE CALDAS</v>
          </cell>
          <cell r="K7950">
            <v>100889045</v>
          </cell>
        </row>
        <row r="7951">
          <cell r="I7951">
            <v>900959924</v>
          </cell>
          <cell r="J7951" t="str">
            <v>INSTITUCIÓN EDUCATIVA BENEDIKTA ZUR NIEDEN</v>
          </cell>
          <cell r="K7951">
            <v>108440659</v>
          </cell>
        </row>
        <row r="7952">
          <cell r="I7952">
            <v>900960204</v>
          </cell>
          <cell r="J7952" t="str">
            <v>COLEGIO FRANCISCO PRIMERO S.S. IED</v>
          </cell>
          <cell r="K7952">
            <v>83661454</v>
          </cell>
        </row>
        <row r="7953">
          <cell r="I7953">
            <v>900998168</v>
          </cell>
          <cell r="J7953" t="str">
            <v>INSTITUCION EDUCATIVA MARIA POUSSEPIN</v>
          </cell>
          <cell r="K7953">
            <v>41539752</v>
          </cell>
        </row>
        <row r="7954">
          <cell r="I7954">
            <v>900998483</v>
          </cell>
          <cell r="J7954" t="str">
            <v>IE LUIS CARLOS GALAN SARMIENTO</v>
          </cell>
          <cell r="K7954">
            <v>128852426</v>
          </cell>
        </row>
        <row r="7955">
          <cell r="I7955">
            <v>901001855</v>
          </cell>
          <cell r="J7955" t="str">
            <v>CENTRO EDUCATIVO EL VIGIA</v>
          </cell>
          <cell r="K7955">
            <v>15062824</v>
          </cell>
        </row>
        <row r="7956">
          <cell r="I7956">
            <v>901004821</v>
          </cell>
          <cell r="J7956" t="str">
            <v>CE LUIS LOPEZ DE MESA</v>
          </cell>
          <cell r="K7956">
            <v>57310177</v>
          </cell>
        </row>
        <row r="7957">
          <cell r="I7957">
            <v>901007081</v>
          </cell>
          <cell r="J7957" t="str">
            <v>COLEGIO DIANA TURBAY QUINTERO</v>
          </cell>
          <cell r="K7957">
            <v>33280841</v>
          </cell>
        </row>
        <row r="7958">
          <cell r="I7958">
            <v>901014081</v>
          </cell>
          <cell r="J7958" t="str">
            <v>INSTITUCION EDUCATIVA BERLIN</v>
          </cell>
          <cell r="K7958">
            <v>22429942</v>
          </cell>
        </row>
        <row r="7959">
          <cell r="I7959">
            <v>901027633</v>
          </cell>
          <cell r="J7959" t="str">
            <v>CENTRO EDUCATIVO CAÑO SECO</v>
          </cell>
          <cell r="K7959">
            <v>22349205</v>
          </cell>
        </row>
        <row r="7960">
          <cell r="I7960">
            <v>901034504</v>
          </cell>
          <cell r="J7960" t="str">
            <v>I.E. SAN JUAN BOSCO</v>
          </cell>
          <cell r="K7960">
            <v>59758381</v>
          </cell>
        </row>
        <row r="7961">
          <cell r="I7961">
            <v>901044426</v>
          </cell>
          <cell r="J7961" t="str">
            <v>INSTITUCIÓN EDUCATIVA DISTRITAL LAS MERCEDES COLEGIO SAN PABLO</v>
          </cell>
          <cell r="K7961">
            <v>85468001</v>
          </cell>
        </row>
        <row r="7962">
          <cell r="I7962">
            <v>901044455</v>
          </cell>
          <cell r="J7962" t="str">
            <v>JESUS MAESTRO</v>
          </cell>
          <cell r="K7962">
            <v>54234017</v>
          </cell>
        </row>
        <row r="7963">
          <cell r="I7963">
            <v>901046441</v>
          </cell>
          <cell r="J7963" t="str">
            <v>INSTITUCION EDUCATIVA DISTRITAL GOLDA MEIR</v>
          </cell>
          <cell r="K7963">
            <v>67687856</v>
          </cell>
        </row>
        <row r="7964">
          <cell r="I7964">
            <v>901046877</v>
          </cell>
          <cell r="J7964" t="str">
            <v>INSTITUCION EDUCATIVA BLANQUIZAL</v>
          </cell>
          <cell r="K7964">
            <v>78314986</v>
          </cell>
        </row>
        <row r="7965">
          <cell r="I7965">
            <v>901047614</v>
          </cell>
          <cell r="J7965" t="str">
            <v>INSTITUCION EDUCATIVA CORVIDE</v>
          </cell>
          <cell r="K7965">
            <v>64500629</v>
          </cell>
        </row>
        <row r="7966">
          <cell r="I7966">
            <v>901048040</v>
          </cell>
          <cell r="J7966" t="str">
            <v>INSTITUCION EDUCATIVA FUNDADORES</v>
          </cell>
          <cell r="K7966">
            <v>123004364</v>
          </cell>
        </row>
        <row r="7967">
          <cell r="I7967">
            <v>901048423</v>
          </cell>
          <cell r="J7967" t="str">
            <v>INSTITUCIÓN EDUCATIVA EL PLAYÓN</v>
          </cell>
          <cell r="K7967">
            <v>37832042</v>
          </cell>
        </row>
        <row r="7968">
          <cell r="I7968">
            <v>901048761</v>
          </cell>
          <cell r="J7968" t="str">
            <v>INSTITUCION EDUCATIVA NELSON MANDELA</v>
          </cell>
          <cell r="K7968">
            <v>108993887</v>
          </cell>
        </row>
        <row r="7969">
          <cell r="I7969">
            <v>901049658</v>
          </cell>
          <cell r="J7969" t="str">
            <v>INSTITUCIÓN EDUCATIVA COMPARTIR</v>
          </cell>
          <cell r="K7969">
            <v>71703366</v>
          </cell>
        </row>
        <row r="7970">
          <cell r="I7970">
            <v>901049755</v>
          </cell>
          <cell r="J7970" t="str">
            <v>INSTITUCION EDUCATIVA RODRIGO ARENAS BETANCUR</v>
          </cell>
          <cell r="K7970">
            <v>65528321</v>
          </cell>
        </row>
        <row r="7971">
          <cell r="I7971">
            <v>901049924</v>
          </cell>
          <cell r="J7971" t="str">
            <v>INSTITUCION EDUCATIVA  LA PASTORA</v>
          </cell>
          <cell r="K7971">
            <v>45850419</v>
          </cell>
        </row>
        <row r="7972">
          <cell r="I7972">
            <v>901049939</v>
          </cell>
          <cell r="J7972" t="str">
            <v>INSTITUCION EDUCATIVA  MARTIN EDUARDO RIOS LLANOS</v>
          </cell>
          <cell r="K7972">
            <v>42531595</v>
          </cell>
        </row>
        <row r="7973">
          <cell r="I7973">
            <v>901049991</v>
          </cell>
          <cell r="J7973" t="str">
            <v>INSTITUCION EDUCATIVA  PRADITO</v>
          </cell>
          <cell r="K7973">
            <v>34977051</v>
          </cell>
        </row>
        <row r="7974">
          <cell r="I7974">
            <v>901050221</v>
          </cell>
          <cell r="J7974" t="str">
            <v>INSTITUCION EDUCATIVA ALTAVISTA</v>
          </cell>
          <cell r="K7974">
            <v>37272494</v>
          </cell>
        </row>
        <row r="7975">
          <cell r="I7975">
            <v>901050539</v>
          </cell>
          <cell r="J7975" t="str">
            <v>INST EDUC BARRIO SAN NICOLAS</v>
          </cell>
          <cell r="K7975">
            <v>46556755</v>
          </cell>
        </row>
        <row r="7976">
          <cell r="I7976">
            <v>901051309</v>
          </cell>
          <cell r="J7976" t="str">
            <v>INSTITUCION EDUCATIVA ALTOS DE LA SABANA</v>
          </cell>
          <cell r="K7976">
            <v>79514134</v>
          </cell>
        </row>
        <row r="7977">
          <cell r="I7977">
            <v>901051510</v>
          </cell>
          <cell r="J7977" t="str">
            <v>INSTITUCION EDUCATIVA PROGRESAR</v>
          </cell>
          <cell r="K7977">
            <v>58171023</v>
          </cell>
        </row>
        <row r="7978">
          <cell r="I7978">
            <v>901054494</v>
          </cell>
          <cell r="J7978" t="str">
            <v>IE SAN RAFAEL DE DOMO PLANAS</v>
          </cell>
          <cell r="K7978">
            <v>232230459</v>
          </cell>
        </row>
        <row r="7979">
          <cell r="I7979">
            <v>901064198</v>
          </cell>
          <cell r="J7979" t="str">
            <v>IE AGROPECUARIA GUILLERMO VALENCIA</v>
          </cell>
          <cell r="K7979">
            <v>53296377</v>
          </cell>
        </row>
        <row r="7980">
          <cell r="I7980">
            <v>901089263</v>
          </cell>
          <cell r="J7980" t="str">
            <v>INSTITUCION EDUCATIVA NOBEL JUAN MANUEL SANTOS</v>
          </cell>
          <cell r="K7980">
            <v>104600257</v>
          </cell>
        </row>
        <row r="7981">
          <cell r="I7981">
            <v>901116388</v>
          </cell>
          <cell r="J7981" t="str">
            <v>CEPBIN KWE SX SEK LUUCXWE SX</v>
          </cell>
          <cell r="K7981">
            <v>11189854</v>
          </cell>
        </row>
        <row r="7982">
          <cell r="I7982">
            <v>901117017</v>
          </cell>
          <cell r="J7982" t="str">
            <v>IE SAN LORENZO</v>
          </cell>
          <cell r="K7982">
            <v>65356133</v>
          </cell>
        </row>
        <row r="7983">
          <cell r="I7983">
            <v>901117984</v>
          </cell>
          <cell r="J7983" t="str">
            <v>CENTRO EDUCATIVO PANAMA</v>
          </cell>
          <cell r="K7983">
            <v>47179830</v>
          </cell>
        </row>
        <row r="7984">
          <cell r="I7984">
            <v>901126775</v>
          </cell>
          <cell r="J7984" t="str">
            <v>CENTRO EDUCATIVO EL TRONCAL</v>
          </cell>
          <cell r="K7984">
            <v>22056743</v>
          </cell>
        </row>
        <row r="7985">
          <cell r="I7985">
            <v>901132688</v>
          </cell>
          <cell r="J7985" t="str">
            <v>LAZARO DE GARDEA</v>
          </cell>
          <cell r="K7985">
            <v>45428107</v>
          </cell>
        </row>
        <row r="7986">
          <cell r="I7986">
            <v>901176912</v>
          </cell>
          <cell r="J7986" t="str">
            <v>CENTRO ETNOEDUCATIVO RURAL UTPURAI</v>
          </cell>
          <cell r="K7986">
            <v>46849305</v>
          </cell>
        </row>
        <row r="7987">
          <cell r="I7987">
            <v>901178190</v>
          </cell>
          <cell r="J7987" t="str">
            <v>CENTRO ETNOEDUCATIVO RURAL KANAAN</v>
          </cell>
          <cell r="K7987">
            <v>70970506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f"/>
      <sheetName val="Fidupre"/>
      <sheetName val="Gratuidad"/>
      <sheetName val="Hoja3"/>
    </sheetNames>
    <sheetDataSet>
      <sheetData sheetId="0"/>
      <sheetData sheetId="1"/>
      <sheetData sheetId="2"/>
      <sheetData sheetId="3">
        <row r="3">
          <cell r="J3">
            <v>800000681</v>
          </cell>
          <cell r="K3">
            <v>46329865</v>
          </cell>
        </row>
        <row r="4">
          <cell r="J4">
            <v>800004741</v>
          </cell>
          <cell r="K4">
            <v>387154206</v>
          </cell>
        </row>
        <row r="5">
          <cell r="J5">
            <v>800005292</v>
          </cell>
          <cell r="K5">
            <v>32881269</v>
          </cell>
        </row>
        <row r="6">
          <cell r="J6">
            <v>800006541</v>
          </cell>
          <cell r="K6">
            <v>16239937</v>
          </cell>
        </row>
        <row r="7">
          <cell r="J7">
            <v>800007652</v>
          </cell>
          <cell r="K7">
            <v>93343255</v>
          </cell>
        </row>
        <row r="8">
          <cell r="J8">
            <v>800008456</v>
          </cell>
          <cell r="K8">
            <v>27116767</v>
          </cell>
        </row>
        <row r="9">
          <cell r="J9">
            <v>800010350</v>
          </cell>
          <cell r="K9">
            <v>74933733</v>
          </cell>
        </row>
        <row r="10">
          <cell r="J10">
            <v>800012628</v>
          </cell>
          <cell r="K10">
            <v>29151559</v>
          </cell>
        </row>
        <row r="11">
          <cell r="J11">
            <v>800012631</v>
          </cell>
          <cell r="K11">
            <v>21512401</v>
          </cell>
        </row>
        <row r="12">
          <cell r="J12">
            <v>800012635</v>
          </cell>
          <cell r="K12">
            <v>81689489</v>
          </cell>
        </row>
        <row r="13">
          <cell r="J13">
            <v>800012638</v>
          </cell>
          <cell r="K13">
            <v>29807923</v>
          </cell>
        </row>
        <row r="14">
          <cell r="J14">
            <v>800012873</v>
          </cell>
          <cell r="K14">
            <v>97520742</v>
          </cell>
        </row>
        <row r="15">
          <cell r="J15">
            <v>800013237</v>
          </cell>
          <cell r="K15">
            <v>127312121</v>
          </cell>
        </row>
        <row r="16">
          <cell r="J16">
            <v>800013676</v>
          </cell>
          <cell r="K16">
            <v>518308558</v>
          </cell>
        </row>
        <row r="17">
          <cell r="J17">
            <v>800013683</v>
          </cell>
          <cell r="K17">
            <v>151290788</v>
          </cell>
        </row>
        <row r="18">
          <cell r="J18">
            <v>800015689</v>
          </cell>
          <cell r="K18">
            <v>209661015</v>
          </cell>
        </row>
        <row r="19">
          <cell r="J19">
            <v>800015991</v>
          </cell>
          <cell r="K19">
            <v>142909106</v>
          </cell>
        </row>
        <row r="20">
          <cell r="J20">
            <v>800016757</v>
          </cell>
          <cell r="K20">
            <v>247528810</v>
          </cell>
        </row>
        <row r="21">
          <cell r="J21">
            <v>800017022</v>
          </cell>
          <cell r="K21">
            <v>188411305</v>
          </cell>
        </row>
        <row r="22">
          <cell r="J22">
            <v>800017288</v>
          </cell>
          <cell r="K22">
            <v>24811259</v>
          </cell>
        </row>
        <row r="23">
          <cell r="J23">
            <v>800018650</v>
          </cell>
          <cell r="K23">
            <v>61034429</v>
          </cell>
        </row>
        <row r="24">
          <cell r="J24">
            <v>800019000</v>
          </cell>
          <cell r="K24">
            <v>94611224</v>
          </cell>
        </row>
        <row r="25">
          <cell r="J25">
            <v>800019111</v>
          </cell>
          <cell r="K25">
            <v>124291612</v>
          </cell>
        </row>
        <row r="26">
          <cell r="J26">
            <v>800019112</v>
          </cell>
          <cell r="K26">
            <v>138661719</v>
          </cell>
        </row>
        <row r="27">
          <cell r="J27">
            <v>800019218</v>
          </cell>
          <cell r="K27">
            <v>279141244</v>
          </cell>
        </row>
        <row r="28">
          <cell r="J28">
            <v>800019254</v>
          </cell>
          <cell r="K28">
            <v>40134952</v>
          </cell>
        </row>
        <row r="29">
          <cell r="J29">
            <v>800019709</v>
          </cell>
          <cell r="K29">
            <v>45231927</v>
          </cell>
        </row>
        <row r="30">
          <cell r="J30">
            <v>800019816</v>
          </cell>
          <cell r="K30">
            <v>98814747</v>
          </cell>
        </row>
        <row r="31">
          <cell r="J31">
            <v>800019846</v>
          </cell>
          <cell r="K31">
            <v>52056713</v>
          </cell>
        </row>
        <row r="32">
          <cell r="J32">
            <v>800020045</v>
          </cell>
          <cell r="K32">
            <v>51340504</v>
          </cell>
        </row>
        <row r="33">
          <cell r="J33">
            <v>800020324</v>
          </cell>
          <cell r="K33">
            <v>36864787</v>
          </cell>
        </row>
        <row r="34">
          <cell r="J34">
            <v>800022618</v>
          </cell>
          <cell r="K34">
            <v>52273659</v>
          </cell>
        </row>
        <row r="35">
          <cell r="J35">
            <v>800022791</v>
          </cell>
          <cell r="K35">
            <v>76522980</v>
          </cell>
        </row>
        <row r="36">
          <cell r="J36">
            <v>800024789</v>
          </cell>
          <cell r="K36">
            <v>19570531</v>
          </cell>
        </row>
        <row r="37">
          <cell r="J37">
            <v>800024977</v>
          </cell>
          <cell r="K37">
            <v>173024594</v>
          </cell>
        </row>
        <row r="38">
          <cell r="J38">
            <v>800025608</v>
          </cell>
          <cell r="K38">
            <v>196434484</v>
          </cell>
        </row>
        <row r="39">
          <cell r="J39">
            <v>800026368</v>
          </cell>
          <cell r="K39">
            <v>43928445</v>
          </cell>
        </row>
        <row r="40">
          <cell r="J40">
            <v>800026685</v>
          </cell>
          <cell r="K40">
            <v>484487408</v>
          </cell>
        </row>
        <row r="41">
          <cell r="J41">
            <v>800026911</v>
          </cell>
          <cell r="K41">
            <v>112777521</v>
          </cell>
        </row>
        <row r="42">
          <cell r="J42">
            <v>800027292</v>
          </cell>
          <cell r="K42">
            <v>87075345</v>
          </cell>
        </row>
        <row r="43">
          <cell r="J43">
            <v>800028393</v>
          </cell>
          <cell r="K43">
            <v>42103318</v>
          </cell>
        </row>
        <row r="44">
          <cell r="J44">
            <v>800028432</v>
          </cell>
          <cell r="K44">
            <v>292791519</v>
          </cell>
        </row>
        <row r="45">
          <cell r="J45">
            <v>800028461</v>
          </cell>
          <cell r="K45">
            <v>29334488</v>
          </cell>
        </row>
        <row r="46">
          <cell r="J46">
            <v>800028517</v>
          </cell>
          <cell r="K46">
            <v>153307564</v>
          </cell>
        </row>
        <row r="47">
          <cell r="J47">
            <v>800028576</v>
          </cell>
          <cell r="K47">
            <v>39589037</v>
          </cell>
        </row>
        <row r="48">
          <cell r="J48">
            <v>800029513</v>
          </cell>
          <cell r="K48">
            <v>36977590</v>
          </cell>
        </row>
        <row r="49">
          <cell r="J49">
            <v>800029660</v>
          </cell>
          <cell r="K49">
            <v>108156418</v>
          </cell>
        </row>
        <row r="50">
          <cell r="J50">
            <v>800029826</v>
          </cell>
          <cell r="K50">
            <v>42597415</v>
          </cell>
        </row>
        <row r="51">
          <cell r="J51">
            <v>800030988</v>
          </cell>
          <cell r="K51">
            <v>79067086</v>
          </cell>
        </row>
        <row r="52">
          <cell r="J52">
            <v>800031073</v>
          </cell>
          <cell r="K52">
            <v>43579693</v>
          </cell>
        </row>
        <row r="53">
          <cell r="J53">
            <v>800031075</v>
          </cell>
          <cell r="K53">
            <v>279998768</v>
          </cell>
        </row>
        <row r="54">
          <cell r="J54">
            <v>800031874</v>
          </cell>
          <cell r="K54">
            <v>40490014</v>
          </cell>
        </row>
        <row r="55">
          <cell r="J55">
            <v>800033062</v>
          </cell>
          <cell r="K55">
            <v>78183956</v>
          </cell>
        </row>
        <row r="56">
          <cell r="J56">
            <v>800034476</v>
          </cell>
          <cell r="K56">
            <v>78856077</v>
          </cell>
        </row>
        <row r="57">
          <cell r="J57">
            <v>800035482</v>
          </cell>
          <cell r="K57">
            <v>86353026</v>
          </cell>
        </row>
        <row r="58">
          <cell r="J58">
            <v>800037175</v>
          </cell>
          <cell r="K58">
            <v>445004036</v>
          </cell>
        </row>
        <row r="59">
          <cell r="J59">
            <v>800037371</v>
          </cell>
          <cell r="K59">
            <v>388190337</v>
          </cell>
        </row>
        <row r="60">
          <cell r="J60">
            <v>800039213</v>
          </cell>
          <cell r="K60">
            <v>48960403</v>
          </cell>
        </row>
        <row r="61">
          <cell r="J61">
            <v>800039803</v>
          </cell>
          <cell r="K61">
            <v>144451766</v>
          </cell>
        </row>
        <row r="62">
          <cell r="J62">
            <v>800042974</v>
          </cell>
          <cell r="K62">
            <v>349173651</v>
          </cell>
        </row>
        <row r="63">
          <cell r="J63">
            <v>800043486</v>
          </cell>
          <cell r="K63">
            <v>179939579</v>
          </cell>
        </row>
        <row r="64">
          <cell r="J64">
            <v>800044113</v>
          </cell>
          <cell r="K64">
            <v>111089020</v>
          </cell>
        </row>
        <row r="65">
          <cell r="J65">
            <v>800049017</v>
          </cell>
          <cell r="K65">
            <v>421673913</v>
          </cell>
        </row>
        <row r="66">
          <cell r="J66">
            <v>800049508</v>
          </cell>
          <cell r="K66">
            <v>44206296</v>
          </cell>
        </row>
        <row r="67">
          <cell r="J67">
            <v>800049826</v>
          </cell>
          <cell r="K67">
            <v>331009626</v>
          </cell>
        </row>
        <row r="68">
          <cell r="J68">
            <v>800050331</v>
          </cell>
          <cell r="K68">
            <v>233065584</v>
          </cell>
        </row>
        <row r="69">
          <cell r="J69">
            <v>800050407</v>
          </cell>
          <cell r="K69">
            <v>117449252</v>
          </cell>
        </row>
        <row r="70">
          <cell r="J70">
            <v>800050791</v>
          </cell>
          <cell r="K70">
            <v>28378697</v>
          </cell>
        </row>
        <row r="71">
          <cell r="J71">
            <v>800051167</v>
          </cell>
          <cell r="K71">
            <v>339158512</v>
          </cell>
        </row>
        <row r="72">
          <cell r="J72">
            <v>800051168</v>
          </cell>
          <cell r="K72">
            <v>189066276</v>
          </cell>
        </row>
        <row r="73">
          <cell r="J73">
            <v>800053552</v>
          </cell>
          <cell r="K73">
            <v>40913866</v>
          </cell>
        </row>
        <row r="74">
          <cell r="J74">
            <v>800054249</v>
          </cell>
          <cell r="K74">
            <v>357475854</v>
          </cell>
        </row>
        <row r="75">
          <cell r="J75">
            <v>800059405</v>
          </cell>
          <cell r="K75">
            <v>149160432</v>
          </cell>
        </row>
        <row r="76">
          <cell r="J76">
            <v>800061313</v>
          </cell>
          <cell r="K76">
            <v>319394570</v>
          </cell>
        </row>
        <row r="77">
          <cell r="J77">
            <v>800062255</v>
          </cell>
          <cell r="K77">
            <v>76433862</v>
          </cell>
        </row>
        <row r="78">
          <cell r="J78">
            <v>800063791</v>
          </cell>
          <cell r="K78">
            <v>89404472</v>
          </cell>
        </row>
        <row r="79">
          <cell r="J79">
            <v>800065411</v>
          </cell>
          <cell r="K79">
            <v>18229699</v>
          </cell>
        </row>
        <row r="80">
          <cell r="J80">
            <v>800066389</v>
          </cell>
          <cell r="K80">
            <v>23194870</v>
          </cell>
        </row>
        <row r="81">
          <cell r="J81">
            <v>800069901</v>
          </cell>
          <cell r="K81">
            <v>273507363</v>
          </cell>
        </row>
        <row r="82">
          <cell r="J82">
            <v>800070682</v>
          </cell>
          <cell r="K82">
            <v>458290083</v>
          </cell>
        </row>
        <row r="83">
          <cell r="J83">
            <v>800071934</v>
          </cell>
          <cell r="K83">
            <v>328735892</v>
          </cell>
        </row>
        <row r="84">
          <cell r="J84">
            <v>800074859</v>
          </cell>
          <cell r="K84">
            <v>60490923</v>
          </cell>
        </row>
        <row r="85">
          <cell r="J85">
            <v>800075537</v>
          </cell>
          <cell r="K85">
            <v>12838265</v>
          </cell>
        </row>
        <row r="86">
          <cell r="J86">
            <v>800077545</v>
          </cell>
          <cell r="K86">
            <v>220829202</v>
          </cell>
        </row>
        <row r="87">
          <cell r="J87">
            <v>800077808</v>
          </cell>
          <cell r="K87">
            <v>130148797</v>
          </cell>
        </row>
        <row r="88">
          <cell r="J88">
            <v>800079035</v>
          </cell>
          <cell r="K88">
            <v>137205623</v>
          </cell>
        </row>
        <row r="89">
          <cell r="J89">
            <v>800083233</v>
          </cell>
          <cell r="K89">
            <v>45002686</v>
          </cell>
        </row>
        <row r="90">
          <cell r="J90">
            <v>800084378</v>
          </cell>
          <cell r="K90">
            <v>579514872</v>
          </cell>
        </row>
        <row r="91">
          <cell r="J91">
            <v>800092788</v>
          </cell>
          <cell r="K91">
            <v>71514366</v>
          </cell>
        </row>
        <row r="92">
          <cell r="J92">
            <v>800094378</v>
          </cell>
          <cell r="K92">
            <v>117164688</v>
          </cell>
        </row>
        <row r="93">
          <cell r="J93">
            <v>800094386</v>
          </cell>
          <cell r="K93">
            <v>373787376</v>
          </cell>
        </row>
        <row r="94">
          <cell r="J94">
            <v>800094449</v>
          </cell>
          <cell r="K94">
            <v>122409936</v>
          </cell>
        </row>
        <row r="95">
          <cell r="J95">
            <v>800094457</v>
          </cell>
          <cell r="K95">
            <v>82360595</v>
          </cell>
        </row>
        <row r="96">
          <cell r="J96">
            <v>800094462</v>
          </cell>
          <cell r="K96">
            <v>409990608</v>
          </cell>
        </row>
        <row r="97">
          <cell r="J97">
            <v>800094466</v>
          </cell>
          <cell r="K97">
            <v>187374069</v>
          </cell>
        </row>
        <row r="98">
          <cell r="J98">
            <v>800095466</v>
          </cell>
          <cell r="K98">
            <v>839982284</v>
          </cell>
        </row>
        <row r="99">
          <cell r="J99">
            <v>800095514</v>
          </cell>
          <cell r="K99">
            <v>285140227</v>
          </cell>
        </row>
        <row r="100">
          <cell r="J100">
            <v>800095728</v>
          </cell>
          <cell r="K100">
            <v>278052895</v>
          </cell>
        </row>
        <row r="101">
          <cell r="J101">
            <v>800095734</v>
          </cell>
          <cell r="K101">
            <v>189491410</v>
          </cell>
        </row>
        <row r="102">
          <cell r="J102">
            <v>800095754</v>
          </cell>
          <cell r="K102">
            <v>201464621</v>
          </cell>
        </row>
        <row r="103">
          <cell r="J103">
            <v>800095757</v>
          </cell>
          <cell r="K103">
            <v>13061034</v>
          </cell>
        </row>
        <row r="104">
          <cell r="J104">
            <v>800095760</v>
          </cell>
          <cell r="K104">
            <v>73535549</v>
          </cell>
        </row>
        <row r="105">
          <cell r="J105">
            <v>800095763</v>
          </cell>
          <cell r="K105">
            <v>231011971</v>
          </cell>
        </row>
        <row r="106">
          <cell r="J106">
            <v>800095770</v>
          </cell>
          <cell r="K106">
            <v>35752080</v>
          </cell>
        </row>
        <row r="107">
          <cell r="J107">
            <v>800095775</v>
          </cell>
          <cell r="K107">
            <v>381427879</v>
          </cell>
        </row>
        <row r="108">
          <cell r="J108">
            <v>800095785</v>
          </cell>
          <cell r="K108">
            <v>534720422</v>
          </cell>
        </row>
        <row r="109">
          <cell r="J109">
            <v>800095786</v>
          </cell>
          <cell r="K109">
            <v>62811637</v>
          </cell>
        </row>
        <row r="110">
          <cell r="J110">
            <v>800095788</v>
          </cell>
          <cell r="K110">
            <v>41823330</v>
          </cell>
        </row>
        <row r="111">
          <cell r="J111">
            <v>800095961</v>
          </cell>
          <cell r="K111">
            <v>415720118</v>
          </cell>
        </row>
        <row r="112">
          <cell r="J112">
            <v>800095978</v>
          </cell>
          <cell r="K112">
            <v>146941093</v>
          </cell>
        </row>
        <row r="113">
          <cell r="J113">
            <v>800095980</v>
          </cell>
          <cell r="K113">
            <v>122000177</v>
          </cell>
        </row>
        <row r="114">
          <cell r="J114">
            <v>800095983</v>
          </cell>
          <cell r="K114">
            <v>40860058</v>
          </cell>
        </row>
        <row r="115">
          <cell r="J115">
            <v>800095986</v>
          </cell>
          <cell r="K115">
            <v>138980967</v>
          </cell>
        </row>
        <row r="116">
          <cell r="J116">
            <v>800096558</v>
          </cell>
          <cell r="K116">
            <v>827423507</v>
          </cell>
        </row>
        <row r="117">
          <cell r="J117">
            <v>800096561</v>
          </cell>
          <cell r="K117">
            <v>868492321</v>
          </cell>
        </row>
        <row r="118">
          <cell r="J118">
            <v>800096576</v>
          </cell>
          <cell r="K118">
            <v>397998522</v>
          </cell>
        </row>
        <row r="119">
          <cell r="J119">
            <v>800096585</v>
          </cell>
          <cell r="K119">
            <v>496028409</v>
          </cell>
        </row>
        <row r="120">
          <cell r="J120">
            <v>800096587</v>
          </cell>
          <cell r="K120">
            <v>452293057</v>
          </cell>
        </row>
        <row r="121">
          <cell r="J121">
            <v>800096592</v>
          </cell>
          <cell r="K121">
            <v>241293059</v>
          </cell>
        </row>
        <row r="122">
          <cell r="J122">
            <v>800096595</v>
          </cell>
          <cell r="K122">
            <v>24088847</v>
          </cell>
        </row>
        <row r="123">
          <cell r="J123">
            <v>800096597</v>
          </cell>
          <cell r="K123">
            <v>71416402</v>
          </cell>
        </row>
        <row r="124">
          <cell r="J124">
            <v>800096599</v>
          </cell>
          <cell r="K124">
            <v>263250909</v>
          </cell>
        </row>
        <row r="125">
          <cell r="J125">
            <v>800096605</v>
          </cell>
          <cell r="K125">
            <v>291908220</v>
          </cell>
        </row>
        <row r="126">
          <cell r="J126">
            <v>800096610</v>
          </cell>
          <cell r="K126">
            <v>18422494</v>
          </cell>
        </row>
        <row r="127">
          <cell r="J127">
            <v>800096613</v>
          </cell>
          <cell r="K127">
            <v>259144316</v>
          </cell>
        </row>
        <row r="128">
          <cell r="J128">
            <v>800096619</v>
          </cell>
          <cell r="K128">
            <v>341217894</v>
          </cell>
        </row>
        <row r="129">
          <cell r="J129">
            <v>800096623</v>
          </cell>
          <cell r="K129">
            <v>309188529</v>
          </cell>
        </row>
        <row r="130">
          <cell r="J130">
            <v>800096626</v>
          </cell>
          <cell r="K130">
            <v>268230529</v>
          </cell>
        </row>
        <row r="131">
          <cell r="J131">
            <v>800096744</v>
          </cell>
          <cell r="K131">
            <v>129661901</v>
          </cell>
        </row>
        <row r="132">
          <cell r="J132">
            <v>800096753</v>
          </cell>
          <cell r="K132">
            <v>109089339</v>
          </cell>
        </row>
        <row r="133">
          <cell r="J133">
            <v>800096766</v>
          </cell>
          <cell r="K133">
            <v>37941541</v>
          </cell>
        </row>
        <row r="134">
          <cell r="J134">
            <v>800096770</v>
          </cell>
          <cell r="K134">
            <v>52628329</v>
          </cell>
        </row>
        <row r="135">
          <cell r="J135">
            <v>800096777</v>
          </cell>
          <cell r="K135">
            <v>591306826</v>
          </cell>
        </row>
        <row r="136">
          <cell r="J136">
            <v>800096804</v>
          </cell>
          <cell r="K136">
            <v>40074503</v>
          </cell>
        </row>
        <row r="137">
          <cell r="J137">
            <v>800097098</v>
          </cell>
          <cell r="K137">
            <v>362951818</v>
          </cell>
        </row>
        <row r="138">
          <cell r="J138">
            <v>800097176</v>
          </cell>
          <cell r="K138">
            <v>163657290</v>
          </cell>
        </row>
        <row r="139">
          <cell r="J139">
            <v>800097180</v>
          </cell>
          <cell r="K139">
            <v>93372835</v>
          </cell>
        </row>
        <row r="140">
          <cell r="J140">
            <v>800098195</v>
          </cell>
          <cell r="K140">
            <v>106201255</v>
          </cell>
        </row>
        <row r="141">
          <cell r="J141">
            <v>800098203</v>
          </cell>
          <cell r="K141">
            <v>103255072</v>
          </cell>
        </row>
        <row r="142">
          <cell r="J142">
            <v>800098911</v>
          </cell>
          <cell r="K142">
            <v>653822899</v>
          </cell>
        </row>
        <row r="143">
          <cell r="J143">
            <v>800099054</v>
          </cell>
          <cell r="K143">
            <v>44158879</v>
          </cell>
        </row>
        <row r="144">
          <cell r="J144">
            <v>800099058</v>
          </cell>
          <cell r="K144">
            <v>102518105</v>
          </cell>
        </row>
        <row r="145">
          <cell r="J145">
            <v>800099061</v>
          </cell>
          <cell r="K145">
            <v>646037510</v>
          </cell>
        </row>
        <row r="146">
          <cell r="J146">
            <v>800099062</v>
          </cell>
          <cell r="K146">
            <v>237667146</v>
          </cell>
        </row>
        <row r="147">
          <cell r="J147">
            <v>800099066</v>
          </cell>
          <cell r="K147">
            <v>326386072</v>
          </cell>
        </row>
        <row r="148">
          <cell r="J148">
            <v>800099072</v>
          </cell>
          <cell r="K148">
            <v>49290569</v>
          </cell>
        </row>
        <row r="149">
          <cell r="J149">
            <v>800099076</v>
          </cell>
          <cell r="K149">
            <v>535490866</v>
          </cell>
        </row>
        <row r="150">
          <cell r="J150">
            <v>800099079</v>
          </cell>
          <cell r="K150">
            <v>40460291</v>
          </cell>
        </row>
        <row r="151">
          <cell r="J151">
            <v>800099084</v>
          </cell>
          <cell r="K151">
            <v>66158805</v>
          </cell>
        </row>
        <row r="152">
          <cell r="J152">
            <v>800099085</v>
          </cell>
          <cell r="K152">
            <v>118256632</v>
          </cell>
        </row>
        <row r="153">
          <cell r="J153">
            <v>800099089</v>
          </cell>
          <cell r="K153">
            <v>65723652</v>
          </cell>
        </row>
        <row r="154">
          <cell r="J154">
            <v>800099090</v>
          </cell>
          <cell r="K154">
            <v>80402667</v>
          </cell>
        </row>
        <row r="155">
          <cell r="J155">
            <v>800099092</v>
          </cell>
          <cell r="K155">
            <v>22149513</v>
          </cell>
        </row>
        <row r="156">
          <cell r="J156">
            <v>800099095</v>
          </cell>
          <cell r="K156">
            <v>132403876</v>
          </cell>
        </row>
        <row r="157">
          <cell r="J157">
            <v>800099098</v>
          </cell>
          <cell r="K157">
            <v>249881234</v>
          </cell>
        </row>
        <row r="158">
          <cell r="J158">
            <v>800099102</v>
          </cell>
          <cell r="K158">
            <v>186010858</v>
          </cell>
        </row>
        <row r="159">
          <cell r="J159">
            <v>800099105</v>
          </cell>
          <cell r="K159">
            <v>125289250</v>
          </cell>
        </row>
        <row r="160">
          <cell r="J160">
            <v>800099106</v>
          </cell>
          <cell r="K160">
            <v>197263000</v>
          </cell>
        </row>
        <row r="161">
          <cell r="J161">
            <v>800099108</v>
          </cell>
          <cell r="K161">
            <v>127259237</v>
          </cell>
        </row>
        <row r="162">
          <cell r="J162">
            <v>800099113</v>
          </cell>
          <cell r="K162">
            <v>518351795</v>
          </cell>
        </row>
        <row r="163">
          <cell r="J163">
            <v>800099118</v>
          </cell>
          <cell r="K163">
            <v>121824549</v>
          </cell>
        </row>
        <row r="164">
          <cell r="J164">
            <v>800099122</v>
          </cell>
          <cell r="K164">
            <v>183127700</v>
          </cell>
        </row>
        <row r="165">
          <cell r="J165">
            <v>800099127</v>
          </cell>
          <cell r="K165">
            <v>203200189</v>
          </cell>
        </row>
        <row r="166">
          <cell r="J166">
            <v>800099132</v>
          </cell>
          <cell r="K166">
            <v>286924608</v>
          </cell>
        </row>
        <row r="167">
          <cell r="J167">
            <v>800099136</v>
          </cell>
          <cell r="K167">
            <v>33785749</v>
          </cell>
        </row>
        <row r="168">
          <cell r="J168">
            <v>800099138</v>
          </cell>
          <cell r="K168">
            <v>177947386</v>
          </cell>
        </row>
        <row r="169">
          <cell r="J169">
            <v>800099142</v>
          </cell>
          <cell r="K169">
            <v>200465302</v>
          </cell>
        </row>
        <row r="170">
          <cell r="J170">
            <v>800099143</v>
          </cell>
          <cell r="K170">
            <v>189509068</v>
          </cell>
        </row>
        <row r="171">
          <cell r="J171">
            <v>800099147</v>
          </cell>
          <cell r="K171">
            <v>241302020</v>
          </cell>
        </row>
        <row r="172">
          <cell r="J172">
            <v>800099153</v>
          </cell>
          <cell r="K172">
            <v>83254660</v>
          </cell>
        </row>
        <row r="173">
          <cell r="J173">
            <v>800099187</v>
          </cell>
          <cell r="K173">
            <v>52747027</v>
          </cell>
        </row>
        <row r="174">
          <cell r="J174">
            <v>800099196</v>
          </cell>
          <cell r="K174">
            <v>100586290</v>
          </cell>
        </row>
        <row r="175">
          <cell r="J175">
            <v>800099199</v>
          </cell>
          <cell r="K175">
            <v>134506122</v>
          </cell>
        </row>
        <row r="176">
          <cell r="J176">
            <v>800099202</v>
          </cell>
          <cell r="K176">
            <v>52912807</v>
          </cell>
        </row>
        <row r="177">
          <cell r="J177">
            <v>800099206</v>
          </cell>
          <cell r="K177">
            <v>39983957</v>
          </cell>
        </row>
        <row r="178">
          <cell r="J178">
            <v>800099210</v>
          </cell>
          <cell r="K178">
            <v>118865226</v>
          </cell>
        </row>
        <row r="179">
          <cell r="J179">
            <v>800099234</v>
          </cell>
          <cell r="K179">
            <v>21832227</v>
          </cell>
        </row>
        <row r="180">
          <cell r="J180">
            <v>800099236</v>
          </cell>
          <cell r="K180">
            <v>271332955</v>
          </cell>
        </row>
        <row r="181">
          <cell r="J181">
            <v>800099237</v>
          </cell>
          <cell r="K181">
            <v>58003226</v>
          </cell>
        </row>
        <row r="182">
          <cell r="J182">
            <v>800099238</v>
          </cell>
          <cell r="K182">
            <v>113586625</v>
          </cell>
        </row>
        <row r="183">
          <cell r="J183">
            <v>800099251</v>
          </cell>
          <cell r="K183">
            <v>67278153</v>
          </cell>
        </row>
        <row r="184">
          <cell r="J184">
            <v>800099260</v>
          </cell>
          <cell r="K184">
            <v>46482468</v>
          </cell>
        </row>
        <row r="185">
          <cell r="J185">
            <v>800099262</v>
          </cell>
          <cell r="K185">
            <v>11046894</v>
          </cell>
        </row>
        <row r="186">
          <cell r="J186">
            <v>800099263</v>
          </cell>
          <cell r="K186">
            <v>199273741</v>
          </cell>
        </row>
        <row r="187">
          <cell r="J187">
            <v>800099310</v>
          </cell>
          <cell r="K187">
            <v>236890931</v>
          </cell>
        </row>
        <row r="188">
          <cell r="J188">
            <v>800099431</v>
          </cell>
          <cell r="K188">
            <v>12368548</v>
          </cell>
        </row>
        <row r="189">
          <cell r="J189">
            <v>800099441</v>
          </cell>
          <cell r="K189">
            <v>17252572</v>
          </cell>
        </row>
        <row r="190">
          <cell r="J190">
            <v>800099455</v>
          </cell>
          <cell r="K190">
            <v>41702603</v>
          </cell>
        </row>
        <row r="191">
          <cell r="J191">
            <v>800099489</v>
          </cell>
          <cell r="K191">
            <v>169711582</v>
          </cell>
        </row>
        <row r="192">
          <cell r="J192">
            <v>800099631</v>
          </cell>
          <cell r="K192">
            <v>115871514</v>
          </cell>
        </row>
        <row r="193">
          <cell r="J193">
            <v>800099635</v>
          </cell>
          <cell r="K193">
            <v>36086375</v>
          </cell>
        </row>
        <row r="194">
          <cell r="J194">
            <v>800099639</v>
          </cell>
          <cell r="K194">
            <v>22425385</v>
          </cell>
        </row>
        <row r="195">
          <cell r="J195">
            <v>800099642</v>
          </cell>
          <cell r="K195">
            <v>166919017</v>
          </cell>
        </row>
        <row r="196">
          <cell r="J196">
            <v>800099651</v>
          </cell>
          <cell r="K196">
            <v>41833288</v>
          </cell>
        </row>
        <row r="197">
          <cell r="J197">
            <v>800099662</v>
          </cell>
          <cell r="K197">
            <v>333082281</v>
          </cell>
        </row>
        <row r="198">
          <cell r="J198">
            <v>800099665</v>
          </cell>
          <cell r="K198">
            <v>31869552</v>
          </cell>
        </row>
        <row r="199">
          <cell r="J199">
            <v>800099691</v>
          </cell>
          <cell r="K199">
            <v>60923755</v>
          </cell>
        </row>
        <row r="200">
          <cell r="J200">
            <v>800099694</v>
          </cell>
          <cell r="K200">
            <v>29600446</v>
          </cell>
        </row>
        <row r="201">
          <cell r="J201">
            <v>800099714</v>
          </cell>
          <cell r="K201">
            <v>7530659</v>
          </cell>
        </row>
        <row r="202">
          <cell r="J202">
            <v>800099829</v>
          </cell>
          <cell r="K202">
            <v>72045508</v>
          </cell>
        </row>
        <row r="203">
          <cell r="J203">
            <v>800099832</v>
          </cell>
          <cell r="K203">
            <v>26437089</v>
          </cell>
        </row>
        <row r="204">
          <cell r="J204">
            <v>800100049</v>
          </cell>
          <cell r="K204">
            <v>416740904</v>
          </cell>
        </row>
        <row r="205">
          <cell r="J205">
            <v>800100051</v>
          </cell>
          <cell r="K205">
            <v>145421799</v>
          </cell>
        </row>
        <row r="206">
          <cell r="J206">
            <v>800100052</v>
          </cell>
          <cell r="K206">
            <v>80517913</v>
          </cell>
        </row>
        <row r="207">
          <cell r="J207">
            <v>800100054</v>
          </cell>
          <cell r="K207">
            <v>164866245</v>
          </cell>
        </row>
        <row r="208">
          <cell r="J208">
            <v>800100057</v>
          </cell>
          <cell r="K208">
            <v>67847156</v>
          </cell>
        </row>
        <row r="209">
          <cell r="J209">
            <v>800100059</v>
          </cell>
          <cell r="K209">
            <v>184289802</v>
          </cell>
        </row>
        <row r="210">
          <cell r="J210">
            <v>800100134</v>
          </cell>
          <cell r="K210">
            <v>228656975</v>
          </cell>
        </row>
        <row r="211">
          <cell r="J211">
            <v>800100136</v>
          </cell>
          <cell r="K211">
            <v>89724767</v>
          </cell>
        </row>
        <row r="212">
          <cell r="J212">
            <v>800100137</v>
          </cell>
          <cell r="K212">
            <v>535803896</v>
          </cell>
        </row>
        <row r="213">
          <cell r="J213">
            <v>800100138</v>
          </cell>
          <cell r="K213">
            <v>214434192</v>
          </cell>
        </row>
        <row r="214">
          <cell r="J214">
            <v>800100140</v>
          </cell>
          <cell r="K214">
            <v>105405750</v>
          </cell>
        </row>
        <row r="215">
          <cell r="J215">
            <v>800100141</v>
          </cell>
          <cell r="K215">
            <v>176541768</v>
          </cell>
        </row>
        <row r="216">
          <cell r="J216">
            <v>800100143</v>
          </cell>
          <cell r="K216">
            <v>50267030</v>
          </cell>
        </row>
        <row r="217">
          <cell r="J217">
            <v>800100144</v>
          </cell>
          <cell r="K217">
            <v>158550584</v>
          </cell>
        </row>
        <row r="218">
          <cell r="J218">
            <v>800100145</v>
          </cell>
          <cell r="K218">
            <v>110311112</v>
          </cell>
        </row>
        <row r="219">
          <cell r="J219">
            <v>800100147</v>
          </cell>
          <cell r="K219">
            <v>88327437</v>
          </cell>
        </row>
        <row r="220">
          <cell r="J220">
            <v>800100514</v>
          </cell>
          <cell r="K220">
            <v>306277589</v>
          </cell>
        </row>
        <row r="221">
          <cell r="J221">
            <v>800100518</v>
          </cell>
          <cell r="K221">
            <v>47402056</v>
          </cell>
        </row>
        <row r="222">
          <cell r="J222">
            <v>800100519</v>
          </cell>
          <cell r="K222">
            <v>79708514</v>
          </cell>
        </row>
        <row r="223">
          <cell r="J223">
            <v>800100521</v>
          </cell>
          <cell r="K223">
            <v>125758090</v>
          </cell>
        </row>
        <row r="224">
          <cell r="J224">
            <v>800100527</v>
          </cell>
          <cell r="K224">
            <v>386807411</v>
          </cell>
        </row>
        <row r="225">
          <cell r="J225">
            <v>800100529</v>
          </cell>
          <cell r="K225">
            <v>75458308</v>
          </cell>
        </row>
        <row r="226">
          <cell r="J226">
            <v>800100532</v>
          </cell>
          <cell r="K226">
            <v>41595426</v>
          </cell>
        </row>
        <row r="227">
          <cell r="J227">
            <v>800100533</v>
          </cell>
          <cell r="K227">
            <v>562242289</v>
          </cell>
        </row>
        <row r="228">
          <cell r="J228">
            <v>800100729</v>
          </cell>
          <cell r="K228">
            <v>411266447</v>
          </cell>
        </row>
        <row r="229">
          <cell r="J229">
            <v>800100747</v>
          </cell>
          <cell r="K229">
            <v>423216012</v>
          </cell>
        </row>
        <row r="230">
          <cell r="J230">
            <v>800100751</v>
          </cell>
          <cell r="K230">
            <v>355870404</v>
          </cell>
        </row>
        <row r="231">
          <cell r="J231">
            <v>800102798</v>
          </cell>
          <cell r="K231">
            <v>54401070</v>
          </cell>
        </row>
        <row r="232">
          <cell r="J232">
            <v>800102799</v>
          </cell>
          <cell r="K232">
            <v>821689166</v>
          </cell>
        </row>
        <row r="233">
          <cell r="J233">
            <v>800102801</v>
          </cell>
          <cell r="K233">
            <v>785550710</v>
          </cell>
        </row>
        <row r="234">
          <cell r="J234">
            <v>800102891</v>
          </cell>
          <cell r="K234">
            <v>155493061</v>
          </cell>
        </row>
        <row r="235">
          <cell r="J235">
            <v>800102896</v>
          </cell>
          <cell r="K235">
            <v>513946915</v>
          </cell>
        </row>
        <row r="236">
          <cell r="J236">
            <v>800102903</v>
          </cell>
          <cell r="K236">
            <v>61996194</v>
          </cell>
        </row>
        <row r="237">
          <cell r="J237">
            <v>800102912</v>
          </cell>
          <cell r="K237">
            <v>265940919</v>
          </cell>
        </row>
        <row r="238">
          <cell r="J238">
            <v>800103308</v>
          </cell>
          <cell r="K238">
            <v>180494443</v>
          </cell>
        </row>
        <row r="239">
          <cell r="J239">
            <v>800103318</v>
          </cell>
          <cell r="K239">
            <v>82524740</v>
          </cell>
        </row>
        <row r="240">
          <cell r="J240">
            <v>800104060</v>
          </cell>
          <cell r="K240">
            <v>69554959</v>
          </cell>
        </row>
        <row r="241">
          <cell r="J241">
            <v>800104062</v>
          </cell>
          <cell r="K241">
            <v>79514134</v>
          </cell>
        </row>
        <row r="242">
          <cell r="J242">
            <v>800108683</v>
          </cell>
          <cell r="K242">
            <v>638274061</v>
          </cell>
        </row>
        <row r="243">
          <cell r="J243">
            <v>800116284</v>
          </cell>
          <cell r="K243">
            <v>304976892</v>
          </cell>
        </row>
        <row r="244">
          <cell r="J244">
            <v>800117687</v>
          </cell>
          <cell r="K244">
            <v>284016236</v>
          </cell>
        </row>
        <row r="245">
          <cell r="J245">
            <v>800124166</v>
          </cell>
          <cell r="K245">
            <v>24993711</v>
          </cell>
        </row>
        <row r="246">
          <cell r="J246">
            <v>800131177</v>
          </cell>
          <cell r="K246">
            <v>36532003</v>
          </cell>
        </row>
        <row r="247">
          <cell r="J247">
            <v>800136069</v>
          </cell>
          <cell r="K247">
            <v>351771836</v>
          </cell>
        </row>
        <row r="248">
          <cell r="J248">
            <v>800138959</v>
          </cell>
          <cell r="K248">
            <v>185456787</v>
          </cell>
        </row>
        <row r="249">
          <cell r="J249">
            <v>800148720</v>
          </cell>
          <cell r="K249">
            <v>83502478</v>
          </cell>
        </row>
        <row r="250">
          <cell r="J250">
            <v>800188492</v>
          </cell>
          <cell r="K250">
            <v>10327540</v>
          </cell>
        </row>
        <row r="251">
          <cell r="J251">
            <v>800213967</v>
          </cell>
          <cell r="K251">
            <v>74629237</v>
          </cell>
        </row>
        <row r="252">
          <cell r="J252">
            <v>800222489</v>
          </cell>
          <cell r="K252">
            <v>264508568</v>
          </cell>
        </row>
        <row r="253">
          <cell r="J253">
            <v>800222498</v>
          </cell>
          <cell r="K253">
            <v>68504000</v>
          </cell>
        </row>
        <row r="254">
          <cell r="J254">
            <v>800222502</v>
          </cell>
          <cell r="K254">
            <v>161318029</v>
          </cell>
        </row>
        <row r="255">
          <cell r="J255">
            <v>800229887</v>
          </cell>
          <cell r="K255">
            <v>24243092</v>
          </cell>
        </row>
        <row r="256">
          <cell r="J256">
            <v>800245021</v>
          </cell>
          <cell r="K256">
            <v>138481388</v>
          </cell>
        </row>
        <row r="257">
          <cell r="J257">
            <v>800250853</v>
          </cell>
          <cell r="K257">
            <v>123377280</v>
          </cell>
        </row>
        <row r="258">
          <cell r="J258">
            <v>800252922</v>
          </cell>
          <cell r="K258">
            <v>165657126</v>
          </cell>
        </row>
        <row r="259">
          <cell r="J259">
            <v>800253526</v>
          </cell>
          <cell r="K259">
            <v>103286409</v>
          </cell>
        </row>
        <row r="260">
          <cell r="J260">
            <v>800254481</v>
          </cell>
          <cell r="K260">
            <v>106110504</v>
          </cell>
        </row>
        <row r="261">
          <cell r="J261">
            <v>800255213</v>
          </cell>
          <cell r="K261">
            <v>183667868</v>
          </cell>
        </row>
        <row r="262">
          <cell r="J262">
            <v>800255214</v>
          </cell>
          <cell r="K262">
            <v>60101071</v>
          </cell>
        </row>
        <row r="263">
          <cell r="J263">
            <v>806001274</v>
          </cell>
          <cell r="K263">
            <v>58239050</v>
          </cell>
        </row>
        <row r="264">
          <cell r="J264">
            <v>806001439</v>
          </cell>
          <cell r="K264">
            <v>31017050</v>
          </cell>
        </row>
        <row r="265">
          <cell r="J265">
            <v>806001937</v>
          </cell>
          <cell r="K265">
            <v>40495032</v>
          </cell>
        </row>
        <row r="266">
          <cell r="J266">
            <v>806004900</v>
          </cell>
          <cell r="K266">
            <v>134887792</v>
          </cell>
        </row>
        <row r="267">
          <cell r="J267">
            <v>809002637</v>
          </cell>
          <cell r="K267">
            <v>136144900</v>
          </cell>
        </row>
        <row r="268">
          <cell r="J268">
            <v>811009017</v>
          </cell>
          <cell r="K268">
            <v>33105453</v>
          </cell>
        </row>
        <row r="269">
          <cell r="J269">
            <v>812001675</v>
          </cell>
          <cell r="K269">
            <v>87755393</v>
          </cell>
        </row>
        <row r="270">
          <cell r="J270">
            <v>817002675</v>
          </cell>
          <cell r="K270">
            <v>124305869</v>
          </cell>
        </row>
        <row r="271">
          <cell r="J271">
            <v>819000985</v>
          </cell>
          <cell r="K271">
            <v>263940829</v>
          </cell>
        </row>
        <row r="272">
          <cell r="J272">
            <v>819003224</v>
          </cell>
          <cell r="K272">
            <v>363133031</v>
          </cell>
        </row>
        <row r="273">
          <cell r="J273">
            <v>819003225</v>
          </cell>
          <cell r="K273">
            <v>100306861</v>
          </cell>
        </row>
        <row r="274">
          <cell r="J274">
            <v>819003297</v>
          </cell>
          <cell r="K274">
            <v>1099946223</v>
          </cell>
        </row>
        <row r="275">
          <cell r="J275">
            <v>819003760</v>
          </cell>
          <cell r="K275">
            <v>177845799</v>
          </cell>
        </row>
        <row r="276">
          <cell r="J276">
            <v>823002595</v>
          </cell>
          <cell r="K276">
            <v>143235066</v>
          </cell>
        </row>
        <row r="277">
          <cell r="J277">
            <v>823003543</v>
          </cell>
          <cell r="K277">
            <v>97396083</v>
          </cell>
        </row>
        <row r="278">
          <cell r="J278">
            <v>824001624</v>
          </cell>
          <cell r="K278">
            <v>172717433</v>
          </cell>
        </row>
        <row r="279">
          <cell r="J279">
            <v>825000166</v>
          </cell>
          <cell r="K279">
            <v>9189553</v>
          </cell>
        </row>
        <row r="280">
          <cell r="J280">
            <v>825000676</v>
          </cell>
          <cell r="K280">
            <v>47772073</v>
          </cell>
        </row>
        <row r="281">
          <cell r="J281">
            <v>842000017</v>
          </cell>
          <cell r="K281">
            <v>461717015</v>
          </cell>
        </row>
        <row r="282">
          <cell r="J282">
            <v>860527046</v>
          </cell>
          <cell r="K282">
            <v>93543776</v>
          </cell>
        </row>
        <row r="283">
          <cell r="J283">
            <v>890000441</v>
          </cell>
          <cell r="K283">
            <v>170742574</v>
          </cell>
        </row>
        <row r="284">
          <cell r="J284">
            <v>890000464</v>
          </cell>
          <cell r="K284">
            <v>77077940</v>
          </cell>
        </row>
        <row r="285">
          <cell r="J285">
            <v>890000564</v>
          </cell>
          <cell r="K285">
            <v>118467833</v>
          </cell>
        </row>
        <row r="286">
          <cell r="J286">
            <v>890000858</v>
          </cell>
          <cell r="K286">
            <v>68765582</v>
          </cell>
        </row>
        <row r="287">
          <cell r="J287">
            <v>890001044</v>
          </cell>
          <cell r="K287">
            <v>318228701</v>
          </cell>
        </row>
        <row r="288">
          <cell r="J288">
            <v>890001061</v>
          </cell>
          <cell r="K288">
            <v>73717037</v>
          </cell>
        </row>
        <row r="289">
          <cell r="J289">
            <v>890001127</v>
          </cell>
          <cell r="K289">
            <v>87332014</v>
          </cell>
        </row>
        <row r="290">
          <cell r="J290">
            <v>890001181</v>
          </cell>
          <cell r="K290">
            <v>82792528</v>
          </cell>
        </row>
        <row r="291">
          <cell r="J291">
            <v>890001339</v>
          </cell>
          <cell r="K291">
            <v>100681050</v>
          </cell>
        </row>
        <row r="292">
          <cell r="J292">
            <v>890001879</v>
          </cell>
          <cell r="K292">
            <v>41945957</v>
          </cell>
        </row>
        <row r="293">
          <cell r="J293">
            <v>890072044</v>
          </cell>
          <cell r="K293">
            <v>109728709</v>
          </cell>
        </row>
        <row r="294">
          <cell r="J294">
            <v>890102018</v>
          </cell>
          <cell r="K294">
            <v>118791517</v>
          </cell>
        </row>
        <row r="295">
          <cell r="J295">
            <v>890103003</v>
          </cell>
          <cell r="K295">
            <v>384295832</v>
          </cell>
        </row>
        <row r="296">
          <cell r="J296">
            <v>890103962</v>
          </cell>
          <cell r="K296">
            <v>446374962</v>
          </cell>
        </row>
        <row r="297">
          <cell r="J297">
            <v>890106291</v>
          </cell>
          <cell r="K297">
            <v>275099035</v>
          </cell>
        </row>
        <row r="298">
          <cell r="J298">
            <v>890112371</v>
          </cell>
          <cell r="K298">
            <v>847224261</v>
          </cell>
        </row>
        <row r="299">
          <cell r="J299">
            <v>890115982</v>
          </cell>
          <cell r="K299">
            <v>102557394</v>
          </cell>
        </row>
        <row r="300">
          <cell r="J300">
            <v>890116159</v>
          </cell>
          <cell r="K300">
            <v>178410922</v>
          </cell>
        </row>
        <row r="301">
          <cell r="J301">
            <v>890116278</v>
          </cell>
          <cell r="K301">
            <v>131091076</v>
          </cell>
        </row>
        <row r="302">
          <cell r="J302">
            <v>890201190</v>
          </cell>
          <cell r="K302">
            <v>609354724</v>
          </cell>
        </row>
        <row r="303">
          <cell r="J303">
            <v>890203688</v>
          </cell>
          <cell r="K303">
            <v>183250926</v>
          </cell>
        </row>
        <row r="304">
          <cell r="J304">
            <v>890204138</v>
          </cell>
          <cell r="K304">
            <v>131468365</v>
          </cell>
        </row>
        <row r="305">
          <cell r="J305">
            <v>890204537</v>
          </cell>
          <cell r="K305">
            <v>142945770</v>
          </cell>
        </row>
        <row r="306">
          <cell r="J306">
            <v>890204643</v>
          </cell>
          <cell r="K306">
            <v>229609924</v>
          </cell>
        </row>
        <row r="307">
          <cell r="J307">
            <v>890204699</v>
          </cell>
          <cell r="K307">
            <v>27908081</v>
          </cell>
        </row>
        <row r="308">
          <cell r="J308">
            <v>890204802</v>
          </cell>
          <cell r="K308">
            <v>151364732</v>
          </cell>
        </row>
        <row r="309">
          <cell r="J309">
            <v>890205051</v>
          </cell>
          <cell r="K309">
            <v>41865431</v>
          </cell>
        </row>
        <row r="310">
          <cell r="J310">
            <v>890205058</v>
          </cell>
          <cell r="K310">
            <v>38014824</v>
          </cell>
        </row>
        <row r="311">
          <cell r="J311">
            <v>890205119</v>
          </cell>
          <cell r="K311">
            <v>75217651</v>
          </cell>
        </row>
        <row r="312">
          <cell r="J312">
            <v>890205124</v>
          </cell>
          <cell r="K312">
            <v>35875601</v>
          </cell>
        </row>
        <row r="313">
          <cell r="J313">
            <v>890205176</v>
          </cell>
          <cell r="K313">
            <v>892878036</v>
          </cell>
        </row>
        <row r="314">
          <cell r="J314">
            <v>890205308</v>
          </cell>
          <cell r="K314">
            <v>63364518</v>
          </cell>
        </row>
        <row r="315">
          <cell r="J315">
            <v>890205326</v>
          </cell>
          <cell r="K315">
            <v>29358957</v>
          </cell>
        </row>
        <row r="316">
          <cell r="J316">
            <v>890205334</v>
          </cell>
          <cell r="K316">
            <v>136634093</v>
          </cell>
        </row>
        <row r="317">
          <cell r="J317">
            <v>890205439</v>
          </cell>
          <cell r="K317">
            <v>29339859</v>
          </cell>
        </row>
        <row r="318">
          <cell r="J318">
            <v>890205581</v>
          </cell>
          <cell r="K318">
            <v>27277882</v>
          </cell>
        </row>
        <row r="319">
          <cell r="J319">
            <v>890205632</v>
          </cell>
          <cell r="K319">
            <v>174003120</v>
          </cell>
        </row>
        <row r="320">
          <cell r="J320">
            <v>890205973</v>
          </cell>
          <cell r="K320">
            <v>33029784</v>
          </cell>
        </row>
        <row r="321">
          <cell r="J321">
            <v>890206110</v>
          </cell>
          <cell r="K321">
            <v>537306927</v>
          </cell>
        </row>
        <row r="322">
          <cell r="J322">
            <v>890206250</v>
          </cell>
          <cell r="K322">
            <v>87595712</v>
          </cell>
        </row>
        <row r="323">
          <cell r="J323">
            <v>890206290</v>
          </cell>
          <cell r="K323">
            <v>35092485</v>
          </cell>
        </row>
        <row r="324">
          <cell r="J324">
            <v>890206722</v>
          </cell>
          <cell r="K324">
            <v>26235802</v>
          </cell>
        </row>
        <row r="325">
          <cell r="J325">
            <v>890207022</v>
          </cell>
          <cell r="K325">
            <v>65097972</v>
          </cell>
        </row>
        <row r="326">
          <cell r="J326">
            <v>890207790</v>
          </cell>
          <cell r="K326">
            <v>60866335</v>
          </cell>
        </row>
        <row r="327">
          <cell r="J327">
            <v>890208098</v>
          </cell>
          <cell r="K327">
            <v>59174324</v>
          </cell>
        </row>
        <row r="328">
          <cell r="J328">
            <v>890208119</v>
          </cell>
          <cell r="K328">
            <v>41250308</v>
          </cell>
        </row>
        <row r="329">
          <cell r="J329">
            <v>890208148</v>
          </cell>
          <cell r="K329">
            <v>52593474</v>
          </cell>
        </row>
        <row r="330">
          <cell r="J330">
            <v>890208360</v>
          </cell>
          <cell r="K330">
            <v>83651490</v>
          </cell>
        </row>
        <row r="331">
          <cell r="J331">
            <v>890208363</v>
          </cell>
          <cell r="K331">
            <v>15813138</v>
          </cell>
        </row>
        <row r="332">
          <cell r="J332">
            <v>890208676</v>
          </cell>
          <cell r="K332">
            <v>32792671</v>
          </cell>
        </row>
        <row r="333">
          <cell r="J333">
            <v>890208807</v>
          </cell>
          <cell r="K333">
            <v>154090801</v>
          </cell>
        </row>
        <row r="334">
          <cell r="J334">
            <v>890208947</v>
          </cell>
          <cell r="K334">
            <v>35539889</v>
          </cell>
        </row>
        <row r="335">
          <cell r="J335">
            <v>890209640</v>
          </cell>
          <cell r="K335">
            <v>87175645</v>
          </cell>
        </row>
        <row r="336">
          <cell r="J336">
            <v>890209889</v>
          </cell>
          <cell r="K336">
            <v>92371264</v>
          </cell>
        </row>
        <row r="337">
          <cell r="J337">
            <v>890210227</v>
          </cell>
          <cell r="K337">
            <v>19643415</v>
          </cell>
        </row>
        <row r="338">
          <cell r="J338">
            <v>890210438</v>
          </cell>
          <cell r="K338">
            <v>35685099</v>
          </cell>
        </row>
        <row r="339">
          <cell r="J339">
            <v>890210617</v>
          </cell>
          <cell r="K339">
            <v>106286840</v>
          </cell>
        </row>
        <row r="340">
          <cell r="J340">
            <v>890210704</v>
          </cell>
          <cell r="K340">
            <v>195830741</v>
          </cell>
        </row>
        <row r="341">
          <cell r="J341">
            <v>890210883</v>
          </cell>
          <cell r="K341">
            <v>102806712</v>
          </cell>
        </row>
        <row r="342">
          <cell r="J342">
            <v>890210890</v>
          </cell>
          <cell r="K342">
            <v>171928055</v>
          </cell>
        </row>
        <row r="343">
          <cell r="J343">
            <v>890210932</v>
          </cell>
          <cell r="K343">
            <v>105376446</v>
          </cell>
        </row>
        <row r="344">
          <cell r="J344">
            <v>890210945</v>
          </cell>
          <cell r="K344">
            <v>42845446</v>
          </cell>
        </row>
        <row r="345">
          <cell r="J345">
            <v>890210946</v>
          </cell>
          <cell r="K345">
            <v>49834189</v>
          </cell>
        </row>
        <row r="346">
          <cell r="J346">
            <v>890210947</v>
          </cell>
          <cell r="K346">
            <v>34360416</v>
          </cell>
        </row>
        <row r="347">
          <cell r="J347">
            <v>890210950</v>
          </cell>
          <cell r="K347">
            <v>35229974</v>
          </cell>
        </row>
        <row r="348">
          <cell r="J348">
            <v>890210951</v>
          </cell>
          <cell r="K348">
            <v>25153838</v>
          </cell>
        </row>
        <row r="349">
          <cell r="J349">
            <v>890270859</v>
          </cell>
          <cell r="K349">
            <v>444596369</v>
          </cell>
        </row>
        <row r="350">
          <cell r="J350">
            <v>890309611</v>
          </cell>
          <cell r="K350">
            <v>223741001</v>
          </cell>
        </row>
        <row r="351">
          <cell r="J351">
            <v>890399045</v>
          </cell>
          <cell r="K351">
            <v>134256843</v>
          </cell>
        </row>
        <row r="352">
          <cell r="J352">
            <v>890399046</v>
          </cell>
          <cell r="K352">
            <v>509159775</v>
          </cell>
        </row>
        <row r="353">
          <cell r="J353">
            <v>890480006</v>
          </cell>
          <cell r="K353">
            <v>333440823</v>
          </cell>
        </row>
        <row r="354">
          <cell r="J354">
            <v>890480069</v>
          </cell>
          <cell r="K354">
            <v>256754497</v>
          </cell>
        </row>
        <row r="355">
          <cell r="J355">
            <v>890480203</v>
          </cell>
          <cell r="K355">
            <v>201416403</v>
          </cell>
        </row>
        <row r="356">
          <cell r="J356">
            <v>890480254</v>
          </cell>
          <cell r="K356">
            <v>347613614</v>
          </cell>
        </row>
        <row r="357">
          <cell r="J357">
            <v>890480431</v>
          </cell>
          <cell r="K357">
            <v>78742057</v>
          </cell>
        </row>
        <row r="358">
          <cell r="J358">
            <v>890480643</v>
          </cell>
          <cell r="K358">
            <v>118392616</v>
          </cell>
        </row>
        <row r="359">
          <cell r="J359">
            <v>890481192</v>
          </cell>
          <cell r="K359">
            <v>143028556</v>
          </cell>
        </row>
        <row r="360">
          <cell r="J360">
            <v>890481295</v>
          </cell>
          <cell r="K360">
            <v>128855933</v>
          </cell>
        </row>
        <row r="361">
          <cell r="J361">
            <v>890481310</v>
          </cell>
          <cell r="K361">
            <v>152186664</v>
          </cell>
        </row>
        <row r="362">
          <cell r="J362">
            <v>890481343</v>
          </cell>
          <cell r="K362">
            <v>15499828</v>
          </cell>
        </row>
        <row r="363">
          <cell r="J363">
            <v>890481362</v>
          </cell>
          <cell r="K363">
            <v>448342459</v>
          </cell>
        </row>
        <row r="364">
          <cell r="J364">
            <v>890481447</v>
          </cell>
          <cell r="K364">
            <v>90860265</v>
          </cell>
        </row>
        <row r="365">
          <cell r="J365">
            <v>890501102</v>
          </cell>
          <cell r="K365">
            <v>732080624</v>
          </cell>
        </row>
        <row r="366">
          <cell r="J366">
            <v>890501362</v>
          </cell>
          <cell r="K366">
            <v>273082180</v>
          </cell>
        </row>
        <row r="367">
          <cell r="J367">
            <v>890501404</v>
          </cell>
          <cell r="K367">
            <v>68676914</v>
          </cell>
        </row>
        <row r="368">
          <cell r="J368">
            <v>890501422</v>
          </cell>
          <cell r="K368">
            <v>154679638</v>
          </cell>
        </row>
        <row r="369">
          <cell r="J369">
            <v>890501434</v>
          </cell>
          <cell r="K369">
            <v>1020131443</v>
          </cell>
        </row>
        <row r="370">
          <cell r="J370">
            <v>890501436</v>
          </cell>
          <cell r="K370">
            <v>140225220</v>
          </cell>
        </row>
        <row r="371">
          <cell r="J371">
            <v>890501549</v>
          </cell>
          <cell r="K371">
            <v>89025505</v>
          </cell>
        </row>
        <row r="372">
          <cell r="J372">
            <v>890501776</v>
          </cell>
          <cell r="K372">
            <v>107388518</v>
          </cell>
        </row>
        <row r="373">
          <cell r="J373">
            <v>890501981</v>
          </cell>
          <cell r="K373">
            <v>80962768</v>
          </cell>
        </row>
        <row r="374">
          <cell r="J374">
            <v>890502611</v>
          </cell>
          <cell r="K374">
            <v>55326276</v>
          </cell>
        </row>
        <row r="375">
          <cell r="J375">
            <v>890503106</v>
          </cell>
          <cell r="K375">
            <v>243011424</v>
          </cell>
        </row>
        <row r="376">
          <cell r="J376">
            <v>890503233</v>
          </cell>
          <cell r="K376">
            <v>63056318</v>
          </cell>
        </row>
        <row r="377">
          <cell r="J377">
            <v>890503483</v>
          </cell>
          <cell r="K377">
            <v>44841724</v>
          </cell>
        </row>
        <row r="378">
          <cell r="J378">
            <v>890503680</v>
          </cell>
          <cell r="K378">
            <v>82988126</v>
          </cell>
        </row>
        <row r="379">
          <cell r="J379">
            <v>890504612</v>
          </cell>
          <cell r="K379">
            <v>333954754</v>
          </cell>
        </row>
        <row r="380">
          <cell r="J380">
            <v>890505662</v>
          </cell>
          <cell r="K380">
            <v>105765204</v>
          </cell>
        </row>
        <row r="381">
          <cell r="J381">
            <v>890506116</v>
          </cell>
          <cell r="K381">
            <v>37665089</v>
          </cell>
        </row>
        <row r="382">
          <cell r="J382">
            <v>890506128</v>
          </cell>
          <cell r="K382">
            <v>67584600</v>
          </cell>
        </row>
        <row r="383">
          <cell r="J383">
            <v>890680162</v>
          </cell>
          <cell r="K383">
            <v>337849785</v>
          </cell>
        </row>
        <row r="384">
          <cell r="J384">
            <v>890700842</v>
          </cell>
          <cell r="K384">
            <v>157713075</v>
          </cell>
        </row>
        <row r="385">
          <cell r="J385">
            <v>890700859</v>
          </cell>
          <cell r="K385">
            <v>305175770</v>
          </cell>
        </row>
        <row r="386">
          <cell r="J386">
            <v>890700911</v>
          </cell>
          <cell r="K386">
            <v>114618688</v>
          </cell>
        </row>
        <row r="387">
          <cell r="J387">
            <v>890700942</v>
          </cell>
          <cell r="K387">
            <v>150284929</v>
          </cell>
        </row>
        <row r="388">
          <cell r="J388">
            <v>890700961</v>
          </cell>
          <cell r="K388">
            <v>123740417</v>
          </cell>
        </row>
        <row r="389">
          <cell r="J389">
            <v>890700978</v>
          </cell>
          <cell r="K389">
            <v>49181326</v>
          </cell>
        </row>
        <row r="390">
          <cell r="J390">
            <v>890700982</v>
          </cell>
          <cell r="K390">
            <v>177721282</v>
          </cell>
        </row>
        <row r="391">
          <cell r="J391">
            <v>890701077</v>
          </cell>
          <cell r="K391">
            <v>98660792</v>
          </cell>
        </row>
        <row r="392">
          <cell r="J392">
            <v>890702017</v>
          </cell>
          <cell r="K392">
            <v>73083783</v>
          </cell>
        </row>
        <row r="393">
          <cell r="J393">
            <v>890702018</v>
          </cell>
          <cell r="K393">
            <v>171448041</v>
          </cell>
        </row>
        <row r="394">
          <cell r="J394">
            <v>890702021</v>
          </cell>
          <cell r="K394">
            <v>106709090</v>
          </cell>
        </row>
        <row r="395">
          <cell r="J395">
            <v>890702023</v>
          </cell>
          <cell r="K395">
            <v>523410309</v>
          </cell>
        </row>
        <row r="396">
          <cell r="J396">
            <v>890702026</v>
          </cell>
          <cell r="K396">
            <v>131162223</v>
          </cell>
        </row>
        <row r="397">
          <cell r="J397">
            <v>890702027</v>
          </cell>
          <cell r="K397">
            <v>42532970</v>
          </cell>
        </row>
        <row r="398">
          <cell r="J398">
            <v>890702038</v>
          </cell>
          <cell r="K398">
            <v>136506266</v>
          </cell>
        </row>
        <row r="399">
          <cell r="J399">
            <v>890702040</v>
          </cell>
          <cell r="K399">
            <v>408298324</v>
          </cell>
        </row>
        <row r="400">
          <cell r="J400">
            <v>890801130</v>
          </cell>
          <cell r="K400">
            <v>257909118</v>
          </cell>
        </row>
        <row r="401">
          <cell r="J401">
            <v>890801131</v>
          </cell>
          <cell r="K401">
            <v>77548860</v>
          </cell>
        </row>
        <row r="402">
          <cell r="J402">
            <v>890801143</v>
          </cell>
          <cell r="K402">
            <v>87455560</v>
          </cell>
        </row>
        <row r="403">
          <cell r="J403">
            <v>890905211</v>
          </cell>
          <cell r="K403">
            <v>482470383</v>
          </cell>
        </row>
        <row r="404">
          <cell r="J404">
            <v>890907569</v>
          </cell>
          <cell r="K404">
            <v>352296021</v>
          </cell>
        </row>
        <row r="405">
          <cell r="J405">
            <v>890910913</v>
          </cell>
          <cell r="K405">
            <v>114170074</v>
          </cell>
        </row>
        <row r="406">
          <cell r="J406">
            <v>890920814</v>
          </cell>
          <cell r="K406">
            <v>195197066</v>
          </cell>
        </row>
        <row r="407">
          <cell r="J407">
            <v>890980094</v>
          </cell>
          <cell r="K407">
            <v>371537160</v>
          </cell>
        </row>
        <row r="408">
          <cell r="J408">
            <v>890980096</v>
          </cell>
          <cell r="K408">
            <v>268153906</v>
          </cell>
        </row>
        <row r="409">
          <cell r="J409">
            <v>890980112</v>
          </cell>
          <cell r="K409">
            <v>82077315</v>
          </cell>
        </row>
        <row r="410">
          <cell r="J410">
            <v>890980330</v>
          </cell>
          <cell r="K410">
            <v>93472896</v>
          </cell>
        </row>
        <row r="411">
          <cell r="J411">
            <v>890980447</v>
          </cell>
          <cell r="K411">
            <v>471966572</v>
          </cell>
        </row>
        <row r="412">
          <cell r="J412">
            <v>890980767</v>
          </cell>
          <cell r="K412">
            <v>345267665</v>
          </cell>
        </row>
        <row r="413">
          <cell r="J413">
            <v>890980781</v>
          </cell>
          <cell r="K413">
            <v>80758620</v>
          </cell>
        </row>
        <row r="414">
          <cell r="J414">
            <v>890980802</v>
          </cell>
          <cell r="K414">
            <v>132657968</v>
          </cell>
        </row>
        <row r="415">
          <cell r="J415">
            <v>890980807</v>
          </cell>
          <cell r="K415">
            <v>78969478</v>
          </cell>
        </row>
        <row r="416">
          <cell r="J416">
            <v>890980850</v>
          </cell>
          <cell r="K416">
            <v>297494773</v>
          </cell>
        </row>
        <row r="417">
          <cell r="J417">
            <v>890980917</v>
          </cell>
          <cell r="K417">
            <v>214314205</v>
          </cell>
        </row>
        <row r="418">
          <cell r="J418">
            <v>890980950</v>
          </cell>
          <cell r="K418">
            <v>326313901</v>
          </cell>
        </row>
        <row r="419">
          <cell r="J419">
            <v>890980958</v>
          </cell>
          <cell r="K419">
            <v>132891377</v>
          </cell>
        </row>
        <row r="420">
          <cell r="J420">
            <v>890980998</v>
          </cell>
          <cell r="K420">
            <v>355637368</v>
          </cell>
        </row>
        <row r="421">
          <cell r="J421">
            <v>890981000</v>
          </cell>
          <cell r="K421">
            <v>210304322</v>
          </cell>
        </row>
        <row r="422">
          <cell r="J422">
            <v>890981069</v>
          </cell>
          <cell r="K422">
            <v>121591286</v>
          </cell>
        </row>
        <row r="423">
          <cell r="J423">
            <v>890981080</v>
          </cell>
          <cell r="K423">
            <v>200743627</v>
          </cell>
        </row>
        <row r="424">
          <cell r="J424">
            <v>890981105</v>
          </cell>
          <cell r="K424">
            <v>99188885</v>
          </cell>
        </row>
        <row r="425">
          <cell r="J425">
            <v>890981106</v>
          </cell>
          <cell r="K425">
            <v>260075606</v>
          </cell>
        </row>
        <row r="426">
          <cell r="J426">
            <v>890981107</v>
          </cell>
          <cell r="K426">
            <v>49089568</v>
          </cell>
        </row>
        <row r="427">
          <cell r="J427">
            <v>890981115</v>
          </cell>
          <cell r="K427">
            <v>75997856</v>
          </cell>
        </row>
        <row r="428">
          <cell r="J428">
            <v>890981138</v>
          </cell>
          <cell r="K428">
            <v>92150650</v>
          </cell>
        </row>
        <row r="429">
          <cell r="J429">
            <v>890981150</v>
          </cell>
          <cell r="K429">
            <v>421679786</v>
          </cell>
        </row>
        <row r="430">
          <cell r="J430">
            <v>890981162</v>
          </cell>
          <cell r="K430">
            <v>87669867</v>
          </cell>
        </row>
        <row r="431">
          <cell r="J431">
            <v>890981207</v>
          </cell>
          <cell r="K431">
            <v>299454394</v>
          </cell>
        </row>
        <row r="432">
          <cell r="J432">
            <v>890981238</v>
          </cell>
          <cell r="K432">
            <v>66896464</v>
          </cell>
        </row>
        <row r="433">
          <cell r="J433">
            <v>890981367</v>
          </cell>
          <cell r="K433">
            <v>95982757</v>
          </cell>
        </row>
        <row r="434">
          <cell r="J434">
            <v>890981391</v>
          </cell>
          <cell r="K434">
            <v>502889898</v>
          </cell>
        </row>
        <row r="435">
          <cell r="J435">
            <v>890981493</v>
          </cell>
          <cell r="K435">
            <v>79880628</v>
          </cell>
        </row>
        <row r="436">
          <cell r="J436">
            <v>890981732</v>
          </cell>
          <cell r="K436">
            <v>300867198</v>
          </cell>
        </row>
        <row r="437">
          <cell r="J437">
            <v>890981786</v>
          </cell>
          <cell r="K437">
            <v>114474878</v>
          </cell>
        </row>
        <row r="438">
          <cell r="J438">
            <v>890981868</v>
          </cell>
          <cell r="K438">
            <v>103780690</v>
          </cell>
        </row>
        <row r="439">
          <cell r="J439">
            <v>890981880</v>
          </cell>
          <cell r="K439">
            <v>77255401</v>
          </cell>
        </row>
        <row r="440">
          <cell r="J440">
            <v>890982055</v>
          </cell>
          <cell r="K440">
            <v>365054837</v>
          </cell>
        </row>
        <row r="441">
          <cell r="J441">
            <v>890982123</v>
          </cell>
          <cell r="K441">
            <v>157453138</v>
          </cell>
        </row>
        <row r="442">
          <cell r="J442">
            <v>890982141</v>
          </cell>
          <cell r="K442">
            <v>155025868</v>
          </cell>
        </row>
        <row r="443">
          <cell r="J443">
            <v>890982147</v>
          </cell>
          <cell r="K443">
            <v>129878524</v>
          </cell>
        </row>
        <row r="444">
          <cell r="J444">
            <v>890982238</v>
          </cell>
          <cell r="K444">
            <v>221475872</v>
          </cell>
        </row>
        <row r="445">
          <cell r="J445">
            <v>890982278</v>
          </cell>
          <cell r="K445">
            <v>405350422</v>
          </cell>
        </row>
        <row r="446">
          <cell r="J446">
            <v>890982301</v>
          </cell>
          <cell r="K446">
            <v>126411338</v>
          </cell>
        </row>
        <row r="447">
          <cell r="J447">
            <v>890982321</v>
          </cell>
          <cell r="K447">
            <v>67534596</v>
          </cell>
        </row>
        <row r="448">
          <cell r="J448">
            <v>890982489</v>
          </cell>
          <cell r="K448">
            <v>238370014</v>
          </cell>
        </row>
        <row r="449">
          <cell r="J449">
            <v>890982494</v>
          </cell>
          <cell r="K449">
            <v>74707749</v>
          </cell>
        </row>
        <row r="450">
          <cell r="J450">
            <v>890982506</v>
          </cell>
          <cell r="K450">
            <v>250267807</v>
          </cell>
        </row>
        <row r="451">
          <cell r="J451">
            <v>890982566</v>
          </cell>
          <cell r="K451">
            <v>156049340</v>
          </cell>
        </row>
        <row r="452">
          <cell r="J452">
            <v>890982583</v>
          </cell>
          <cell r="K452">
            <v>78243604</v>
          </cell>
        </row>
        <row r="453">
          <cell r="J453">
            <v>890982616</v>
          </cell>
          <cell r="K453">
            <v>49914936</v>
          </cell>
        </row>
        <row r="454">
          <cell r="J454">
            <v>890983664</v>
          </cell>
          <cell r="K454">
            <v>162555251</v>
          </cell>
        </row>
        <row r="455">
          <cell r="J455">
            <v>890983672</v>
          </cell>
          <cell r="K455">
            <v>160909022</v>
          </cell>
        </row>
        <row r="456">
          <cell r="J456">
            <v>890983701</v>
          </cell>
          <cell r="K456">
            <v>44934229</v>
          </cell>
        </row>
        <row r="457">
          <cell r="J457">
            <v>890983706</v>
          </cell>
          <cell r="K457">
            <v>41002011</v>
          </cell>
        </row>
        <row r="458">
          <cell r="J458">
            <v>890983716</v>
          </cell>
          <cell r="K458">
            <v>261253989</v>
          </cell>
        </row>
        <row r="459">
          <cell r="J459">
            <v>890983718</v>
          </cell>
          <cell r="K459">
            <v>43289221</v>
          </cell>
        </row>
        <row r="460">
          <cell r="J460">
            <v>890983736</v>
          </cell>
          <cell r="K460">
            <v>130154951</v>
          </cell>
        </row>
        <row r="461">
          <cell r="J461">
            <v>890983740</v>
          </cell>
          <cell r="K461">
            <v>211518500</v>
          </cell>
        </row>
        <row r="462">
          <cell r="J462">
            <v>890983763</v>
          </cell>
          <cell r="K462">
            <v>45174517</v>
          </cell>
        </row>
        <row r="463">
          <cell r="J463">
            <v>890983786</v>
          </cell>
          <cell r="K463">
            <v>90787692</v>
          </cell>
        </row>
        <row r="464">
          <cell r="J464">
            <v>890983803</v>
          </cell>
          <cell r="K464">
            <v>212126486</v>
          </cell>
        </row>
        <row r="465">
          <cell r="J465">
            <v>890983808</v>
          </cell>
          <cell r="K465">
            <v>117767683</v>
          </cell>
        </row>
        <row r="466">
          <cell r="J466">
            <v>890983813</v>
          </cell>
          <cell r="K466">
            <v>263394022</v>
          </cell>
        </row>
        <row r="467">
          <cell r="J467">
            <v>890983814</v>
          </cell>
          <cell r="K467">
            <v>570585770</v>
          </cell>
        </row>
        <row r="468">
          <cell r="J468">
            <v>890983824</v>
          </cell>
          <cell r="K468">
            <v>97874861</v>
          </cell>
        </row>
        <row r="469">
          <cell r="J469">
            <v>890983830</v>
          </cell>
          <cell r="K469">
            <v>94236391</v>
          </cell>
        </row>
        <row r="470">
          <cell r="J470">
            <v>890983873</v>
          </cell>
          <cell r="K470">
            <v>987459059</v>
          </cell>
        </row>
        <row r="471">
          <cell r="J471">
            <v>890983906</v>
          </cell>
          <cell r="K471">
            <v>283786388</v>
          </cell>
        </row>
        <row r="472">
          <cell r="J472">
            <v>890983922</v>
          </cell>
          <cell r="K472">
            <v>388739333</v>
          </cell>
        </row>
        <row r="473">
          <cell r="J473">
            <v>890983938</v>
          </cell>
          <cell r="K473">
            <v>113489369</v>
          </cell>
        </row>
        <row r="474">
          <cell r="J474">
            <v>890984043</v>
          </cell>
          <cell r="K474">
            <v>212678584</v>
          </cell>
        </row>
        <row r="475">
          <cell r="J475">
            <v>890984068</v>
          </cell>
          <cell r="K475">
            <v>52266030</v>
          </cell>
        </row>
        <row r="476">
          <cell r="J476">
            <v>890984132</v>
          </cell>
          <cell r="K476">
            <v>63100575</v>
          </cell>
        </row>
        <row r="477">
          <cell r="J477">
            <v>890984161</v>
          </cell>
          <cell r="K477">
            <v>46486544</v>
          </cell>
        </row>
        <row r="478">
          <cell r="J478">
            <v>890984186</v>
          </cell>
          <cell r="K478">
            <v>66160249</v>
          </cell>
        </row>
        <row r="479">
          <cell r="J479">
            <v>890984221</v>
          </cell>
          <cell r="K479">
            <v>642722350</v>
          </cell>
        </row>
        <row r="480">
          <cell r="J480">
            <v>890984224</v>
          </cell>
          <cell r="K480">
            <v>113387085</v>
          </cell>
        </row>
        <row r="481">
          <cell r="J481">
            <v>890984265</v>
          </cell>
          <cell r="K481">
            <v>250479459</v>
          </cell>
        </row>
        <row r="482">
          <cell r="J482">
            <v>890984295</v>
          </cell>
          <cell r="K482">
            <v>503450070</v>
          </cell>
        </row>
        <row r="483">
          <cell r="J483">
            <v>890984312</v>
          </cell>
          <cell r="K483">
            <v>481763802</v>
          </cell>
        </row>
        <row r="484">
          <cell r="J484">
            <v>890984376</v>
          </cell>
          <cell r="K484">
            <v>88232376</v>
          </cell>
        </row>
        <row r="485">
          <cell r="J485">
            <v>890984634</v>
          </cell>
          <cell r="K485">
            <v>233433387</v>
          </cell>
        </row>
        <row r="486">
          <cell r="J486">
            <v>890985285</v>
          </cell>
          <cell r="K486">
            <v>209646495</v>
          </cell>
        </row>
        <row r="487">
          <cell r="J487">
            <v>890985354</v>
          </cell>
          <cell r="K487">
            <v>392560881</v>
          </cell>
        </row>
        <row r="488">
          <cell r="J488">
            <v>890985623</v>
          </cell>
          <cell r="K488">
            <v>645262433</v>
          </cell>
        </row>
        <row r="489">
          <cell r="J489">
            <v>891102764</v>
          </cell>
          <cell r="K489">
            <v>206854243</v>
          </cell>
        </row>
        <row r="490">
          <cell r="J490">
            <v>891102844</v>
          </cell>
          <cell r="K490">
            <v>110625395</v>
          </cell>
        </row>
        <row r="491">
          <cell r="J491">
            <v>891180009</v>
          </cell>
          <cell r="K491">
            <v>527618082</v>
          </cell>
        </row>
        <row r="492">
          <cell r="J492">
            <v>891180019</v>
          </cell>
          <cell r="K492">
            <v>98886291</v>
          </cell>
        </row>
        <row r="493">
          <cell r="J493">
            <v>891180024</v>
          </cell>
          <cell r="K493">
            <v>379996287</v>
          </cell>
        </row>
        <row r="494">
          <cell r="J494">
            <v>891180028</v>
          </cell>
          <cell r="K494">
            <v>107047479</v>
          </cell>
        </row>
        <row r="495">
          <cell r="J495">
            <v>891180040</v>
          </cell>
          <cell r="K495">
            <v>121709835</v>
          </cell>
        </row>
        <row r="496">
          <cell r="J496">
            <v>891180056</v>
          </cell>
          <cell r="K496">
            <v>480705104</v>
          </cell>
        </row>
        <row r="497">
          <cell r="J497">
            <v>891180069</v>
          </cell>
          <cell r="K497">
            <v>552179728</v>
          </cell>
        </row>
        <row r="498">
          <cell r="J498">
            <v>891180070</v>
          </cell>
          <cell r="K498">
            <v>197075971</v>
          </cell>
        </row>
        <row r="499">
          <cell r="J499">
            <v>891180076</v>
          </cell>
          <cell r="K499">
            <v>174495129</v>
          </cell>
        </row>
        <row r="500">
          <cell r="J500">
            <v>891180118</v>
          </cell>
          <cell r="K500">
            <v>52571091</v>
          </cell>
        </row>
        <row r="501">
          <cell r="J501">
            <v>891180127</v>
          </cell>
          <cell r="K501">
            <v>75132539</v>
          </cell>
        </row>
        <row r="502">
          <cell r="J502">
            <v>891180131</v>
          </cell>
          <cell r="K502">
            <v>108271044</v>
          </cell>
        </row>
        <row r="503">
          <cell r="J503">
            <v>891180132</v>
          </cell>
          <cell r="K503">
            <v>62341337</v>
          </cell>
        </row>
        <row r="504">
          <cell r="J504">
            <v>891180139</v>
          </cell>
          <cell r="K504">
            <v>160601269</v>
          </cell>
        </row>
        <row r="505">
          <cell r="J505">
            <v>891180155</v>
          </cell>
          <cell r="K505">
            <v>787386918</v>
          </cell>
        </row>
        <row r="506">
          <cell r="J506">
            <v>891180176</v>
          </cell>
          <cell r="K506">
            <v>428424160</v>
          </cell>
        </row>
        <row r="507">
          <cell r="J507">
            <v>891180177</v>
          </cell>
          <cell r="K507">
            <v>314706960</v>
          </cell>
        </row>
        <row r="508">
          <cell r="J508">
            <v>891180179</v>
          </cell>
          <cell r="K508">
            <v>111988192</v>
          </cell>
        </row>
        <row r="509">
          <cell r="J509">
            <v>891180180</v>
          </cell>
          <cell r="K509">
            <v>220949308</v>
          </cell>
        </row>
        <row r="510">
          <cell r="J510">
            <v>891180181</v>
          </cell>
          <cell r="K510">
            <v>108422345</v>
          </cell>
        </row>
        <row r="511">
          <cell r="J511">
            <v>891180182</v>
          </cell>
          <cell r="K511">
            <v>326867162</v>
          </cell>
        </row>
        <row r="512">
          <cell r="J512">
            <v>891180183</v>
          </cell>
          <cell r="K512">
            <v>82598451</v>
          </cell>
        </row>
        <row r="513">
          <cell r="J513">
            <v>891180187</v>
          </cell>
          <cell r="K513">
            <v>96636642</v>
          </cell>
        </row>
        <row r="514">
          <cell r="J514">
            <v>891180191</v>
          </cell>
          <cell r="K514">
            <v>372119955</v>
          </cell>
        </row>
        <row r="515">
          <cell r="J515">
            <v>891180194</v>
          </cell>
          <cell r="K515">
            <v>95999155</v>
          </cell>
        </row>
        <row r="516">
          <cell r="J516">
            <v>891180199</v>
          </cell>
          <cell r="K516">
            <v>237991190</v>
          </cell>
        </row>
        <row r="517">
          <cell r="J517">
            <v>891180205</v>
          </cell>
          <cell r="K517">
            <v>223449780</v>
          </cell>
        </row>
        <row r="518">
          <cell r="J518">
            <v>891180211</v>
          </cell>
          <cell r="K518">
            <v>327530639</v>
          </cell>
        </row>
        <row r="519">
          <cell r="J519">
            <v>891190431</v>
          </cell>
          <cell r="K519">
            <v>89801185</v>
          </cell>
        </row>
        <row r="520">
          <cell r="J520">
            <v>891200461</v>
          </cell>
          <cell r="K520">
            <v>296215970</v>
          </cell>
        </row>
        <row r="521">
          <cell r="J521">
            <v>891200513</v>
          </cell>
          <cell r="K521">
            <v>304478033</v>
          </cell>
        </row>
        <row r="522">
          <cell r="J522">
            <v>891280000</v>
          </cell>
          <cell r="K522">
            <v>401735692</v>
          </cell>
        </row>
        <row r="523">
          <cell r="J523">
            <v>891380007</v>
          </cell>
          <cell r="K523">
            <v>66180672</v>
          </cell>
        </row>
        <row r="524">
          <cell r="J524">
            <v>891380038</v>
          </cell>
          <cell r="K524">
            <v>206399806</v>
          </cell>
        </row>
        <row r="525">
          <cell r="J525">
            <v>891380089</v>
          </cell>
          <cell r="K525">
            <v>383267128</v>
          </cell>
        </row>
        <row r="526">
          <cell r="J526">
            <v>891380115</v>
          </cell>
          <cell r="K526">
            <v>615450100</v>
          </cell>
        </row>
        <row r="527">
          <cell r="J527">
            <v>891480022</v>
          </cell>
          <cell r="K527">
            <v>195347256</v>
          </cell>
        </row>
        <row r="528">
          <cell r="J528">
            <v>891480024</v>
          </cell>
          <cell r="K528">
            <v>47960209</v>
          </cell>
        </row>
        <row r="529">
          <cell r="J529">
            <v>891480025</v>
          </cell>
          <cell r="K529">
            <v>52665492</v>
          </cell>
        </row>
        <row r="530">
          <cell r="J530">
            <v>891480026</v>
          </cell>
          <cell r="K530">
            <v>83513234</v>
          </cell>
        </row>
        <row r="531">
          <cell r="J531">
            <v>891480030</v>
          </cell>
          <cell r="K531">
            <v>50243057</v>
          </cell>
        </row>
        <row r="532">
          <cell r="J532">
            <v>891480031</v>
          </cell>
          <cell r="K532">
            <v>333339001</v>
          </cell>
        </row>
        <row r="533">
          <cell r="J533">
            <v>891480033</v>
          </cell>
          <cell r="K533">
            <v>222339069</v>
          </cell>
        </row>
        <row r="534">
          <cell r="J534">
            <v>891500269</v>
          </cell>
          <cell r="K534">
            <v>71279270</v>
          </cell>
        </row>
        <row r="535">
          <cell r="J535">
            <v>891500580</v>
          </cell>
          <cell r="K535">
            <v>325800203</v>
          </cell>
        </row>
        <row r="536">
          <cell r="J536">
            <v>891500725</v>
          </cell>
          <cell r="K536">
            <v>354038940</v>
          </cell>
        </row>
        <row r="537">
          <cell r="J537">
            <v>891500742</v>
          </cell>
          <cell r="K537">
            <v>412627379</v>
          </cell>
        </row>
        <row r="538">
          <cell r="J538">
            <v>891500841</v>
          </cell>
          <cell r="K538">
            <v>102650177</v>
          </cell>
        </row>
        <row r="539">
          <cell r="J539">
            <v>891500856</v>
          </cell>
          <cell r="K539">
            <v>502115636</v>
          </cell>
        </row>
        <row r="540">
          <cell r="J540">
            <v>891500864</v>
          </cell>
          <cell r="K540">
            <v>95250546</v>
          </cell>
        </row>
        <row r="541">
          <cell r="J541">
            <v>891500869</v>
          </cell>
          <cell r="K541">
            <v>247802695</v>
          </cell>
        </row>
        <row r="542">
          <cell r="J542">
            <v>891500978</v>
          </cell>
          <cell r="K542">
            <v>367735282</v>
          </cell>
        </row>
        <row r="543">
          <cell r="J543">
            <v>891500982</v>
          </cell>
          <cell r="K543">
            <v>230559972</v>
          </cell>
        </row>
        <row r="544">
          <cell r="J544">
            <v>891500997</v>
          </cell>
          <cell r="K544">
            <v>198836848</v>
          </cell>
        </row>
        <row r="545">
          <cell r="J545">
            <v>891501277</v>
          </cell>
          <cell r="K545">
            <v>10568277</v>
          </cell>
        </row>
        <row r="546">
          <cell r="J546">
            <v>891501283</v>
          </cell>
          <cell r="K546">
            <v>288702327</v>
          </cell>
        </row>
        <row r="547">
          <cell r="J547">
            <v>891501292</v>
          </cell>
          <cell r="K547">
            <v>367219037</v>
          </cell>
        </row>
        <row r="548">
          <cell r="J548">
            <v>891501723</v>
          </cell>
          <cell r="K548">
            <v>226219772</v>
          </cell>
        </row>
        <row r="549">
          <cell r="J549">
            <v>891502169</v>
          </cell>
          <cell r="K549">
            <v>89551340</v>
          </cell>
        </row>
        <row r="550">
          <cell r="J550">
            <v>891502194</v>
          </cell>
          <cell r="K550">
            <v>454918575</v>
          </cell>
        </row>
        <row r="551">
          <cell r="J551">
            <v>891502307</v>
          </cell>
          <cell r="K551">
            <v>221410174</v>
          </cell>
        </row>
        <row r="552">
          <cell r="J552">
            <v>891502397</v>
          </cell>
          <cell r="K552">
            <v>233432446</v>
          </cell>
        </row>
        <row r="553">
          <cell r="J553">
            <v>891502482</v>
          </cell>
          <cell r="K553">
            <v>95544940</v>
          </cell>
        </row>
        <row r="554">
          <cell r="J554">
            <v>891502664</v>
          </cell>
          <cell r="K554">
            <v>183830597</v>
          </cell>
        </row>
        <row r="555">
          <cell r="J555">
            <v>891580006</v>
          </cell>
          <cell r="K555">
            <v>532985815</v>
          </cell>
        </row>
        <row r="556">
          <cell r="J556">
            <v>891680011</v>
          </cell>
          <cell r="K556">
            <v>658832398</v>
          </cell>
        </row>
        <row r="557">
          <cell r="J557">
            <v>891702186</v>
          </cell>
          <cell r="K557">
            <v>260683594</v>
          </cell>
        </row>
        <row r="558">
          <cell r="J558">
            <v>891703045</v>
          </cell>
          <cell r="K558">
            <v>573831709</v>
          </cell>
        </row>
        <row r="559">
          <cell r="J559">
            <v>891780009</v>
          </cell>
          <cell r="K559">
            <v>540590789</v>
          </cell>
        </row>
        <row r="560">
          <cell r="J560">
            <v>891780041</v>
          </cell>
          <cell r="K560">
            <v>494213191</v>
          </cell>
        </row>
        <row r="561">
          <cell r="J561">
            <v>891780042</v>
          </cell>
          <cell r="K561">
            <v>150942913</v>
          </cell>
        </row>
        <row r="562">
          <cell r="J562">
            <v>891780043</v>
          </cell>
          <cell r="K562">
            <v>614556997</v>
          </cell>
        </row>
        <row r="563">
          <cell r="J563">
            <v>891780044</v>
          </cell>
          <cell r="K563">
            <v>806485719</v>
          </cell>
        </row>
        <row r="564">
          <cell r="J564">
            <v>891780045</v>
          </cell>
          <cell r="K564">
            <v>244218764</v>
          </cell>
        </row>
        <row r="565">
          <cell r="J565">
            <v>891780047</v>
          </cell>
          <cell r="K565">
            <v>461823986</v>
          </cell>
        </row>
        <row r="566">
          <cell r="J566">
            <v>891780048</v>
          </cell>
          <cell r="K566">
            <v>9752572</v>
          </cell>
        </row>
        <row r="567">
          <cell r="J567">
            <v>891780049</v>
          </cell>
          <cell r="K567">
            <v>65915154</v>
          </cell>
        </row>
        <row r="568">
          <cell r="J568">
            <v>891780050</v>
          </cell>
          <cell r="K568">
            <v>120746543</v>
          </cell>
        </row>
        <row r="569">
          <cell r="J569">
            <v>891780051</v>
          </cell>
          <cell r="K569">
            <v>302175842</v>
          </cell>
        </row>
        <row r="570">
          <cell r="J570">
            <v>891780052</v>
          </cell>
          <cell r="K570">
            <v>95268443</v>
          </cell>
        </row>
        <row r="571">
          <cell r="J571">
            <v>891780054</v>
          </cell>
          <cell r="K571">
            <v>59176186</v>
          </cell>
        </row>
        <row r="572">
          <cell r="J572">
            <v>891780055</v>
          </cell>
          <cell r="K572">
            <v>168359700</v>
          </cell>
        </row>
        <row r="573">
          <cell r="J573">
            <v>891780056</v>
          </cell>
          <cell r="K573">
            <v>490419491</v>
          </cell>
        </row>
        <row r="574">
          <cell r="J574">
            <v>891780057</v>
          </cell>
          <cell r="K574">
            <v>56337824</v>
          </cell>
        </row>
        <row r="575">
          <cell r="J575">
            <v>891780103</v>
          </cell>
          <cell r="K575">
            <v>271301680</v>
          </cell>
        </row>
        <row r="576">
          <cell r="J576">
            <v>891800466</v>
          </cell>
          <cell r="K576">
            <v>190147714</v>
          </cell>
        </row>
        <row r="577">
          <cell r="J577">
            <v>891800846</v>
          </cell>
          <cell r="K577">
            <v>205010146</v>
          </cell>
        </row>
        <row r="578">
          <cell r="J578">
            <v>891800860</v>
          </cell>
          <cell r="K578">
            <v>130482277</v>
          </cell>
        </row>
        <row r="579">
          <cell r="J579">
            <v>891800896</v>
          </cell>
          <cell r="K579">
            <v>43304262</v>
          </cell>
        </row>
        <row r="580">
          <cell r="J580">
            <v>891800986</v>
          </cell>
          <cell r="K580">
            <v>193373673</v>
          </cell>
        </row>
        <row r="581">
          <cell r="J581">
            <v>891801061</v>
          </cell>
          <cell r="K581">
            <v>122178622</v>
          </cell>
        </row>
        <row r="582">
          <cell r="J582">
            <v>891801129</v>
          </cell>
          <cell r="K582">
            <v>56240656</v>
          </cell>
        </row>
        <row r="583">
          <cell r="J583">
            <v>891801240</v>
          </cell>
          <cell r="K583">
            <v>375559943</v>
          </cell>
        </row>
        <row r="584">
          <cell r="J584">
            <v>891801244</v>
          </cell>
          <cell r="K584">
            <v>95951690</v>
          </cell>
        </row>
        <row r="585">
          <cell r="J585">
            <v>891801268</v>
          </cell>
          <cell r="K585">
            <v>16905903</v>
          </cell>
        </row>
        <row r="586">
          <cell r="J586">
            <v>891801280</v>
          </cell>
          <cell r="K586">
            <v>163825075</v>
          </cell>
        </row>
        <row r="587">
          <cell r="J587">
            <v>891801282</v>
          </cell>
          <cell r="K587">
            <v>24289265</v>
          </cell>
        </row>
        <row r="588">
          <cell r="J588">
            <v>891801286</v>
          </cell>
          <cell r="K588">
            <v>26159703</v>
          </cell>
        </row>
        <row r="589">
          <cell r="J589">
            <v>891801357</v>
          </cell>
          <cell r="K589">
            <v>43766281</v>
          </cell>
        </row>
        <row r="590">
          <cell r="J590">
            <v>891801362</v>
          </cell>
          <cell r="K590">
            <v>121497439</v>
          </cell>
        </row>
        <row r="591">
          <cell r="J591">
            <v>891801368</v>
          </cell>
          <cell r="K591">
            <v>127842999</v>
          </cell>
        </row>
        <row r="592">
          <cell r="J592">
            <v>891801369</v>
          </cell>
          <cell r="K592">
            <v>115660597</v>
          </cell>
        </row>
        <row r="593">
          <cell r="J593">
            <v>891801376</v>
          </cell>
          <cell r="K593">
            <v>99582345</v>
          </cell>
        </row>
        <row r="594">
          <cell r="J594">
            <v>891801770</v>
          </cell>
          <cell r="K594">
            <v>17314675</v>
          </cell>
        </row>
        <row r="595">
          <cell r="J595">
            <v>891801787</v>
          </cell>
          <cell r="K595">
            <v>106810019</v>
          </cell>
        </row>
        <row r="596">
          <cell r="J596">
            <v>891801796</v>
          </cell>
          <cell r="K596">
            <v>24245043</v>
          </cell>
        </row>
        <row r="597">
          <cell r="J597">
            <v>891801911</v>
          </cell>
          <cell r="K597">
            <v>118751760</v>
          </cell>
        </row>
        <row r="598">
          <cell r="J598">
            <v>891801932</v>
          </cell>
          <cell r="K598">
            <v>74676387</v>
          </cell>
        </row>
        <row r="599">
          <cell r="J599">
            <v>891801962</v>
          </cell>
          <cell r="K599">
            <v>163738881</v>
          </cell>
        </row>
        <row r="600">
          <cell r="J600">
            <v>891801988</v>
          </cell>
          <cell r="K600">
            <v>16496756</v>
          </cell>
        </row>
        <row r="601">
          <cell r="J601">
            <v>891802106</v>
          </cell>
          <cell r="K601">
            <v>79190140</v>
          </cell>
        </row>
        <row r="602">
          <cell r="J602">
            <v>891802151</v>
          </cell>
          <cell r="K602">
            <v>82751417</v>
          </cell>
        </row>
        <row r="603">
          <cell r="J603">
            <v>891855015</v>
          </cell>
          <cell r="K603">
            <v>52572774</v>
          </cell>
        </row>
        <row r="604">
          <cell r="J604">
            <v>891855016</v>
          </cell>
          <cell r="K604">
            <v>120536277</v>
          </cell>
        </row>
        <row r="605">
          <cell r="J605">
            <v>891855130</v>
          </cell>
          <cell r="K605">
            <v>339157139</v>
          </cell>
        </row>
        <row r="606">
          <cell r="J606">
            <v>891855138</v>
          </cell>
          <cell r="K606">
            <v>15903443</v>
          </cell>
        </row>
        <row r="607">
          <cell r="J607">
            <v>891855361</v>
          </cell>
          <cell r="K607">
            <v>10294882</v>
          </cell>
        </row>
        <row r="608">
          <cell r="J608">
            <v>891855735</v>
          </cell>
          <cell r="K608">
            <v>71127074</v>
          </cell>
        </row>
        <row r="609">
          <cell r="J609">
            <v>891855769</v>
          </cell>
          <cell r="K609">
            <v>28914032</v>
          </cell>
        </row>
        <row r="610">
          <cell r="J610">
            <v>891856077</v>
          </cell>
          <cell r="K610">
            <v>24083927</v>
          </cell>
        </row>
        <row r="611">
          <cell r="J611">
            <v>891856131</v>
          </cell>
          <cell r="K611">
            <v>93473423</v>
          </cell>
        </row>
        <row r="612">
          <cell r="J612">
            <v>891856257</v>
          </cell>
          <cell r="K612">
            <v>40950047</v>
          </cell>
        </row>
        <row r="613">
          <cell r="J613">
            <v>891856288</v>
          </cell>
          <cell r="K613">
            <v>55120273</v>
          </cell>
        </row>
        <row r="614">
          <cell r="J614">
            <v>891856294</v>
          </cell>
          <cell r="K614">
            <v>85083265</v>
          </cell>
        </row>
        <row r="615">
          <cell r="J615">
            <v>891856464</v>
          </cell>
          <cell r="K615">
            <v>79758802</v>
          </cell>
        </row>
        <row r="616">
          <cell r="J616">
            <v>891856472</v>
          </cell>
          <cell r="K616">
            <v>31330345</v>
          </cell>
        </row>
        <row r="617">
          <cell r="J617">
            <v>891856555</v>
          </cell>
          <cell r="K617">
            <v>43384002</v>
          </cell>
        </row>
        <row r="618">
          <cell r="J618">
            <v>891856593</v>
          </cell>
          <cell r="K618">
            <v>55420269</v>
          </cell>
        </row>
        <row r="619">
          <cell r="J619">
            <v>891856625</v>
          </cell>
          <cell r="K619">
            <v>56720917</v>
          </cell>
        </row>
        <row r="620">
          <cell r="J620">
            <v>891857764</v>
          </cell>
          <cell r="K620">
            <v>73692548</v>
          </cell>
        </row>
        <row r="621">
          <cell r="J621">
            <v>891857805</v>
          </cell>
          <cell r="K621">
            <v>47203553</v>
          </cell>
        </row>
        <row r="622">
          <cell r="J622">
            <v>891857821</v>
          </cell>
          <cell r="K622">
            <v>50364666</v>
          </cell>
        </row>
        <row r="623">
          <cell r="J623">
            <v>891857844</v>
          </cell>
          <cell r="K623">
            <v>70767856</v>
          </cell>
        </row>
        <row r="624">
          <cell r="J624">
            <v>891857861</v>
          </cell>
          <cell r="K624">
            <v>13510889</v>
          </cell>
        </row>
        <row r="625">
          <cell r="J625">
            <v>891857920</v>
          </cell>
          <cell r="K625">
            <v>38026929</v>
          </cell>
        </row>
        <row r="626">
          <cell r="J626">
            <v>891900272</v>
          </cell>
          <cell r="K626">
            <v>46523648</v>
          </cell>
        </row>
        <row r="627">
          <cell r="J627">
            <v>891900289</v>
          </cell>
          <cell r="K627">
            <v>202069003</v>
          </cell>
        </row>
        <row r="628">
          <cell r="J628">
            <v>891900357</v>
          </cell>
          <cell r="K628">
            <v>196712907</v>
          </cell>
        </row>
        <row r="629">
          <cell r="J629">
            <v>891900624</v>
          </cell>
          <cell r="K629">
            <v>252492949</v>
          </cell>
        </row>
        <row r="630">
          <cell r="J630">
            <v>891900764</v>
          </cell>
          <cell r="K630">
            <v>251301432</v>
          </cell>
        </row>
        <row r="631">
          <cell r="J631">
            <v>891900945</v>
          </cell>
          <cell r="K631">
            <v>176570369</v>
          </cell>
        </row>
        <row r="632">
          <cell r="J632">
            <v>891900985</v>
          </cell>
          <cell r="K632">
            <v>192125232</v>
          </cell>
        </row>
        <row r="633">
          <cell r="J633">
            <v>891901079</v>
          </cell>
          <cell r="K633">
            <v>156802722</v>
          </cell>
        </row>
        <row r="634">
          <cell r="J634">
            <v>892099105</v>
          </cell>
          <cell r="K634">
            <v>585367509</v>
          </cell>
        </row>
        <row r="635">
          <cell r="J635">
            <v>892099173</v>
          </cell>
          <cell r="K635">
            <v>56936022</v>
          </cell>
        </row>
        <row r="636">
          <cell r="J636">
            <v>892099183</v>
          </cell>
          <cell r="K636">
            <v>215050391</v>
          </cell>
        </row>
        <row r="637">
          <cell r="J637">
            <v>892099242</v>
          </cell>
          <cell r="K637">
            <v>87776468</v>
          </cell>
        </row>
        <row r="638">
          <cell r="J638">
            <v>892099278</v>
          </cell>
          <cell r="K638">
            <v>90078116</v>
          </cell>
        </row>
        <row r="639">
          <cell r="J639">
            <v>892099317</v>
          </cell>
          <cell r="K639">
            <v>75514790</v>
          </cell>
        </row>
        <row r="640">
          <cell r="J640">
            <v>892099324</v>
          </cell>
          <cell r="K640">
            <v>370086615</v>
          </cell>
        </row>
        <row r="641">
          <cell r="J641">
            <v>892099325</v>
          </cell>
          <cell r="K641">
            <v>121664389</v>
          </cell>
        </row>
        <row r="642">
          <cell r="J642">
            <v>892099494</v>
          </cell>
          <cell r="K642">
            <v>679374653</v>
          </cell>
        </row>
        <row r="643">
          <cell r="J643">
            <v>892115007</v>
          </cell>
          <cell r="K643">
            <v>559206514</v>
          </cell>
        </row>
        <row r="644">
          <cell r="J644">
            <v>892115024</v>
          </cell>
          <cell r="K644">
            <v>178052087</v>
          </cell>
        </row>
        <row r="645">
          <cell r="J645">
            <v>892115179</v>
          </cell>
          <cell r="K645">
            <v>443002223</v>
          </cell>
        </row>
        <row r="646">
          <cell r="J646">
            <v>892120020</v>
          </cell>
          <cell r="K646">
            <v>3045881574</v>
          </cell>
        </row>
        <row r="647">
          <cell r="J647">
            <v>892200058</v>
          </cell>
          <cell r="K647">
            <v>252421205</v>
          </cell>
        </row>
        <row r="648">
          <cell r="J648">
            <v>892200591</v>
          </cell>
          <cell r="K648">
            <v>964005739</v>
          </cell>
        </row>
        <row r="649">
          <cell r="J649">
            <v>892200592</v>
          </cell>
          <cell r="K649">
            <v>1094725168</v>
          </cell>
        </row>
        <row r="650">
          <cell r="J650">
            <v>892200839</v>
          </cell>
          <cell r="K650">
            <v>460456134</v>
          </cell>
        </row>
        <row r="651">
          <cell r="J651">
            <v>892201282</v>
          </cell>
          <cell r="K651">
            <v>159590057</v>
          </cell>
        </row>
        <row r="652">
          <cell r="J652">
            <v>892201286</v>
          </cell>
          <cell r="K652">
            <v>147427508</v>
          </cell>
        </row>
        <row r="653">
          <cell r="J653">
            <v>892201287</v>
          </cell>
          <cell r="K653">
            <v>384548303</v>
          </cell>
        </row>
        <row r="654">
          <cell r="J654">
            <v>892201296</v>
          </cell>
          <cell r="K654">
            <v>71753842</v>
          </cell>
        </row>
        <row r="655">
          <cell r="J655">
            <v>892280032</v>
          </cell>
          <cell r="K655">
            <v>328607176</v>
          </cell>
        </row>
        <row r="656">
          <cell r="J656">
            <v>892280053</v>
          </cell>
          <cell r="K656">
            <v>30836612</v>
          </cell>
        </row>
        <row r="657">
          <cell r="J657">
            <v>892280054</v>
          </cell>
          <cell r="K657">
            <v>519555219</v>
          </cell>
        </row>
        <row r="658">
          <cell r="J658">
            <v>892280055</v>
          </cell>
          <cell r="K658">
            <v>731038825</v>
          </cell>
        </row>
        <row r="659">
          <cell r="J659">
            <v>892280057</v>
          </cell>
          <cell r="K659">
            <v>789972744</v>
          </cell>
        </row>
        <row r="660">
          <cell r="J660">
            <v>892280061</v>
          </cell>
          <cell r="K660">
            <v>460379877</v>
          </cell>
        </row>
        <row r="661">
          <cell r="J661">
            <v>892280063</v>
          </cell>
          <cell r="K661">
            <v>310947665</v>
          </cell>
        </row>
        <row r="662">
          <cell r="J662">
            <v>892300123</v>
          </cell>
          <cell r="K662">
            <v>273132442</v>
          </cell>
        </row>
        <row r="663">
          <cell r="J663">
            <v>892300815</v>
          </cell>
          <cell r="K663">
            <v>748431557</v>
          </cell>
        </row>
        <row r="664">
          <cell r="J664">
            <v>892301093</v>
          </cell>
          <cell r="K664">
            <v>353846449</v>
          </cell>
        </row>
        <row r="665">
          <cell r="J665">
            <v>892301130</v>
          </cell>
          <cell r="K665">
            <v>571816969</v>
          </cell>
        </row>
        <row r="666">
          <cell r="J666">
            <v>892301541</v>
          </cell>
          <cell r="K666">
            <v>376753745</v>
          </cell>
        </row>
        <row r="667">
          <cell r="J667">
            <v>892301761</v>
          </cell>
          <cell r="K667">
            <v>81151667</v>
          </cell>
        </row>
        <row r="668">
          <cell r="J668">
            <v>892400038</v>
          </cell>
          <cell r="K668">
            <v>245152074</v>
          </cell>
        </row>
        <row r="669">
          <cell r="J669">
            <v>899999061</v>
          </cell>
          <cell r="K669">
            <v>352417736</v>
          </cell>
        </row>
        <row r="670">
          <cell r="J670">
            <v>899999318</v>
          </cell>
          <cell r="K670">
            <v>156377313</v>
          </cell>
        </row>
        <row r="671">
          <cell r="J671">
            <v>899999323</v>
          </cell>
          <cell r="K671">
            <v>29132340</v>
          </cell>
        </row>
        <row r="672">
          <cell r="J672">
            <v>899999342</v>
          </cell>
          <cell r="K672">
            <v>162976906</v>
          </cell>
        </row>
        <row r="673">
          <cell r="J673">
            <v>899999462</v>
          </cell>
          <cell r="K673">
            <v>122808416</v>
          </cell>
        </row>
        <row r="674">
          <cell r="J674">
            <v>900127183</v>
          </cell>
          <cell r="K674">
            <v>156997775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"/>
      <sheetName val="fiduprev"/>
      <sheetName val="Gratuidad"/>
      <sheetName val="BDGRATUIDAD"/>
      <sheetName val="Hoja1"/>
      <sheetName val="Hoja2"/>
      <sheetName val="anuladas en mayo gratuidad}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>
            <v>800028432</v>
          </cell>
          <cell r="L2">
            <v>243386506</v>
          </cell>
        </row>
        <row r="3">
          <cell r="K3">
            <v>800095728</v>
          </cell>
          <cell r="L3">
            <v>12917846</v>
          </cell>
        </row>
        <row r="4">
          <cell r="K4">
            <v>800095760</v>
          </cell>
          <cell r="L4">
            <v>146535388</v>
          </cell>
        </row>
        <row r="5">
          <cell r="K5">
            <v>800095785</v>
          </cell>
          <cell r="L5">
            <v>9281941</v>
          </cell>
        </row>
        <row r="6">
          <cell r="K6">
            <v>800096734</v>
          </cell>
          <cell r="L6">
            <v>117926112</v>
          </cell>
        </row>
        <row r="7">
          <cell r="K7">
            <v>800096740</v>
          </cell>
          <cell r="L7">
            <v>104166149</v>
          </cell>
        </row>
        <row r="8">
          <cell r="K8">
            <v>800098911</v>
          </cell>
          <cell r="L8">
            <v>170860306</v>
          </cell>
        </row>
        <row r="9">
          <cell r="K9">
            <v>800099223</v>
          </cell>
          <cell r="L9">
            <v>135086254</v>
          </cell>
        </row>
        <row r="10">
          <cell r="K10">
            <v>800099425</v>
          </cell>
          <cell r="L10">
            <v>43085208</v>
          </cell>
        </row>
        <row r="11">
          <cell r="K11">
            <v>800102504</v>
          </cell>
          <cell r="L11">
            <v>85011406</v>
          </cell>
        </row>
        <row r="12">
          <cell r="K12">
            <v>800102906</v>
          </cell>
          <cell r="L12">
            <v>15650662</v>
          </cell>
        </row>
        <row r="13">
          <cell r="K13">
            <v>800113389</v>
          </cell>
          <cell r="L13">
            <v>422374283</v>
          </cell>
        </row>
        <row r="14">
          <cell r="K14">
            <v>806001937</v>
          </cell>
          <cell r="L14">
            <v>99820736</v>
          </cell>
        </row>
        <row r="15">
          <cell r="K15">
            <v>812001681</v>
          </cell>
          <cell r="L15">
            <v>74298192</v>
          </cell>
        </row>
        <row r="16">
          <cell r="K16">
            <v>819000925</v>
          </cell>
          <cell r="L16">
            <v>126273895</v>
          </cell>
        </row>
        <row r="17">
          <cell r="K17">
            <v>819003219</v>
          </cell>
          <cell r="L17">
            <v>111754162</v>
          </cell>
        </row>
        <row r="18">
          <cell r="K18">
            <v>823003543</v>
          </cell>
          <cell r="L18">
            <v>30279439</v>
          </cell>
        </row>
        <row r="19">
          <cell r="K19">
            <v>890000464</v>
          </cell>
          <cell r="L19">
            <v>135192782</v>
          </cell>
        </row>
        <row r="20">
          <cell r="K20">
            <v>890102018</v>
          </cell>
          <cell r="L20">
            <v>1145827026</v>
          </cell>
        </row>
        <row r="21">
          <cell r="K21">
            <v>890201222</v>
          </cell>
          <cell r="L21">
            <v>51816572</v>
          </cell>
        </row>
        <row r="22">
          <cell r="K22">
            <v>890399011</v>
          </cell>
          <cell r="L22">
            <v>171408432</v>
          </cell>
        </row>
        <row r="23">
          <cell r="K23">
            <v>890480184</v>
          </cell>
          <cell r="L23">
            <v>107012490</v>
          </cell>
        </row>
        <row r="24">
          <cell r="K24">
            <v>890480643</v>
          </cell>
          <cell r="L24">
            <v>73892793</v>
          </cell>
        </row>
        <row r="25">
          <cell r="K25">
            <v>890501434</v>
          </cell>
          <cell r="L25">
            <v>76768723</v>
          </cell>
        </row>
        <row r="26">
          <cell r="K26">
            <v>890680236</v>
          </cell>
          <cell r="L26">
            <v>85049187</v>
          </cell>
        </row>
        <row r="27">
          <cell r="K27">
            <v>890801138</v>
          </cell>
          <cell r="L27">
            <v>106402871</v>
          </cell>
        </row>
        <row r="28">
          <cell r="K28">
            <v>890801149</v>
          </cell>
          <cell r="L28">
            <v>95588319</v>
          </cell>
        </row>
        <row r="29">
          <cell r="K29">
            <v>890802650</v>
          </cell>
          <cell r="L29">
            <v>35001709</v>
          </cell>
        </row>
        <row r="30">
          <cell r="K30">
            <v>890802795</v>
          </cell>
          <cell r="L30">
            <v>35202252</v>
          </cell>
        </row>
        <row r="31">
          <cell r="K31">
            <v>890905211</v>
          </cell>
          <cell r="L31">
            <v>543195966</v>
          </cell>
        </row>
        <row r="32">
          <cell r="K32">
            <v>890906445</v>
          </cell>
          <cell r="L32">
            <v>622448293</v>
          </cell>
        </row>
        <row r="33">
          <cell r="K33">
            <v>890907106</v>
          </cell>
          <cell r="L33">
            <v>10074578</v>
          </cell>
        </row>
        <row r="34">
          <cell r="K34">
            <v>890980093</v>
          </cell>
          <cell r="L34">
            <v>180135016</v>
          </cell>
        </row>
        <row r="35">
          <cell r="K35">
            <v>890980096</v>
          </cell>
          <cell r="L35">
            <v>231554402</v>
          </cell>
        </row>
        <row r="36">
          <cell r="K36">
            <v>890980112</v>
          </cell>
          <cell r="L36">
            <v>235188823</v>
          </cell>
        </row>
        <row r="37">
          <cell r="K37">
            <v>890981138</v>
          </cell>
          <cell r="L37">
            <v>179922972</v>
          </cell>
        </row>
        <row r="38">
          <cell r="K38">
            <v>890981207</v>
          </cell>
          <cell r="L38">
            <v>41277828</v>
          </cell>
        </row>
        <row r="39">
          <cell r="K39">
            <v>890981567</v>
          </cell>
          <cell r="L39">
            <v>16823104</v>
          </cell>
        </row>
        <row r="40">
          <cell r="K40">
            <v>890983706</v>
          </cell>
          <cell r="L40">
            <v>57303217</v>
          </cell>
        </row>
        <row r="41">
          <cell r="K41">
            <v>890984882</v>
          </cell>
          <cell r="L41">
            <v>73275334</v>
          </cell>
        </row>
        <row r="42">
          <cell r="K42">
            <v>891380007</v>
          </cell>
          <cell r="L42">
            <v>75390113</v>
          </cell>
        </row>
        <row r="43">
          <cell r="K43">
            <v>891780044</v>
          </cell>
          <cell r="L43">
            <v>46932565</v>
          </cell>
        </row>
        <row r="44">
          <cell r="K44">
            <v>891780045</v>
          </cell>
          <cell r="L44">
            <v>183902248</v>
          </cell>
        </row>
        <row r="45">
          <cell r="K45">
            <v>891780048</v>
          </cell>
          <cell r="L45">
            <v>56541667</v>
          </cell>
        </row>
        <row r="46">
          <cell r="K46">
            <v>891780051</v>
          </cell>
          <cell r="L46">
            <v>291831724</v>
          </cell>
        </row>
        <row r="47">
          <cell r="K47">
            <v>891780055</v>
          </cell>
          <cell r="L47">
            <v>50458930</v>
          </cell>
        </row>
        <row r="48">
          <cell r="K48">
            <v>891855138</v>
          </cell>
          <cell r="L48">
            <v>27811306</v>
          </cell>
        </row>
        <row r="49">
          <cell r="K49">
            <v>892099475</v>
          </cell>
          <cell r="L49">
            <v>163166213</v>
          </cell>
        </row>
        <row r="50">
          <cell r="K50">
            <v>892115007</v>
          </cell>
          <cell r="L50">
            <v>51660680</v>
          </cell>
        </row>
        <row r="51">
          <cell r="K51">
            <v>899999061</v>
          </cell>
          <cell r="L51">
            <v>1163256937</v>
          </cell>
        </row>
        <row r="52">
          <cell r="K52">
            <v>899999302</v>
          </cell>
          <cell r="L52">
            <v>110903490</v>
          </cell>
        </row>
        <row r="53">
          <cell r="K53">
            <v>899999398</v>
          </cell>
          <cell r="L53">
            <v>19847192</v>
          </cell>
        </row>
        <row r="54">
          <cell r="K54">
            <v>899999407</v>
          </cell>
          <cell r="L54">
            <v>45357577</v>
          </cell>
        </row>
        <row r="55">
          <cell r="K55">
            <v>899999430</v>
          </cell>
          <cell r="L55">
            <v>171918184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8"/>
      <sheetName val="AP-PAT"/>
      <sheetName val="AP DOC-FIDU"/>
      <sheetName val="PRES-SER"/>
      <sheetName val="PENS-CANC"/>
      <sheetName val="CALIDAD"/>
      <sheetName val="nocercalidad"/>
      <sheetName val="MUNCERCALIDAD"/>
    </sheetNames>
    <sheetDataSet>
      <sheetData sheetId="0"/>
      <sheetData sheetId="1"/>
      <sheetData sheetId="2"/>
      <sheetData sheetId="3"/>
      <sheetData sheetId="4">
        <row r="2">
          <cell r="A2">
            <v>8909002860</v>
          </cell>
          <cell r="B2">
            <v>2762877812</v>
          </cell>
        </row>
        <row r="3">
          <cell r="A3">
            <v>8901020061</v>
          </cell>
          <cell r="B3">
            <v>1116272390</v>
          </cell>
        </row>
        <row r="4">
          <cell r="A4">
            <v>8904800591</v>
          </cell>
          <cell r="B4">
            <v>985171409</v>
          </cell>
        </row>
        <row r="5">
          <cell r="A5">
            <v>8918004981</v>
          </cell>
          <cell r="B5">
            <v>1803337580</v>
          </cell>
        </row>
        <row r="6">
          <cell r="A6">
            <v>8908010521</v>
          </cell>
          <cell r="B6">
            <v>0</v>
          </cell>
        </row>
        <row r="7">
          <cell r="A7">
            <v>8000915944</v>
          </cell>
          <cell r="B7">
            <v>0</v>
          </cell>
        </row>
        <row r="8">
          <cell r="A8">
            <v>8915800168</v>
          </cell>
          <cell r="B8">
            <v>837384827</v>
          </cell>
        </row>
        <row r="9">
          <cell r="A9">
            <v>8923999991</v>
          </cell>
          <cell r="B9">
            <v>227779843</v>
          </cell>
        </row>
        <row r="10">
          <cell r="A10">
            <v>8001039356</v>
          </cell>
          <cell r="B10">
            <v>508966832</v>
          </cell>
        </row>
        <row r="11">
          <cell r="A11">
            <v>8999991140</v>
          </cell>
          <cell r="B11">
            <v>3339633797</v>
          </cell>
        </row>
        <row r="12">
          <cell r="A12">
            <v>8916800103</v>
          </cell>
          <cell r="B12">
            <v>591168652</v>
          </cell>
        </row>
        <row r="13">
          <cell r="A13">
            <v>8001039134</v>
          </cell>
          <cell r="B13">
            <v>537128221</v>
          </cell>
        </row>
        <row r="14">
          <cell r="A14">
            <v>8921150151</v>
          </cell>
          <cell r="B14">
            <v>142898927</v>
          </cell>
        </row>
        <row r="15">
          <cell r="A15">
            <v>8001039206</v>
          </cell>
          <cell r="B15">
            <v>600431291</v>
          </cell>
        </row>
        <row r="16">
          <cell r="A16">
            <v>8920001488</v>
          </cell>
          <cell r="B16">
            <v>262233485</v>
          </cell>
        </row>
        <row r="17">
          <cell r="A17">
            <v>8001039238</v>
          </cell>
          <cell r="B17">
            <v>1025228897</v>
          </cell>
        </row>
        <row r="18">
          <cell r="A18">
            <v>8001039277</v>
          </cell>
          <cell r="B18">
            <v>1114881956</v>
          </cell>
        </row>
        <row r="19">
          <cell r="A19">
            <v>8900016391</v>
          </cell>
          <cell r="B19">
            <v>0</v>
          </cell>
        </row>
        <row r="20">
          <cell r="A20">
            <v>8914800857</v>
          </cell>
          <cell r="B20">
            <v>544946956</v>
          </cell>
        </row>
        <row r="21">
          <cell r="A21">
            <v>8902012356</v>
          </cell>
          <cell r="B21">
            <v>1555200516</v>
          </cell>
        </row>
        <row r="22">
          <cell r="A22">
            <v>8922800211</v>
          </cell>
          <cell r="B22">
            <v>0</v>
          </cell>
        </row>
        <row r="23">
          <cell r="A23">
            <v>8001136727</v>
          </cell>
          <cell r="B23">
            <v>2658897930</v>
          </cell>
        </row>
        <row r="24">
          <cell r="A24">
            <v>8903990295</v>
          </cell>
          <cell r="B24">
            <v>3421314966</v>
          </cell>
        </row>
        <row r="25">
          <cell r="A25">
            <v>8001028385</v>
          </cell>
          <cell r="B25">
            <v>35483017</v>
          </cell>
        </row>
        <row r="26">
          <cell r="A26">
            <v>8920992166</v>
          </cell>
          <cell r="B26">
            <v>62294604</v>
          </cell>
        </row>
        <row r="27">
          <cell r="A27">
            <v>8000941644</v>
          </cell>
          <cell r="B27">
            <v>90380151</v>
          </cell>
        </row>
        <row r="28">
          <cell r="A28">
            <v>8924000382</v>
          </cell>
          <cell r="B28">
            <v>128164044</v>
          </cell>
        </row>
        <row r="29">
          <cell r="A29">
            <v>8999993369</v>
          </cell>
          <cell r="B29">
            <v>0</v>
          </cell>
        </row>
        <row r="30">
          <cell r="A30">
            <v>8920991490</v>
          </cell>
          <cell r="B30">
            <v>15146835</v>
          </cell>
        </row>
        <row r="31">
          <cell r="A31">
            <v>8001031961</v>
          </cell>
          <cell r="B31">
            <v>9575745</v>
          </cell>
        </row>
        <row r="32">
          <cell r="A32">
            <v>8450000210</v>
          </cell>
          <cell r="B32">
            <v>9017382</v>
          </cell>
        </row>
        <row r="33">
          <cell r="A33">
            <v>8000940678</v>
          </cell>
          <cell r="B33">
            <v>22666318</v>
          </cell>
        </row>
        <row r="34">
          <cell r="A34">
            <v>8999990619</v>
          </cell>
          <cell r="B34">
            <v>3721053169</v>
          </cell>
        </row>
        <row r="35">
          <cell r="A35">
            <v>8901020181</v>
          </cell>
          <cell r="B35">
            <v>0</v>
          </cell>
        </row>
        <row r="36">
          <cell r="A36">
            <v>8904801844</v>
          </cell>
          <cell r="B36">
            <v>0</v>
          </cell>
        </row>
        <row r="37">
          <cell r="A37">
            <v>8917800094</v>
          </cell>
          <cell r="B37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Alexander.cardona@itagui.gov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" Type="http://schemas.openxmlformats.org/officeDocument/2006/relationships/hyperlink" Target="mailto:hacienda@capitanejo-santander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hyperlink" Target="mailto:reciprocashacienda@cundinamar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52" Type="http://schemas.openxmlformats.org/officeDocument/2006/relationships/comments" Target="../comments1.xm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hacienda@lavega-cauca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FF00"/>
  </sheetPr>
  <dimension ref="A1:DH1141"/>
  <sheetViews>
    <sheetView tabSelected="1" zoomScale="98" zoomScaleNormal="98" workbookViewId="0">
      <pane xSplit="4" ySplit="2" topLeftCell="CD1086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CG1117" sqref="CG1117"/>
    </sheetView>
  </sheetViews>
  <sheetFormatPr baseColWidth="10" defaultColWidth="11.42578125" defaultRowHeight="15.75" x14ac:dyDescent="0.25"/>
  <cols>
    <col min="1" max="1" width="13.42578125" style="6" bestFit="1" customWidth="1"/>
    <col min="2" max="2" width="11" style="7" customWidth="1"/>
    <col min="3" max="3" width="11.28515625" style="6" customWidth="1"/>
    <col min="4" max="4" width="30.85546875" style="6" customWidth="1"/>
    <col min="5" max="5" width="43.7109375" style="26" customWidth="1"/>
    <col min="6" max="9" width="24" style="15" customWidth="1"/>
    <col min="10" max="10" width="24" style="19" customWidth="1"/>
    <col min="11" max="12" width="24" style="15" customWidth="1"/>
    <col min="13" max="13" width="24" style="28" customWidth="1"/>
    <col min="14" max="22" width="24" style="6" customWidth="1"/>
    <col min="23" max="23" width="20.140625" style="6" customWidth="1"/>
    <col min="24" max="24" width="23.5703125" style="6" customWidth="1"/>
    <col min="25" max="28" width="20.140625" style="6" customWidth="1"/>
    <col min="29" max="29" width="19.42578125" style="6" customWidth="1"/>
    <col min="30" max="31" width="25.28515625" style="6" customWidth="1"/>
    <col min="32" max="32" width="23.5703125" style="6" customWidth="1"/>
    <col min="33" max="35" width="21.5703125" style="6" customWidth="1"/>
    <col min="36" max="36" width="22.5703125" style="6" customWidth="1"/>
    <col min="37" max="37" width="21.85546875" style="6" customWidth="1"/>
    <col min="38" max="38" width="17" style="6" customWidth="1"/>
    <col min="39" max="39" width="18.28515625" style="6" customWidth="1"/>
    <col min="40" max="40" width="22.28515625" style="6" customWidth="1"/>
    <col min="41" max="41" width="19" style="6" customWidth="1"/>
    <col min="42" max="42" width="18.42578125" style="6" customWidth="1"/>
    <col min="43" max="44" width="16.5703125" style="6" customWidth="1"/>
    <col min="45" max="45" width="19.28515625" style="6" customWidth="1"/>
    <col min="46" max="46" width="20.5703125" style="6" customWidth="1"/>
    <col min="47" max="50" width="22.28515625" style="6" customWidth="1"/>
    <col min="51" max="52" width="21.5703125" style="6" customWidth="1"/>
    <col min="53" max="54" width="22.28515625" style="6" customWidth="1"/>
    <col min="55" max="55" width="24.7109375" style="6" customWidth="1"/>
    <col min="56" max="56" width="19" style="6" customWidth="1"/>
    <col min="57" max="57" width="18.42578125" style="6" customWidth="1"/>
    <col min="58" max="59" width="16.5703125" style="6" customWidth="1"/>
    <col min="60" max="60" width="15.140625" style="6" customWidth="1"/>
    <col min="61" max="61" width="19.5703125" style="6" customWidth="1"/>
    <col min="62" max="62" width="22.28515625" style="6" customWidth="1"/>
    <col min="63" max="63" width="17.85546875" style="6" customWidth="1"/>
    <col min="64" max="64" width="19.7109375" style="6" customWidth="1"/>
    <col min="65" max="65" width="22.28515625" style="6" customWidth="1"/>
    <col min="66" max="66" width="21.5703125" style="6" customWidth="1"/>
    <col min="67" max="67" width="22.28515625" style="6" customWidth="1"/>
    <col min="68" max="68" width="20.7109375" style="6" bestFit="1" customWidth="1"/>
    <col min="69" max="69" width="22" style="6" bestFit="1" customWidth="1"/>
    <col min="70" max="70" width="18.42578125" style="6" customWidth="1"/>
    <col min="71" max="72" width="16.5703125" style="6" customWidth="1"/>
    <col min="73" max="73" width="19" style="6" bestFit="1" customWidth="1"/>
    <col min="74" max="74" width="19.28515625" style="6" customWidth="1"/>
    <col min="75" max="75" width="20.5703125" style="6" customWidth="1"/>
    <col min="76" max="80" width="22.28515625" style="6" customWidth="1"/>
    <col min="81" max="82" width="21.5703125" style="6" customWidth="1"/>
    <col min="83" max="84" width="22.28515625" style="6" customWidth="1"/>
    <col min="85" max="85" width="24.7109375" style="6" customWidth="1"/>
    <col min="86" max="86" width="22.85546875" style="8" bestFit="1" customWidth="1"/>
    <col min="87" max="87" width="17.42578125" style="8" bestFit="1" customWidth="1"/>
    <col min="88" max="88" width="21.5703125" style="6" customWidth="1"/>
    <col min="89" max="89" width="20.85546875" style="6" customWidth="1"/>
    <col min="90" max="91" width="20.140625" style="6" customWidth="1"/>
    <col min="92" max="92" width="19.140625" style="6" customWidth="1"/>
    <col min="93" max="98" width="11.42578125" style="6" customWidth="1"/>
    <col min="99" max="16384" width="11.42578125" style="6"/>
  </cols>
  <sheetData>
    <row r="1" spans="1:96" s="2" customFormat="1" ht="29.25" customHeight="1" x14ac:dyDescent="0.2">
      <c r="A1" s="85" t="s">
        <v>0</v>
      </c>
      <c r="B1" s="92" t="s">
        <v>1003</v>
      </c>
      <c r="C1" s="90" t="s">
        <v>1</v>
      </c>
      <c r="D1" s="85" t="s">
        <v>2</v>
      </c>
      <c r="E1" s="91" t="s">
        <v>3</v>
      </c>
      <c r="F1" s="82" t="s">
        <v>2254</v>
      </c>
      <c r="G1" s="82"/>
      <c r="H1" s="82"/>
      <c r="I1" s="85" t="s">
        <v>2255</v>
      </c>
      <c r="J1" s="85"/>
      <c r="K1" s="85"/>
      <c r="L1" s="85"/>
      <c r="M1" s="86" t="s">
        <v>4</v>
      </c>
      <c r="N1" s="87" t="s">
        <v>2256</v>
      </c>
      <c r="O1" s="87"/>
      <c r="P1" s="87"/>
      <c r="Q1" s="85" t="s">
        <v>2257</v>
      </c>
      <c r="R1" s="85"/>
      <c r="S1" s="85"/>
      <c r="T1" s="85"/>
      <c r="U1" s="82" t="s">
        <v>5</v>
      </c>
      <c r="V1" s="87" t="s">
        <v>2259</v>
      </c>
      <c r="W1" s="87"/>
      <c r="X1" s="87"/>
      <c r="Y1" s="85" t="s">
        <v>2260</v>
      </c>
      <c r="Z1" s="85"/>
      <c r="AA1" s="85"/>
      <c r="AB1" s="85"/>
      <c r="AC1" s="82" t="s">
        <v>5</v>
      </c>
      <c r="AD1" s="87" t="s">
        <v>2263</v>
      </c>
      <c r="AE1" s="87"/>
      <c r="AF1" s="87"/>
      <c r="AG1" s="87"/>
      <c r="AH1" s="96" t="s">
        <v>2266</v>
      </c>
      <c r="AI1" s="97"/>
      <c r="AJ1" s="97"/>
      <c r="AK1" s="97"/>
      <c r="AL1" s="98"/>
      <c r="AM1" s="94" t="s">
        <v>2098</v>
      </c>
      <c r="AN1" s="81" t="s">
        <v>5</v>
      </c>
      <c r="AO1" s="78" t="s">
        <v>2267</v>
      </c>
      <c r="AP1" s="79"/>
      <c r="AQ1" s="79"/>
      <c r="AR1" s="79"/>
      <c r="AS1" s="80"/>
      <c r="AT1" s="78" t="s">
        <v>2268</v>
      </c>
      <c r="AU1" s="79"/>
      <c r="AV1" s="79"/>
      <c r="AW1" s="79"/>
      <c r="AX1" s="79"/>
      <c r="AY1" s="79"/>
      <c r="AZ1" s="80"/>
      <c r="BA1" s="78" t="s">
        <v>2098</v>
      </c>
      <c r="BB1" s="80"/>
      <c r="BC1" s="81" t="s">
        <v>5</v>
      </c>
      <c r="BD1" s="78" t="s">
        <v>2273</v>
      </c>
      <c r="BE1" s="79"/>
      <c r="BF1" s="79"/>
      <c r="BG1" s="79"/>
      <c r="BH1" s="80"/>
      <c r="BI1" s="78" t="s">
        <v>2274</v>
      </c>
      <c r="BJ1" s="79"/>
      <c r="BK1" s="79"/>
      <c r="BL1" s="79"/>
      <c r="BM1" s="79"/>
      <c r="BN1" s="83" t="s">
        <v>2269</v>
      </c>
      <c r="BO1" s="83" t="s">
        <v>2275</v>
      </c>
      <c r="BP1" s="81" t="s">
        <v>2283</v>
      </c>
      <c r="BQ1" s="78" t="s">
        <v>2279</v>
      </c>
      <c r="BR1" s="79"/>
      <c r="BS1" s="79"/>
      <c r="BT1" s="79"/>
      <c r="BU1" s="79"/>
      <c r="BV1" s="80"/>
      <c r="BW1" s="78" t="s">
        <v>2280</v>
      </c>
      <c r="BX1" s="79"/>
      <c r="BY1" s="79"/>
      <c r="BZ1" s="79"/>
      <c r="CA1" s="79"/>
      <c r="CB1" s="79"/>
      <c r="CC1" s="79"/>
      <c r="CD1" s="80"/>
      <c r="CE1" s="78" t="s">
        <v>2098</v>
      </c>
      <c r="CF1" s="80"/>
      <c r="CG1" s="81" t="s">
        <v>2287</v>
      </c>
      <c r="CH1" s="93" t="s">
        <v>2096</v>
      </c>
      <c r="CI1" s="93"/>
      <c r="CJ1" s="93"/>
      <c r="CK1" s="93"/>
    </row>
    <row r="2" spans="1:96" s="2" customFormat="1" ht="48.75" customHeight="1" x14ac:dyDescent="0.2">
      <c r="A2" s="85"/>
      <c r="B2" s="92"/>
      <c r="C2" s="90"/>
      <c r="D2" s="85"/>
      <c r="E2" s="91"/>
      <c r="F2" s="17" t="s">
        <v>6</v>
      </c>
      <c r="G2" s="18" t="s">
        <v>7</v>
      </c>
      <c r="H2" s="18" t="s">
        <v>8</v>
      </c>
      <c r="I2" s="31" t="s">
        <v>6</v>
      </c>
      <c r="J2" s="18" t="s">
        <v>9</v>
      </c>
      <c r="K2" s="18" t="s">
        <v>10</v>
      </c>
      <c r="L2" s="18" t="s">
        <v>8</v>
      </c>
      <c r="M2" s="86"/>
      <c r="N2" s="17" t="s">
        <v>6</v>
      </c>
      <c r="O2" s="18" t="s">
        <v>7</v>
      </c>
      <c r="P2" s="17" t="s">
        <v>2066</v>
      </c>
      <c r="Q2" s="17" t="s">
        <v>6</v>
      </c>
      <c r="R2" s="18" t="s">
        <v>9</v>
      </c>
      <c r="S2" s="18" t="s">
        <v>10</v>
      </c>
      <c r="T2" s="30" t="s">
        <v>2066</v>
      </c>
      <c r="U2" s="82"/>
      <c r="V2" s="32" t="s">
        <v>6</v>
      </c>
      <c r="W2" s="18" t="s">
        <v>7</v>
      </c>
      <c r="X2" s="32" t="s">
        <v>2066</v>
      </c>
      <c r="Y2" s="32" t="s">
        <v>6</v>
      </c>
      <c r="Z2" s="18" t="s">
        <v>9</v>
      </c>
      <c r="AA2" s="18" t="s">
        <v>10</v>
      </c>
      <c r="AB2" s="32" t="s">
        <v>2066</v>
      </c>
      <c r="AC2" s="82"/>
      <c r="AD2" s="34" t="s">
        <v>2264</v>
      </c>
      <c r="AE2" s="34" t="s">
        <v>2265</v>
      </c>
      <c r="AF2" s="18" t="s">
        <v>7</v>
      </c>
      <c r="AG2" s="34" t="s">
        <v>2066</v>
      </c>
      <c r="AH2" s="34" t="s">
        <v>2264</v>
      </c>
      <c r="AI2" s="34" t="s">
        <v>2265</v>
      </c>
      <c r="AJ2" s="18" t="s">
        <v>9</v>
      </c>
      <c r="AK2" s="18" t="s">
        <v>10</v>
      </c>
      <c r="AL2" s="34" t="s">
        <v>2066</v>
      </c>
      <c r="AM2" s="95"/>
      <c r="AN2" s="81"/>
      <c r="AO2" s="36" t="s">
        <v>2264</v>
      </c>
      <c r="AP2" s="36" t="s">
        <v>2265</v>
      </c>
      <c r="AQ2" s="36" t="s">
        <v>7</v>
      </c>
      <c r="AR2" s="37" t="s">
        <v>2066</v>
      </c>
      <c r="AS2" s="36" t="s">
        <v>2270</v>
      </c>
      <c r="AT2" s="36" t="s">
        <v>2264</v>
      </c>
      <c r="AU2" s="36" t="s">
        <v>2265</v>
      </c>
      <c r="AV2" s="36" t="s">
        <v>9</v>
      </c>
      <c r="AW2" s="36" t="s">
        <v>10</v>
      </c>
      <c r="AX2" s="37" t="s">
        <v>2066</v>
      </c>
      <c r="AY2" s="36" t="s">
        <v>2269</v>
      </c>
      <c r="AZ2" s="38" t="s">
        <v>2270</v>
      </c>
      <c r="BA2" s="36" t="s">
        <v>2271</v>
      </c>
      <c r="BB2" s="38" t="s">
        <v>2272</v>
      </c>
      <c r="BC2" s="81"/>
      <c r="BD2" s="40" t="s">
        <v>2264</v>
      </c>
      <c r="BE2" s="40" t="s">
        <v>2265</v>
      </c>
      <c r="BF2" s="40" t="s">
        <v>7</v>
      </c>
      <c r="BG2" s="40" t="s">
        <v>2066</v>
      </c>
      <c r="BH2" s="40" t="s">
        <v>2270</v>
      </c>
      <c r="BI2" s="40" t="s">
        <v>2264</v>
      </c>
      <c r="BJ2" s="40" t="s">
        <v>2265</v>
      </c>
      <c r="BK2" s="40" t="s">
        <v>9</v>
      </c>
      <c r="BL2" s="40" t="s">
        <v>10</v>
      </c>
      <c r="BM2" s="40" t="s">
        <v>2066</v>
      </c>
      <c r="BN2" s="84"/>
      <c r="BO2" s="84"/>
      <c r="BP2" s="81"/>
      <c r="BQ2" s="73" t="s">
        <v>2264</v>
      </c>
      <c r="BR2" s="73" t="s">
        <v>2265</v>
      </c>
      <c r="BS2" s="73" t="s">
        <v>7</v>
      </c>
      <c r="BT2" s="73" t="s">
        <v>2066</v>
      </c>
      <c r="BU2" s="73" t="s">
        <v>2284</v>
      </c>
      <c r="BV2" s="73" t="s">
        <v>2285</v>
      </c>
      <c r="BW2" s="73" t="s">
        <v>2264</v>
      </c>
      <c r="BX2" s="73" t="s">
        <v>2265</v>
      </c>
      <c r="BY2" s="73" t="s">
        <v>2284</v>
      </c>
      <c r="BZ2" s="73" t="s">
        <v>9</v>
      </c>
      <c r="CA2" s="73" t="s">
        <v>10</v>
      </c>
      <c r="CB2" s="73" t="s">
        <v>2066</v>
      </c>
      <c r="CC2" s="73" t="s">
        <v>2269</v>
      </c>
      <c r="CD2" s="73" t="s">
        <v>2286</v>
      </c>
      <c r="CE2" s="73" t="s">
        <v>2281</v>
      </c>
      <c r="CF2" s="73" t="s">
        <v>2282</v>
      </c>
      <c r="CG2" s="81"/>
      <c r="CH2" s="4" t="s">
        <v>2097</v>
      </c>
      <c r="CI2" s="4" t="s">
        <v>2098</v>
      </c>
      <c r="CJ2" s="5" t="s">
        <v>2249</v>
      </c>
      <c r="CK2" s="4" t="s">
        <v>2095</v>
      </c>
    </row>
    <row r="3" spans="1:96" ht="15" customHeight="1" x14ac:dyDescent="0.2">
      <c r="A3" s="1">
        <v>8909811955</v>
      </c>
      <c r="B3" s="1">
        <v>890981195</v>
      </c>
      <c r="C3" s="9">
        <v>210205002</v>
      </c>
      <c r="D3" s="10" t="s">
        <v>43</v>
      </c>
      <c r="E3" s="45" t="s">
        <v>1076</v>
      </c>
      <c r="F3" s="21"/>
      <c r="G3" s="59"/>
      <c r="H3" s="21"/>
      <c r="I3" s="59"/>
      <c r="J3" s="21"/>
      <c r="K3" s="21"/>
      <c r="L3" s="59"/>
      <c r="M3" s="60"/>
      <c r="N3" s="21"/>
      <c r="O3" s="59"/>
      <c r="P3" s="21"/>
      <c r="Q3" s="59"/>
      <c r="R3" s="21"/>
      <c r="S3" s="21"/>
      <c r="T3" s="59"/>
      <c r="U3" s="60">
        <f t="shared" ref="U3:U66" si="0">SUM(M3:T3)</f>
        <v>0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>
        <v>252130017</v>
      </c>
      <c r="AN3" s="60">
        <f>SUM(AC3:AM3)</f>
        <v>252130017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>
        <v>105194050</v>
      </c>
      <c r="AZ3" s="60"/>
      <c r="BA3" s="60"/>
      <c r="BB3" s="60"/>
      <c r="BC3" s="61">
        <f>SUM(AN3:BA3)-BB3</f>
        <v>357324067</v>
      </c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>
        <v>21038810</v>
      </c>
      <c r="BO3" s="60"/>
      <c r="BP3" s="61">
        <v>378362877</v>
      </c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>
        <v>21038810</v>
      </c>
      <c r="CD3" s="61"/>
      <c r="CE3" s="61"/>
      <c r="CF3" s="61"/>
      <c r="CG3" s="61">
        <f>SUM(BP3:CF3)</f>
        <v>399401687</v>
      </c>
      <c r="CH3" s="62">
        <f>VLOOKUP(B3,[1]RPTNCT049_ConsultaSaldosContabl!I$4:K$7987,3,0)</f>
        <v>147271670</v>
      </c>
      <c r="CI3" s="62">
        <f>+AM3+BA3-BB3+BO3+CE3+CF3</f>
        <v>252130017</v>
      </c>
      <c r="CJ3" s="63">
        <f>+CH3+CI3</f>
        <v>399401687</v>
      </c>
      <c r="CK3" s="64">
        <f>+CG3-CJ3</f>
        <v>0</v>
      </c>
      <c r="CL3" s="16"/>
      <c r="CM3" s="16"/>
      <c r="CN3" s="16"/>
    </row>
    <row r="4" spans="1:96" ht="15" customHeight="1" x14ac:dyDescent="0.2">
      <c r="A4" s="1">
        <v>8905046120</v>
      </c>
      <c r="B4" s="1">
        <v>890504612</v>
      </c>
      <c r="C4" s="9">
        <v>210354003</v>
      </c>
      <c r="D4" s="10" t="s">
        <v>751</v>
      </c>
      <c r="E4" s="45" t="s">
        <v>1771</v>
      </c>
      <c r="F4" s="21"/>
      <c r="G4" s="59"/>
      <c r="H4" s="21"/>
      <c r="I4" s="59"/>
      <c r="J4" s="21"/>
      <c r="K4" s="21"/>
      <c r="L4" s="59"/>
      <c r="M4" s="60"/>
      <c r="N4" s="21"/>
      <c r="O4" s="59"/>
      <c r="P4" s="21"/>
      <c r="Q4" s="59"/>
      <c r="R4" s="21"/>
      <c r="S4" s="21"/>
      <c r="T4" s="59"/>
      <c r="U4" s="60">
        <f t="shared" si="0"/>
        <v>0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>
        <v>88161029</v>
      </c>
      <c r="AN4" s="60">
        <f t="shared" ref="AN4:AN56" si="1">SUM(AC4:AM4)</f>
        <v>88161029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>
        <v>265996980</v>
      </c>
      <c r="AZ4" s="60"/>
      <c r="BA4" s="60">
        <f>VLOOKUP(B4,[2]Hoja3!J$3:K$674,2,0)</f>
        <v>333954754</v>
      </c>
      <c r="BB4" s="60"/>
      <c r="BC4" s="61">
        <f t="shared" ref="BC4:BC67" si="2">SUM(AN4:BA4)-BB4</f>
        <v>688112763</v>
      </c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>
        <v>53199396</v>
      </c>
      <c r="BO4" s="60"/>
      <c r="BP4" s="61">
        <v>741312159</v>
      </c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>
        <v>53199396</v>
      </c>
      <c r="CD4" s="61"/>
      <c r="CE4" s="61"/>
      <c r="CF4" s="61"/>
      <c r="CG4" s="61">
        <f t="shared" ref="CG4:CG67" si="3">SUM(BP4:CF4)</f>
        <v>794511555</v>
      </c>
      <c r="CH4" s="62">
        <f>VLOOKUP(B4,[1]RPTNCT049_ConsultaSaldosContabl!I$4:K$7987,3,0)</f>
        <v>372395772</v>
      </c>
      <c r="CI4" s="62">
        <f t="shared" ref="CI4:CI67" si="4">+AM4+BA4-BB4+BO4+CE4+CF4</f>
        <v>422115783</v>
      </c>
      <c r="CJ4" s="63">
        <f t="shared" ref="CJ4:CJ67" si="5">+CH4+CI4</f>
        <v>794511555</v>
      </c>
      <c r="CK4" s="64">
        <f t="shared" ref="CK4:CK67" si="6">+CG4-CJ4</f>
        <v>0</v>
      </c>
      <c r="CL4" s="16"/>
      <c r="CM4" s="16"/>
      <c r="CN4" s="16"/>
    </row>
    <row r="5" spans="1:96" ht="15" customHeight="1" x14ac:dyDescent="0.2">
      <c r="A5" s="1">
        <v>8909812511</v>
      </c>
      <c r="B5" s="1">
        <v>890981251</v>
      </c>
      <c r="C5" s="9">
        <v>210405004</v>
      </c>
      <c r="D5" s="10" t="s">
        <v>44</v>
      </c>
      <c r="E5" s="45" t="s">
        <v>1077</v>
      </c>
      <c r="F5" s="21"/>
      <c r="G5" s="59"/>
      <c r="H5" s="21"/>
      <c r="I5" s="59"/>
      <c r="J5" s="21"/>
      <c r="K5" s="21"/>
      <c r="L5" s="59"/>
      <c r="M5" s="60"/>
      <c r="N5" s="21"/>
      <c r="O5" s="59"/>
      <c r="P5" s="21"/>
      <c r="Q5" s="59"/>
      <c r="R5" s="21"/>
      <c r="S5" s="21"/>
      <c r="T5" s="59"/>
      <c r="U5" s="60">
        <f t="shared" si="0"/>
        <v>0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>
        <v>29758392</v>
      </c>
      <c r="AN5" s="60">
        <f t="shared" si="1"/>
        <v>29758392</v>
      </c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>
        <v>13969445</v>
      </c>
      <c r="AZ5" s="60"/>
      <c r="BA5" s="60"/>
      <c r="BB5" s="60"/>
      <c r="BC5" s="61">
        <f t="shared" si="2"/>
        <v>43727837</v>
      </c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>
        <v>2793889</v>
      </c>
      <c r="BO5" s="60"/>
      <c r="BP5" s="61">
        <v>46521726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>
        <v>2793889</v>
      </c>
      <c r="CD5" s="61"/>
      <c r="CE5" s="61"/>
      <c r="CF5" s="61"/>
      <c r="CG5" s="61">
        <f t="shared" si="3"/>
        <v>49315615</v>
      </c>
      <c r="CH5" s="62">
        <f>VLOOKUP(B5,[1]RPTNCT049_ConsultaSaldosContabl!I$4:K$7987,3,0)</f>
        <v>19557223</v>
      </c>
      <c r="CI5" s="62">
        <f t="shared" si="4"/>
        <v>29758392</v>
      </c>
      <c r="CJ5" s="63">
        <f t="shared" si="5"/>
        <v>49315615</v>
      </c>
      <c r="CK5" s="64">
        <f t="shared" si="6"/>
        <v>0</v>
      </c>
      <c r="CL5" s="16"/>
      <c r="CM5" s="16"/>
      <c r="CN5" s="16"/>
    </row>
    <row r="6" spans="1:96" ht="15" customHeight="1" x14ac:dyDescent="0.2">
      <c r="A6" s="1">
        <v>8920014573</v>
      </c>
      <c r="B6" s="1">
        <v>892001457</v>
      </c>
      <c r="C6" s="9">
        <v>210650006</v>
      </c>
      <c r="D6" s="10" t="s">
        <v>666</v>
      </c>
      <c r="E6" s="45" t="s">
        <v>1686</v>
      </c>
      <c r="F6" s="21"/>
      <c r="G6" s="59"/>
      <c r="H6" s="21"/>
      <c r="I6" s="59"/>
      <c r="J6" s="21"/>
      <c r="K6" s="21"/>
      <c r="L6" s="59"/>
      <c r="M6" s="60"/>
      <c r="N6" s="21"/>
      <c r="O6" s="59"/>
      <c r="P6" s="21"/>
      <c r="Q6" s="59"/>
      <c r="R6" s="21"/>
      <c r="S6" s="21"/>
      <c r="T6" s="59"/>
      <c r="U6" s="60">
        <f t="shared" si="0"/>
        <v>0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>
        <v>1070689589</v>
      </c>
      <c r="AN6" s="60">
        <f t="shared" si="1"/>
        <v>1070689589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>
        <v>423302020</v>
      </c>
      <c r="AZ6" s="60"/>
      <c r="BA6" s="60"/>
      <c r="BB6" s="60"/>
      <c r="BC6" s="61">
        <f t="shared" si="2"/>
        <v>1493991609</v>
      </c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>
        <v>84660404</v>
      </c>
      <c r="BO6" s="60"/>
      <c r="BP6" s="61">
        <v>1578652013</v>
      </c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>
        <v>84660404</v>
      </c>
      <c r="CD6" s="61"/>
      <c r="CE6" s="61"/>
      <c r="CF6" s="61"/>
      <c r="CG6" s="61">
        <f t="shared" si="3"/>
        <v>1663312417</v>
      </c>
      <c r="CH6" s="62">
        <f>VLOOKUP(B6,[1]RPTNCT049_ConsultaSaldosContabl!I$4:K$7987,3,0)</f>
        <v>592622828</v>
      </c>
      <c r="CI6" s="62">
        <f t="shared" si="4"/>
        <v>1070689589</v>
      </c>
      <c r="CJ6" s="63">
        <f t="shared" si="5"/>
        <v>1663312417</v>
      </c>
      <c r="CK6" s="64">
        <f t="shared" si="6"/>
        <v>0</v>
      </c>
      <c r="CL6" s="16"/>
      <c r="CM6" s="16"/>
      <c r="CN6" s="16"/>
    </row>
    <row r="7" spans="1:96" ht="15" customHeight="1" x14ac:dyDescent="0.2">
      <c r="A7" s="1">
        <v>8916800508</v>
      </c>
      <c r="B7" s="1">
        <v>891680050</v>
      </c>
      <c r="C7" s="9">
        <v>210627006</v>
      </c>
      <c r="D7" s="10" t="s">
        <v>568</v>
      </c>
      <c r="E7" s="45" t="s">
        <v>1587</v>
      </c>
      <c r="F7" s="21"/>
      <c r="G7" s="59"/>
      <c r="H7" s="21"/>
      <c r="I7" s="59"/>
      <c r="J7" s="21"/>
      <c r="K7" s="21"/>
      <c r="L7" s="59"/>
      <c r="M7" s="60"/>
      <c r="N7" s="21"/>
      <c r="O7" s="59"/>
      <c r="P7" s="21"/>
      <c r="Q7" s="59"/>
      <c r="R7" s="21"/>
      <c r="S7" s="21"/>
      <c r="T7" s="59"/>
      <c r="U7" s="60">
        <f t="shared" si="0"/>
        <v>0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>
        <v>253745292</v>
      </c>
      <c r="AN7" s="60">
        <f t="shared" si="1"/>
        <v>253745292</v>
      </c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>
        <v>114043975</v>
      </c>
      <c r="AZ7" s="60"/>
      <c r="BA7" s="60"/>
      <c r="BB7" s="60"/>
      <c r="BC7" s="61">
        <f t="shared" si="2"/>
        <v>367789267</v>
      </c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>
        <v>22808795</v>
      </c>
      <c r="BO7" s="60"/>
      <c r="BP7" s="61">
        <v>390598062</v>
      </c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>
        <v>22808795</v>
      </c>
      <c r="CD7" s="61"/>
      <c r="CE7" s="61"/>
      <c r="CF7" s="61"/>
      <c r="CG7" s="61">
        <f t="shared" si="3"/>
        <v>413406857</v>
      </c>
      <c r="CH7" s="62">
        <f>VLOOKUP(B7,[1]RPTNCT049_ConsultaSaldosContabl!I$4:K$7987,3,0)</f>
        <v>159661565</v>
      </c>
      <c r="CI7" s="62">
        <f t="shared" si="4"/>
        <v>253745292</v>
      </c>
      <c r="CJ7" s="63">
        <f t="shared" si="5"/>
        <v>413406857</v>
      </c>
      <c r="CK7" s="64">
        <f t="shared" si="6"/>
        <v>0</v>
      </c>
      <c r="CL7" s="16"/>
      <c r="CM7" s="16"/>
      <c r="CN7" s="16"/>
    </row>
    <row r="8" spans="1:96" ht="15" customHeight="1" x14ac:dyDescent="0.2">
      <c r="A8" s="1">
        <v>8911800691</v>
      </c>
      <c r="B8" s="1">
        <v>891180069</v>
      </c>
      <c r="C8" s="9">
        <v>210641006</v>
      </c>
      <c r="D8" s="10" t="s">
        <v>593</v>
      </c>
      <c r="E8" s="45" t="s">
        <v>1614</v>
      </c>
      <c r="F8" s="21"/>
      <c r="G8" s="59"/>
      <c r="H8" s="21"/>
      <c r="I8" s="59"/>
      <c r="J8" s="21"/>
      <c r="K8" s="21"/>
      <c r="L8" s="59"/>
      <c r="M8" s="60"/>
      <c r="N8" s="21"/>
      <c r="O8" s="59"/>
      <c r="P8" s="21"/>
      <c r="Q8" s="59"/>
      <c r="R8" s="21"/>
      <c r="S8" s="21"/>
      <c r="T8" s="59"/>
      <c r="U8" s="60">
        <f t="shared" si="0"/>
        <v>0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>
        <v>39915138</v>
      </c>
      <c r="AN8" s="60">
        <f t="shared" si="1"/>
        <v>39915138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>
        <v>347609505</v>
      </c>
      <c r="AZ8" s="60"/>
      <c r="BA8" s="60">
        <f>VLOOKUP(B8,[2]Hoja3!J$3:K$674,2,0)</f>
        <v>552179728</v>
      </c>
      <c r="BB8" s="60"/>
      <c r="BC8" s="61">
        <f t="shared" si="2"/>
        <v>939704371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>
        <v>69521901</v>
      </c>
      <c r="BO8" s="60"/>
      <c r="BP8" s="61">
        <v>1009226272</v>
      </c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>
        <v>69521901</v>
      </c>
      <c r="CD8" s="61"/>
      <c r="CE8" s="61"/>
      <c r="CF8" s="61"/>
      <c r="CG8" s="61">
        <f t="shared" si="3"/>
        <v>1078748173</v>
      </c>
      <c r="CH8" s="62">
        <f>VLOOKUP(B8,[1]RPTNCT049_ConsultaSaldosContabl!I$4:K$7987,3,0)</f>
        <v>486653307</v>
      </c>
      <c r="CI8" s="62">
        <f t="shared" si="4"/>
        <v>592094866</v>
      </c>
      <c r="CJ8" s="63">
        <f t="shared" si="5"/>
        <v>1078748173</v>
      </c>
      <c r="CK8" s="64">
        <f t="shared" si="6"/>
        <v>0</v>
      </c>
      <c r="CL8" s="16"/>
      <c r="CM8" s="16"/>
      <c r="CN8" s="16"/>
    </row>
    <row r="9" spans="1:96" ht="15" customHeight="1" x14ac:dyDescent="0.2">
      <c r="A9" s="1">
        <v>8000373711</v>
      </c>
      <c r="B9" s="1">
        <v>800037371</v>
      </c>
      <c r="C9" s="9">
        <v>210613006</v>
      </c>
      <c r="D9" s="10" t="s">
        <v>181</v>
      </c>
      <c r="E9" s="45" t="s">
        <v>1210</v>
      </c>
      <c r="F9" s="21"/>
      <c r="G9" s="59"/>
      <c r="H9" s="21"/>
      <c r="I9" s="59"/>
      <c r="J9" s="21"/>
      <c r="K9" s="21"/>
      <c r="L9" s="59"/>
      <c r="M9" s="60"/>
      <c r="N9" s="21"/>
      <c r="O9" s="59"/>
      <c r="P9" s="21"/>
      <c r="Q9" s="59"/>
      <c r="R9" s="21"/>
      <c r="S9" s="21"/>
      <c r="T9" s="59"/>
      <c r="U9" s="60">
        <f t="shared" si="0"/>
        <v>0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>
        <v>140244028</v>
      </c>
      <c r="AN9" s="60">
        <f t="shared" si="1"/>
        <v>140244028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>
        <f>VLOOKUP(B9,[2]Hoja3!J$3:K$674,2,0)</f>
        <v>388190337</v>
      </c>
      <c r="BB9" s="60"/>
      <c r="BC9" s="61">
        <f t="shared" si="2"/>
        <v>528434365</v>
      </c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>
        <v>0</v>
      </c>
      <c r="BO9" s="60"/>
      <c r="BP9" s="61">
        <v>528434365</v>
      </c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>
        <v>525042595</v>
      </c>
      <c r="CD9" s="61"/>
      <c r="CE9" s="61"/>
      <c r="CF9" s="61"/>
      <c r="CG9" s="61">
        <f t="shared" si="3"/>
        <v>1053476960</v>
      </c>
      <c r="CH9" s="62">
        <f>VLOOKUP(B9,[1]RPTNCT049_ConsultaSaldosContabl!I$4:K$7987,3,0)</f>
        <v>525042595</v>
      </c>
      <c r="CI9" s="62">
        <f t="shared" si="4"/>
        <v>528434365</v>
      </c>
      <c r="CJ9" s="63">
        <f t="shared" si="5"/>
        <v>1053476960</v>
      </c>
      <c r="CK9" s="64">
        <f t="shared" si="6"/>
        <v>0</v>
      </c>
      <c r="CL9" s="16"/>
      <c r="CM9" s="16"/>
      <c r="CN9" s="8"/>
      <c r="CO9" s="8"/>
      <c r="CP9" s="8"/>
      <c r="CQ9" s="8"/>
      <c r="CR9" s="8"/>
    </row>
    <row r="10" spans="1:96" ht="15" customHeight="1" x14ac:dyDescent="0.2">
      <c r="A10" s="1">
        <v>8911801399</v>
      </c>
      <c r="B10" s="1">
        <v>891180139</v>
      </c>
      <c r="C10" s="9">
        <v>211341013</v>
      </c>
      <c r="D10" s="10" t="s">
        <v>594</v>
      </c>
      <c r="E10" s="45" t="s">
        <v>1615</v>
      </c>
      <c r="F10" s="21"/>
      <c r="G10" s="59"/>
      <c r="H10" s="21"/>
      <c r="I10" s="59"/>
      <c r="J10" s="21"/>
      <c r="K10" s="21"/>
      <c r="L10" s="59"/>
      <c r="M10" s="60"/>
      <c r="N10" s="21"/>
      <c r="O10" s="59"/>
      <c r="P10" s="21"/>
      <c r="Q10" s="59"/>
      <c r="R10" s="21"/>
      <c r="S10" s="21"/>
      <c r="T10" s="59"/>
      <c r="U10" s="60">
        <f t="shared" si="0"/>
        <v>0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>
        <f t="shared" si="1"/>
        <v>0</v>
      </c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f>VLOOKUP(B10,[2]Hoja3!J$3:K$674,2,0)</f>
        <v>160601269</v>
      </c>
      <c r="BB10" s="60"/>
      <c r="BC10" s="61">
        <f t="shared" si="2"/>
        <v>160601269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>
        <v>0</v>
      </c>
      <c r="BO10" s="60"/>
      <c r="BP10" s="61">
        <v>160601269</v>
      </c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>
        <v>0</v>
      </c>
      <c r="CD10" s="61"/>
      <c r="CE10" s="61"/>
      <c r="CF10" s="61"/>
      <c r="CG10" s="61">
        <f t="shared" si="3"/>
        <v>160601269</v>
      </c>
      <c r="CH10" s="62"/>
      <c r="CI10" s="62">
        <f t="shared" si="4"/>
        <v>160601269</v>
      </c>
      <c r="CJ10" s="63">
        <f t="shared" si="5"/>
        <v>160601269</v>
      </c>
      <c r="CK10" s="64">
        <f t="shared" si="6"/>
        <v>0</v>
      </c>
      <c r="CL10" s="16"/>
      <c r="CM10" s="16"/>
      <c r="CN10" s="16"/>
    </row>
    <row r="11" spans="1:96" ht="15" customHeight="1" x14ac:dyDescent="0.2">
      <c r="A11" s="1">
        <v>8906801494</v>
      </c>
      <c r="B11" s="1">
        <v>890680149</v>
      </c>
      <c r="C11" s="9">
        <v>210125001</v>
      </c>
      <c r="D11" s="10" t="s">
        <v>460</v>
      </c>
      <c r="E11" s="45" t="s">
        <v>1487</v>
      </c>
      <c r="F11" s="21"/>
      <c r="G11" s="59"/>
      <c r="H11" s="21"/>
      <c r="I11" s="59"/>
      <c r="J11" s="21"/>
      <c r="K11" s="21"/>
      <c r="L11" s="59"/>
      <c r="M11" s="60"/>
      <c r="N11" s="21"/>
      <c r="O11" s="59"/>
      <c r="P11" s="21"/>
      <c r="Q11" s="59"/>
      <c r="R11" s="21"/>
      <c r="S11" s="21"/>
      <c r="T11" s="59"/>
      <c r="U11" s="60">
        <f t="shared" si="0"/>
        <v>0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>
        <f t="shared" si="1"/>
        <v>0</v>
      </c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>
        <v>67018435</v>
      </c>
      <c r="AZ11" s="60"/>
      <c r="BA11" s="60"/>
      <c r="BB11" s="60"/>
      <c r="BC11" s="61">
        <f t="shared" si="2"/>
        <v>67018435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>
        <v>13403687</v>
      </c>
      <c r="BO11" s="60"/>
      <c r="BP11" s="61">
        <v>80422122</v>
      </c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>
        <v>13403687</v>
      </c>
      <c r="CD11" s="61"/>
      <c r="CE11" s="61"/>
      <c r="CF11" s="61"/>
      <c r="CG11" s="61">
        <f t="shared" si="3"/>
        <v>93825809</v>
      </c>
      <c r="CH11" s="62">
        <f>VLOOKUP(B11,[1]RPTNCT049_ConsultaSaldosContabl!I$4:K$7987,3,0)</f>
        <v>93825809</v>
      </c>
      <c r="CI11" s="62">
        <f t="shared" si="4"/>
        <v>0</v>
      </c>
      <c r="CJ11" s="63">
        <f t="shared" si="5"/>
        <v>93825809</v>
      </c>
      <c r="CK11" s="64">
        <f t="shared" si="6"/>
        <v>0</v>
      </c>
      <c r="CL11" s="16"/>
      <c r="CM11" s="16"/>
      <c r="CN11" s="8"/>
      <c r="CO11" s="8"/>
      <c r="CP11" s="8"/>
      <c r="CQ11" s="8"/>
      <c r="CR11" s="8"/>
    </row>
    <row r="12" spans="1:96" ht="15" customHeight="1" x14ac:dyDescent="0.2">
      <c r="A12" s="1">
        <v>8000965614</v>
      </c>
      <c r="B12" s="1">
        <v>800096561</v>
      </c>
      <c r="C12" s="9">
        <v>211120011</v>
      </c>
      <c r="D12" s="10" t="s">
        <v>413</v>
      </c>
      <c r="E12" s="45" t="s">
        <v>1441</v>
      </c>
      <c r="F12" s="21"/>
      <c r="G12" s="59"/>
      <c r="H12" s="21"/>
      <c r="I12" s="59"/>
      <c r="J12" s="21"/>
      <c r="K12" s="21"/>
      <c r="L12" s="59"/>
      <c r="M12" s="60"/>
      <c r="N12" s="21"/>
      <c r="O12" s="59"/>
      <c r="P12" s="21"/>
      <c r="Q12" s="59"/>
      <c r="R12" s="21"/>
      <c r="S12" s="21"/>
      <c r="T12" s="59"/>
      <c r="U12" s="60">
        <f t="shared" si="0"/>
        <v>0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>
        <v>486427452</v>
      </c>
      <c r="AN12" s="60">
        <f t="shared" si="1"/>
        <v>486427452</v>
      </c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>
        <v>757350000</v>
      </c>
      <c r="AZ12" s="60"/>
      <c r="BA12" s="60">
        <f>VLOOKUP(B12,[2]Hoja3!J$3:K$674,2,0)</f>
        <v>868492321</v>
      </c>
      <c r="BB12" s="60"/>
      <c r="BC12" s="61">
        <f t="shared" si="2"/>
        <v>2112269773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>
        <v>151470000</v>
      </c>
      <c r="BO12" s="60"/>
      <c r="BP12" s="61">
        <v>2263739773</v>
      </c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>
        <v>151470000</v>
      </c>
      <c r="CD12" s="61"/>
      <c r="CE12" s="61"/>
      <c r="CF12" s="61"/>
      <c r="CG12" s="61">
        <f t="shared" si="3"/>
        <v>2415209773</v>
      </c>
      <c r="CH12" s="62">
        <f>VLOOKUP(B12,[1]RPTNCT049_ConsultaSaldosContabl!I$4:K$7987,3,0)</f>
        <v>1060290000</v>
      </c>
      <c r="CI12" s="62">
        <f t="shared" si="4"/>
        <v>1354919773</v>
      </c>
      <c r="CJ12" s="63">
        <f t="shared" si="5"/>
        <v>2415209773</v>
      </c>
      <c r="CK12" s="64">
        <f t="shared" si="6"/>
        <v>0</v>
      </c>
      <c r="CL12" s="16"/>
      <c r="CM12" s="16"/>
      <c r="CN12" s="16"/>
    </row>
    <row r="13" spans="1:96" ht="15" customHeight="1" x14ac:dyDescent="0.2">
      <c r="A13" s="1">
        <v>8902109281</v>
      </c>
      <c r="B13" s="1">
        <v>890210928</v>
      </c>
      <c r="C13" s="9">
        <v>211368013</v>
      </c>
      <c r="D13" s="10" t="s">
        <v>812</v>
      </c>
      <c r="E13" s="45" t="s">
        <v>1829</v>
      </c>
      <c r="F13" s="21"/>
      <c r="G13" s="59"/>
      <c r="H13" s="21"/>
      <c r="I13" s="59"/>
      <c r="J13" s="21"/>
      <c r="K13" s="21"/>
      <c r="L13" s="59"/>
      <c r="M13" s="60"/>
      <c r="N13" s="21"/>
      <c r="O13" s="59"/>
      <c r="P13" s="21"/>
      <c r="Q13" s="59"/>
      <c r="R13" s="21"/>
      <c r="S13" s="21"/>
      <c r="T13" s="59"/>
      <c r="U13" s="60">
        <f t="shared" si="0"/>
        <v>0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>
        <v>19292796</v>
      </c>
      <c r="AN13" s="60">
        <f t="shared" si="1"/>
        <v>19292796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>
        <f t="shared" si="2"/>
        <v>19292796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>
        <v>0</v>
      </c>
      <c r="BO13" s="60"/>
      <c r="BP13" s="61">
        <v>19292796</v>
      </c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>
        <v>0</v>
      </c>
      <c r="CD13" s="61"/>
      <c r="CE13" s="61"/>
      <c r="CF13" s="61"/>
      <c r="CG13" s="61">
        <f t="shared" si="3"/>
        <v>19292796</v>
      </c>
      <c r="CH13" s="62"/>
      <c r="CI13" s="62">
        <f t="shared" si="4"/>
        <v>19292796</v>
      </c>
      <c r="CJ13" s="63">
        <f t="shared" si="5"/>
        <v>19292796</v>
      </c>
      <c r="CK13" s="64">
        <f t="shared" si="6"/>
        <v>0</v>
      </c>
      <c r="CL13" s="16"/>
      <c r="CM13" s="16"/>
      <c r="CN13" s="16"/>
    </row>
    <row r="14" spans="1:96" ht="15" customHeight="1" x14ac:dyDescent="0.2">
      <c r="A14" s="1">
        <v>8908011320</v>
      </c>
      <c r="B14" s="1">
        <v>890801132</v>
      </c>
      <c r="C14" s="9">
        <v>211317013</v>
      </c>
      <c r="D14" s="10" t="s">
        <v>336</v>
      </c>
      <c r="E14" s="45" t="s">
        <v>1367</v>
      </c>
      <c r="F14" s="21"/>
      <c r="G14" s="59"/>
      <c r="H14" s="21"/>
      <c r="I14" s="59"/>
      <c r="J14" s="21"/>
      <c r="K14" s="21"/>
      <c r="L14" s="59"/>
      <c r="M14" s="60"/>
      <c r="N14" s="21"/>
      <c r="O14" s="59"/>
      <c r="P14" s="21"/>
      <c r="Q14" s="59"/>
      <c r="R14" s="21"/>
      <c r="S14" s="21"/>
      <c r="T14" s="59"/>
      <c r="U14" s="60">
        <f t="shared" si="0"/>
        <v>0</v>
      </c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>
        <v>315048858</v>
      </c>
      <c r="AN14" s="60">
        <f t="shared" si="1"/>
        <v>315048858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>
        <v>161721530</v>
      </c>
      <c r="AZ14" s="60"/>
      <c r="BA14" s="60"/>
      <c r="BB14" s="60"/>
      <c r="BC14" s="61">
        <f t="shared" si="2"/>
        <v>476770388</v>
      </c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>
        <v>32344306</v>
      </c>
      <c r="BO14" s="60"/>
      <c r="BP14" s="61">
        <v>509114694</v>
      </c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>
        <v>32344306</v>
      </c>
      <c r="CD14" s="61"/>
      <c r="CE14" s="61"/>
      <c r="CF14" s="61"/>
      <c r="CG14" s="61">
        <f t="shared" si="3"/>
        <v>541459000</v>
      </c>
      <c r="CH14" s="62">
        <f>VLOOKUP(B14,[1]RPTNCT049_ConsultaSaldosContabl!I$4:K$7987,3,0)</f>
        <v>226410142</v>
      </c>
      <c r="CI14" s="62">
        <f t="shared" si="4"/>
        <v>315048858</v>
      </c>
      <c r="CJ14" s="63">
        <f t="shared" si="5"/>
        <v>541459000</v>
      </c>
      <c r="CK14" s="64">
        <f t="shared" si="6"/>
        <v>0</v>
      </c>
      <c r="CL14" s="16"/>
      <c r="CM14" s="16"/>
      <c r="CN14" s="16"/>
    </row>
    <row r="15" spans="1:96" ht="15" customHeight="1" x14ac:dyDescent="0.2">
      <c r="A15" s="1">
        <v>8918552009</v>
      </c>
      <c r="B15" s="1">
        <v>891855200</v>
      </c>
      <c r="C15" s="9">
        <v>211085010</v>
      </c>
      <c r="D15" s="10" t="s">
        <v>956</v>
      </c>
      <c r="E15" s="45" t="s">
        <v>2016</v>
      </c>
      <c r="F15" s="21"/>
      <c r="G15" s="59"/>
      <c r="H15" s="21"/>
      <c r="I15" s="59"/>
      <c r="J15" s="21"/>
      <c r="K15" s="21"/>
      <c r="L15" s="59"/>
      <c r="M15" s="60"/>
      <c r="N15" s="21"/>
      <c r="O15" s="59"/>
      <c r="P15" s="21"/>
      <c r="Q15" s="59"/>
      <c r="R15" s="21"/>
      <c r="S15" s="21"/>
      <c r="T15" s="59"/>
      <c r="U15" s="60">
        <f t="shared" si="0"/>
        <v>0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>
        <v>552814024</v>
      </c>
      <c r="AN15" s="60">
        <f t="shared" si="1"/>
        <v>552814024</v>
      </c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>
        <v>235416770</v>
      </c>
      <c r="AZ15" s="60"/>
      <c r="BA15" s="60"/>
      <c r="BB15" s="60"/>
      <c r="BC15" s="61">
        <f t="shared" si="2"/>
        <v>788230794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>
        <v>47083354</v>
      </c>
      <c r="BO15" s="60"/>
      <c r="BP15" s="61">
        <v>835314148</v>
      </c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>
        <v>47083354</v>
      </c>
      <c r="CD15" s="61"/>
      <c r="CE15" s="61"/>
      <c r="CF15" s="61"/>
      <c r="CG15" s="61">
        <f t="shared" si="3"/>
        <v>882397502</v>
      </c>
      <c r="CH15" s="62">
        <f>VLOOKUP(B15,[1]RPTNCT049_ConsultaSaldosContabl!I$4:K$7987,3,0)</f>
        <v>329583478</v>
      </c>
      <c r="CI15" s="62">
        <f t="shared" si="4"/>
        <v>552814024</v>
      </c>
      <c r="CJ15" s="63">
        <f t="shared" si="5"/>
        <v>882397502</v>
      </c>
      <c r="CK15" s="64">
        <f t="shared" si="6"/>
        <v>0</v>
      </c>
      <c r="CL15" s="16"/>
      <c r="CM15" s="16"/>
      <c r="CN15" s="16"/>
    </row>
    <row r="16" spans="1:96" ht="15" customHeight="1" x14ac:dyDescent="0.2">
      <c r="A16" s="1">
        <v>8000965581</v>
      </c>
      <c r="B16" s="1">
        <v>800096558</v>
      </c>
      <c r="C16" s="9">
        <v>211320013</v>
      </c>
      <c r="D16" s="10" t="s">
        <v>414</v>
      </c>
      <c r="E16" s="45" t="s">
        <v>1442</v>
      </c>
      <c r="F16" s="21"/>
      <c r="G16" s="59"/>
      <c r="H16" s="21"/>
      <c r="I16" s="59"/>
      <c r="J16" s="21"/>
      <c r="K16" s="21"/>
      <c r="L16" s="59"/>
      <c r="M16" s="60"/>
      <c r="N16" s="21"/>
      <c r="O16" s="59"/>
      <c r="P16" s="21"/>
      <c r="Q16" s="59"/>
      <c r="R16" s="21"/>
      <c r="S16" s="21"/>
      <c r="T16" s="59"/>
      <c r="U16" s="60">
        <f t="shared" si="0"/>
        <v>0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>
        <v>139096491</v>
      </c>
      <c r="AN16" s="60">
        <f t="shared" si="1"/>
        <v>139096491</v>
      </c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>
        <v>554512040</v>
      </c>
      <c r="AZ16" s="60"/>
      <c r="BA16" s="60">
        <f>VLOOKUP(B16,[2]Hoja3!J$3:K$674,2,0)</f>
        <v>827423507</v>
      </c>
      <c r="BB16" s="60"/>
      <c r="BC16" s="61">
        <f t="shared" si="2"/>
        <v>1521032038</v>
      </c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>
        <v>110902408</v>
      </c>
      <c r="BO16" s="60"/>
      <c r="BP16" s="61">
        <v>1631934446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>
        <v>110902408</v>
      </c>
      <c r="CD16" s="61"/>
      <c r="CE16" s="61"/>
      <c r="CF16" s="61"/>
      <c r="CG16" s="61">
        <f t="shared" si="3"/>
        <v>1742836854</v>
      </c>
      <c r="CH16" s="62">
        <f>VLOOKUP(B16,[1]RPTNCT049_ConsultaSaldosContabl!I$4:K$7987,3,0)</f>
        <v>776316856</v>
      </c>
      <c r="CI16" s="62">
        <f t="shared" si="4"/>
        <v>966519998</v>
      </c>
      <c r="CJ16" s="63">
        <f t="shared" si="5"/>
        <v>1742836854</v>
      </c>
      <c r="CK16" s="64">
        <f t="shared" si="6"/>
        <v>0</v>
      </c>
      <c r="CL16" s="16"/>
      <c r="CM16" s="16"/>
      <c r="CN16" s="16"/>
    </row>
    <row r="17" spans="1:96" ht="15" customHeight="1" x14ac:dyDescent="0.2">
      <c r="A17" s="1">
        <v>8911800701</v>
      </c>
      <c r="B17" s="1">
        <v>891180070</v>
      </c>
      <c r="C17" s="9">
        <v>211641016</v>
      </c>
      <c r="D17" s="10" t="s">
        <v>595</v>
      </c>
      <c r="E17" s="45" t="s">
        <v>1616</v>
      </c>
      <c r="F17" s="21"/>
      <c r="G17" s="59"/>
      <c r="H17" s="21"/>
      <c r="I17" s="59"/>
      <c r="J17" s="21"/>
      <c r="K17" s="21"/>
      <c r="L17" s="59"/>
      <c r="M17" s="60"/>
      <c r="N17" s="21"/>
      <c r="O17" s="59"/>
      <c r="P17" s="21"/>
      <c r="Q17" s="59"/>
      <c r="R17" s="21"/>
      <c r="S17" s="21"/>
      <c r="T17" s="59"/>
      <c r="U17" s="60">
        <f t="shared" si="0"/>
        <v>0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>
        <v>65203896</v>
      </c>
      <c r="AN17" s="60">
        <f t="shared" si="1"/>
        <v>65203896</v>
      </c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>
        <v>123885245</v>
      </c>
      <c r="AZ17" s="60"/>
      <c r="BA17" s="60">
        <f>VLOOKUP(B17,[2]Hoja3!J$3:K$674,2,0)</f>
        <v>197075971</v>
      </c>
      <c r="BB17" s="60"/>
      <c r="BC17" s="61">
        <f t="shared" si="2"/>
        <v>386165112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>
        <v>24777049</v>
      </c>
      <c r="BO17" s="60"/>
      <c r="BP17" s="61">
        <v>410942161</v>
      </c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>
        <v>24777049</v>
      </c>
      <c r="CD17" s="61"/>
      <c r="CE17" s="61"/>
      <c r="CF17" s="61"/>
      <c r="CG17" s="61">
        <f t="shared" si="3"/>
        <v>435719210</v>
      </c>
      <c r="CH17" s="62">
        <f>VLOOKUP(B17,[1]RPTNCT049_ConsultaSaldosContabl!I$4:K$7987,3,0)</f>
        <v>173439343</v>
      </c>
      <c r="CI17" s="62">
        <f t="shared" si="4"/>
        <v>262279867</v>
      </c>
      <c r="CJ17" s="63">
        <f t="shared" si="5"/>
        <v>435719210</v>
      </c>
      <c r="CK17" s="64">
        <f t="shared" si="6"/>
        <v>0</v>
      </c>
      <c r="CL17" s="16"/>
      <c r="CM17" s="16"/>
      <c r="CN17" s="16"/>
    </row>
    <row r="18" spans="1:96" ht="15" customHeight="1" x14ac:dyDescent="0.2">
      <c r="A18" s="1">
        <v>8999994500</v>
      </c>
      <c r="B18" s="1">
        <v>899999450</v>
      </c>
      <c r="C18" s="9">
        <v>211925019</v>
      </c>
      <c r="D18" s="10" t="s">
        <v>461</v>
      </c>
      <c r="E18" s="45" t="s">
        <v>1488</v>
      </c>
      <c r="F18" s="21"/>
      <c r="G18" s="59"/>
      <c r="H18" s="21"/>
      <c r="I18" s="59"/>
      <c r="J18" s="21"/>
      <c r="K18" s="21"/>
      <c r="L18" s="59"/>
      <c r="M18" s="60"/>
      <c r="N18" s="21"/>
      <c r="O18" s="59"/>
      <c r="P18" s="21"/>
      <c r="Q18" s="59"/>
      <c r="R18" s="21"/>
      <c r="S18" s="21"/>
      <c r="T18" s="59"/>
      <c r="U18" s="60">
        <f t="shared" si="0"/>
        <v>0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>
        <v>81729133</v>
      </c>
      <c r="AN18" s="60">
        <f t="shared" si="1"/>
        <v>81729133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>
        <v>38479870</v>
      </c>
      <c r="AZ18" s="60"/>
      <c r="BA18" s="60"/>
      <c r="BB18" s="60"/>
      <c r="BC18" s="61">
        <f t="shared" si="2"/>
        <v>120209003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>
        <v>7695974</v>
      </c>
      <c r="BO18" s="60"/>
      <c r="BP18" s="61">
        <v>127904977</v>
      </c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>
        <v>7695974</v>
      </c>
      <c r="CD18" s="61"/>
      <c r="CE18" s="61"/>
      <c r="CF18" s="61"/>
      <c r="CG18" s="61">
        <f t="shared" si="3"/>
        <v>135600951</v>
      </c>
      <c r="CH18" s="62">
        <f>VLOOKUP(B18,[1]RPTNCT049_ConsultaSaldosContabl!I$4:K$7987,3,0)</f>
        <v>53871818</v>
      </c>
      <c r="CI18" s="62">
        <f t="shared" si="4"/>
        <v>81729133</v>
      </c>
      <c r="CJ18" s="63">
        <f t="shared" si="5"/>
        <v>135600951</v>
      </c>
      <c r="CK18" s="64">
        <f t="shared" si="6"/>
        <v>0</v>
      </c>
      <c r="CL18" s="16"/>
      <c r="CM18" s="16"/>
      <c r="CN18" s="16"/>
    </row>
    <row r="19" spans="1:96" ht="15" customHeight="1" x14ac:dyDescent="0.2">
      <c r="A19" s="1">
        <v>8911904318</v>
      </c>
      <c r="B19" s="1">
        <v>891190431</v>
      </c>
      <c r="C19" s="9">
        <v>212918029</v>
      </c>
      <c r="D19" s="10" t="s">
        <v>362</v>
      </c>
      <c r="E19" s="45" t="s">
        <v>1391</v>
      </c>
      <c r="F19" s="21"/>
      <c r="G19" s="59"/>
      <c r="H19" s="21"/>
      <c r="I19" s="59"/>
      <c r="J19" s="21"/>
      <c r="K19" s="21"/>
      <c r="L19" s="59"/>
      <c r="M19" s="60"/>
      <c r="N19" s="21"/>
      <c r="O19" s="59"/>
      <c r="P19" s="21"/>
      <c r="Q19" s="59"/>
      <c r="R19" s="21"/>
      <c r="S19" s="21"/>
      <c r="T19" s="59"/>
      <c r="U19" s="60">
        <f t="shared" si="0"/>
        <v>0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>
        <f t="shared" si="1"/>
        <v>0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>
        <v>52123625</v>
      </c>
      <c r="AZ19" s="60"/>
      <c r="BA19" s="60">
        <f>VLOOKUP(B19,[2]Hoja3!J$3:K$674,2,0)</f>
        <v>89801185</v>
      </c>
      <c r="BB19" s="60"/>
      <c r="BC19" s="61">
        <f t="shared" si="2"/>
        <v>141924810</v>
      </c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>
        <v>10424725</v>
      </c>
      <c r="BO19" s="60"/>
      <c r="BP19" s="61">
        <v>152349535</v>
      </c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>
        <v>10424725</v>
      </c>
      <c r="CD19" s="61"/>
      <c r="CE19" s="61">
        <v>252658051</v>
      </c>
      <c r="CF19" s="61"/>
      <c r="CG19" s="61">
        <f t="shared" si="3"/>
        <v>415432311</v>
      </c>
      <c r="CH19" s="62">
        <f>VLOOKUP(B19,[1]RPTNCT049_ConsultaSaldosContabl!I$4:K$7987,3,0)</f>
        <v>72973075</v>
      </c>
      <c r="CI19" s="62">
        <f t="shared" si="4"/>
        <v>342459236</v>
      </c>
      <c r="CJ19" s="63">
        <f t="shared" si="5"/>
        <v>415432311</v>
      </c>
      <c r="CK19" s="64">
        <f t="shared" si="6"/>
        <v>0</v>
      </c>
      <c r="CL19" s="16"/>
      <c r="CM19" s="16"/>
      <c r="CN19" s="16"/>
    </row>
    <row r="20" spans="1:96" s="12" customFormat="1" ht="15" customHeight="1" x14ac:dyDescent="0.2">
      <c r="A20" s="1">
        <v>8390003600</v>
      </c>
      <c r="B20" s="1">
        <v>839000360</v>
      </c>
      <c r="C20" s="9">
        <v>213544035</v>
      </c>
      <c r="D20" s="10" t="s">
        <v>630</v>
      </c>
      <c r="E20" s="45" t="s">
        <v>1648</v>
      </c>
      <c r="F20" s="21"/>
      <c r="G20" s="59"/>
      <c r="H20" s="21"/>
      <c r="I20" s="59"/>
      <c r="J20" s="21"/>
      <c r="K20" s="21"/>
      <c r="L20" s="59"/>
      <c r="M20" s="60"/>
      <c r="N20" s="21"/>
      <c r="O20" s="59"/>
      <c r="P20" s="21"/>
      <c r="Q20" s="59"/>
      <c r="R20" s="21"/>
      <c r="S20" s="21"/>
      <c r="T20" s="59"/>
      <c r="U20" s="60">
        <f t="shared" si="0"/>
        <v>0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>
        <v>241481397</v>
      </c>
      <c r="AN20" s="60">
        <f t="shared" si="1"/>
        <v>241481397</v>
      </c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>
        <v>290027665</v>
      </c>
      <c r="AZ20" s="60"/>
      <c r="BA20" s="60"/>
      <c r="BB20" s="60"/>
      <c r="BC20" s="61">
        <f t="shared" si="2"/>
        <v>531509062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>
        <v>58005533</v>
      </c>
      <c r="BO20" s="60"/>
      <c r="BP20" s="61">
        <v>589514595</v>
      </c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>
        <v>58005533</v>
      </c>
      <c r="CD20" s="61"/>
      <c r="CE20" s="61"/>
      <c r="CF20" s="61"/>
      <c r="CG20" s="61">
        <f t="shared" si="3"/>
        <v>647520128</v>
      </c>
      <c r="CH20" s="62">
        <f>VLOOKUP(B20,[1]RPTNCT049_ConsultaSaldosContabl!I$4:K$7987,3,0)</f>
        <v>406038731</v>
      </c>
      <c r="CI20" s="62">
        <f t="shared" si="4"/>
        <v>241481397</v>
      </c>
      <c r="CJ20" s="63">
        <f t="shared" si="5"/>
        <v>647520128</v>
      </c>
      <c r="CK20" s="64">
        <f t="shared" si="6"/>
        <v>0</v>
      </c>
      <c r="CL20" s="16"/>
      <c r="CM20" s="16"/>
      <c r="CN20" s="16"/>
      <c r="CO20" s="6"/>
      <c r="CP20" s="6"/>
      <c r="CQ20" s="6"/>
      <c r="CR20" s="6"/>
    </row>
    <row r="21" spans="1:96" ht="15" customHeight="1" x14ac:dyDescent="0.2">
      <c r="A21" s="1">
        <v>8000994555</v>
      </c>
      <c r="B21" s="1">
        <v>800099455</v>
      </c>
      <c r="C21" s="9">
        <v>212068020</v>
      </c>
      <c r="D21" s="10" t="s">
        <v>813</v>
      </c>
      <c r="E21" s="45" t="s">
        <v>1830</v>
      </c>
      <c r="F21" s="21"/>
      <c r="G21" s="59"/>
      <c r="H21" s="21"/>
      <c r="I21" s="59"/>
      <c r="J21" s="21"/>
      <c r="K21" s="21"/>
      <c r="L21" s="59"/>
      <c r="M21" s="60"/>
      <c r="N21" s="21"/>
      <c r="O21" s="59"/>
      <c r="P21" s="21"/>
      <c r="Q21" s="59"/>
      <c r="R21" s="21"/>
      <c r="S21" s="21"/>
      <c r="T21" s="59"/>
      <c r="U21" s="60">
        <f t="shared" si="0"/>
        <v>0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>
        <v>16089164</v>
      </c>
      <c r="AN21" s="60">
        <f t="shared" si="1"/>
        <v>16089164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>
        <v>30981420</v>
      </c>
      <c r="AZ21" s="60"/>
      <c r="BA21" s="60">
        <f>VLOOKUP(B21,[2]Hoja3!J$3:K$674,2,0)</f>
        <v>41702603</v>
      </c>
      <c r="BB21" s="60"/>
      <c r="BC21" s="61">
        <f t="shared" si="2"/>
        <v>88773187</v>
      </c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>
        <v>6196284</v>
      </c>
      <c r="BO21" s="60"/>
      <c r="BP21" s="61">
        <v>94969471</v>
      </c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>
        <v>6196284</v>
      </c>
      <c r="CD21" s="61"/>
      <c r="CE21" s="61"/>
      <c r="CF21" s="61"/>
      <c r="CG21" s="61">
        <f t="shared" si="3"/>
        <v>101165755</v>
      </c>
      <c r="CH21" s="62">
        <f>VLOOKUP(B21,[1]RPTNCT049_ConsultaSaldosContabl!I$4:K$7987,3,0)</f>
        <v>43373988</v>
      </c>
      <c r="CI21" s="62">
        <f t="shared" si="4"/>
        <v>57791767</v>
      </c>
      <c r="CJ21" s="63">
        <f t="shared" si="5"/>
        <v>101165755</v>
      </c>
      <c r="CK21" s="64">
        <f t="shared" si="6"/>
        <v>0</v>
      </c>
      <c r="CL21" s="16"/>
      <c r="CM21" s="16"/>
      <c r="CN21" s="16"/>
    </row>
    <row r="22" spans="1:96" ht="15" customHeight="1" x14ac:dyDescent="0.2">
      <c r="A22" s="1">
        <v>8000990545</v>
      </c>
      <c r="B22" s="1">
        <v>800099054</v>
      </c>
      <c r="C22" s="9">
        <v>211952019</v>
      </c>
      <c r="D22" s="10" t="s">
        <v>692</v>
      </c>
      <c r="E22" s="45" t="s">
        <v>1714</v>
      </c>
      <c r="F22" s="21"/>
      <c r="G22" s="59"/>
      <c r="H22" s="21"/>
      <c r="I22" s="59"/>
      <c r="J22" s="21"/>
      <c r="K22" s="21"/>
      <c r="L22" s="59"/>
      <c r="M22" s="60"/>
      <c r="N22" s="21"/>
      <c r="O22" s="59"/>
      <c r="P22" s="21"/>
      <c r="Q22" s="59"/>
      <c r="R22" s="21"/>
      <c r="S22" s="21"/>
      <c r="T22" s="59"/>
      <c r="U22" s="60">
        <f t="shared" si="0"/>
        <v>0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>
        <v>84198709</v>
      </c>
      <c r="AN22" s="60">
        <f t="shared" si="1"/>
        <v>84198709</v>
      </c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f>VLOOKUP(B22,[2]Hoja3!J$3:K$674,2,0)</f>
        <v>44158879</v>
      </c>
      <c r="BB22" s="60"/>
      <c r="BC22" s="61">
        <f t="shared" si="2"/>
        <v>128357588</v>
      </c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>
        <v>0</v>
      </c>
      <c r="BO22" s="60"/>
      <c r="BP22" s="61">
        <v>128357588</v>
      </c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>
        <v>0</v>
      </c>
      <c r="CD22" s="61"/>
      <c r="CE22" s="61"/>
      <c r="CF22" s="61"/>
      <c r="CG22" s="61">
        <f t="shared" si="3"/>
        <v>128357588</v>
      </c>
      <c r="CH22" s="62"/>
      <c r="CI22" s="62">
        <f t="shared" si="4"/>
        <v>128357588</v>
      </c>
      <c r="CJ22" s="63">
        <f t="shared" si="5"/>
        <v>128357588</v>
      </c>
      <c r="CK22" s="64">
        <f t="shared" si="6"/>
        <v>0</v>
      </c>
      <c r="CL22" s="16"/>
      <c r="CM22" s="16"/>
      <c r="CN22" s="16"/>
    </row>
    <row r="23" spans="1:96" ht="15" customHeight="1" x14ac:dyDescent="0.2">
      <c r="A23" s="1">
        <v>8919010790</v>
      </c>
      <c r="B23" s="1">
        <v>891901079</v>
      </c>
      <c r="C23" s="9">
        <v>212076020</v>
      </c>
      <c r="D23" s="10" t="s">
        <v>912</v>
      </c>
      <c r="E23" s="45" t="s">
        <v>1973</v>
      </c>
      <c r="F23" s="21"/>
      <c r="G23" s="59"/>
      <c r="H23" s="21"/>
      <c r="I23" s="59"/>
      <c r="J23" s="21"/>
      <c r="K23" s="21"/>
      <c r="L23" s="59"/>
      <c r="M23" s="60"/>
      <c r="N23" s="21"/>
      <c r="O23" s="59"/>
      <c r="P23" s="21"/>
      <c r="Q23" s="59"/>
      <c r="R23" s="21"/>
      <c r="S23" s="21"/>
      <c r="T23" s="59"/>
      <c r="U23" s="60">
        <f t="shared" si="0"/>
        <v>0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>
        <f t="shared" si="1"/>
        <v>0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>
        <v>99623840</v>
      </c>
      <c r="AZ23" s="60"/>
      <c r="BA23" s="60">
        <f>VLOOKUP(B23,[2]Hoja3!J$3:K$674,2,0)</f>
        <v>156802722</v>
      </c>
      <c r="BB23" s="60"/>
      <c r="BC23" s="61">
        <f t="shared" si="2"/>
        <v>256426562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>
        <v>19924768</v>
      </c>
      <c r="BO23" s="60"/>
      <c r="BP23" s="61">
        <v>276351330</v>
      </c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>
        <v>19924768</v>
      </c>
      <c r="CD23" s="61"/>
      <c r="CE23" s="61"/>
      <c r="CF23" s="61"/>
      <c r="CG23" s="61">
        <f t="shared" si="3"/>
        <v>296276098</v>
      </c>
      <c r="CH23" s="62">
        <f>VLOOKUP(B23,[1]RPTNCT049_ConsultaSaldosContabl!I$4:K$7987,3,0)</f>
        <v>139473376</v>
      </c>
      <c r="CI23" s="62">
        <f t="shared" si="4"/>
        <v>156802722</v>
      </c>
      <c r="CJ23" s="63">
        <f t="shared" si="5"/>
        <v>296276098</v>
      </c>
      <c r="CK23" s="64">
        <f t="shared" si="6"/>
        <v>0</v>
      </c>
      <c r="CL23" s="16"/>
      <c r="CM23" s="16"/>
      <c r="CN23" s="16"/>
    </row>
    <row r="24" spans="1:96" ht="15" customHeight="1" x14ac:dyDescent="0.2">
      <c r="A24" s="1">
        <v>8000990520</v>
      </c>
      <c r="B24" s="1">
        <v>800099052</v>
      </c>
      <c r="C24" s="9">
        <v>212252022</v>
      </c>
      <c r="D24" s="10" t="s">
        <v>693</v>
      </c>
      <c r="E24" s="45" t="s">
        <v>1715</v>
      </c>
      <c r="F24" s="21"/>
      <c r="G24" s="59"/>
      <c r="H24" s="21"/>
      <c r="I24" s="59"/>
      <c r="J24" s="21"/>
      <c r="K24" s="21"/>
      <c r="L24" s="59"/>
      <c r="M24" s="60"/>
      <c r="N24" s="21"/>
      <c r="O24" s="59"/>
      <c r="P24" s="21"/>
      <c r="Q24" s="59"/>
      <c r="R24" s="21"/>
      <c r="S24" s="21"/>
      <c r="T24" s="59"/>
      <c r="U24" s="60">
        <f t="shared" si="0"/>
        <v>0</v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>
        <v>130677857</v>
      </c>
      <c r="AN24" s="60">
        <f t="shared" si="1"/>
        <v>130677857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>
        <v>49951505</v>
      </c>
      <c r="AZ24" s="60"/>
      <c r="BA24" s="60"/>
      <c r="BB24" s="60"/>
      <c r="BC24" s="61">
        <f t="shared" si="2"/>
        <v>180629362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>
        <v>9990301</v>
      </c>
      <c r="BO24" s="60"/>
      <c r="BP24" s="61">
        <v>190619663</v>
      </c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>
        <v>9990301</v>
      </c>
      <c r="CD24" s="61"/>
      <c r="CE24" s="61"/>
      <c r="CF24" s="61"/>
      <c r="CG24" s="61">
        <f t="shared" si="3"/>
        <v>200609964</v>
      </c>
      <c r="CH24" s="62">
        <f>VLOOKUP(B24,[1]RPTNCT049_ConsultaSaldosContabl!I$4:K$7987,3,0)</f>
        <v>69932107</v>
      </c>
      <c r="CI24" s="62">
        <f t="shared" si="4"/>
        <v>130677857</v>
      </c>
      <c r="CJ24" s="63">
        <f t="shared" si="5"/>
        <v>200609964</v>
      </c>
      <c r="CK24" s="64">
        <f t="shared" si="6"/>
        <v>0</v>
      </c>
      <c r="CL24" s="16"/>
      <c r="CM24" s="16"/>
      <c r="CN24" s="16"/>
    </row>
    <row r="25" spans="1:96" ht="15" customHeight="1" x14ac:dyDescent="0.2">
      <c r="A25" s="1">
        <v>8909837011</v>
      </c>
      <c r="B25" s="1">
        <v>890983701</v>
      </c>
      <c r="C25" s="9">
        <v>212105021</v>
      </c>
      <c r="D25" s="10" t="s">
        <v>45</v>
      </c>
      <c r="E25" s="45" t="s">
        <v>1078</v>
      </c>
      <c r="F25" s="21"/>
      <c r="G25" s="59"/>
      <c r="H25" s="21"/>
      <c r="I25" s="59"/>
      <c r="J25" s="21"/>
      <c r="K25" s="21"/>
      <c r="L25" s="59"/>
      <c r="M25" s="60"/>
      <c r="N25" s="21"/>
      <c r="O25" s="59"/>
      <c r="P25" s="21"/>
      <c r="Q25" s="59"/>
      <c r="R25" s="21"/>
      <c r="S25" s="21"/>
      <c r="T25" s="59"/>
      <c r="U25" s="60">
        <f t="shared" si="0"/>
        <v>0</v>
      </c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>
        <f t="shared" si="1"/>
        <v>0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>
        <v>24045055</v>
      </c>
      <c r="AZ25" s="60"/>
      <c r="BA25" s="60">
        <f>VLOOKUP(B25,[2]Hoja3!J$3:K$674,2,0)</f>
        <v>44934229</v>
      </c>
      <c r="BB25" s="60"/>
      <c r="BC25" s="61">
        <f t="shared" si="2"/>
        <v>68979284</v>
      </c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>
        <v>4809011</v>
      </c>
      <c r="BO25" s="60"/>
      <c r="BP25" s="61">
        <v>73788295</v>
      </c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>
        <v>4809011</v>
      </c>
      <c r="CD25" s="61"/>
      <c r="CE25" s="61"/>
      <c r="CF25" s="61"/>
      <c r="CG25" s="61">
        <f t="shared" si="3"/>
        <v>78597306</v>
      </c>
      <c r="CH25" s="62">
        <f>VLOOKUP(B25,[1]RPTNCT049_ConsultaSaldosContabl!I$4:K$7987,3,0)</f>
        <v>33663077</v>
      </c>
      <c r="CI25" s="62">
        <f t="shared" si="4"/>
        <v>44934229</v>
      </c>
      <c r="CJ25" s="63">
        <f t="shared" si="5"/>
        <v>78597306</v>
      </c>
      <c r="CK25" s="64">
        <f t="shared" si="6"/>
        <v>0</v>
      </c>
      <c r="CL25" s="16"/>
      <c r="CM25" s="16"/>
      <c r="CN25" s="16"/>
    </row>
    <row r="26" spans="1:96" ht="15" customHeight="1" x14ac:dyDescent="0.2">
      <c r="A26" s="1">
        <v>8190032190</v>
      </c>
      <c r="B26" s="1">
        <v>819003219</v>
      </c>
      <c r="C26" s="9">
        <v>213047030</v>
      </c>
      <c r="D26" s="10" t="s">
        <v>640</v>
      </c>
      <c r="E26" s="45" t="s">
        <v>1659</v>
      </c>
      <c r="F26" s="21"/>
      <c r="G26" s="59"/>
      <c r="H26" s="21"/>
      <c r="I26" s="59"/>
      <c r="J26" s="21"/>
      <c r="K26" s="21"/>
      <c r="L26" s="59"/>
      <c r="M26" s="60"/>
      <c r="N26" s="21"/>
      <c r="O26" s="59"/>
      <c r="P26" s="21"/>
      <c r="Q26" s="59"/>
      <c r="R26" s="21"/>
      <c r="S26" s="21"/>
      <c r="T26" s="59"/>
      <c r="U26" s="60">
        <f t="shared" si="0"/>
        <v>0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>
        <v>304771944</v>
      </c>
      <c r="AN26" s="60">
        <f t="shared" si="1"/>
        <v>304771944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>
        <v>181171435</v>
      </c>
      <c r="AZ26" s="60"/>
      <c r="BA26" s="60"/>
      <c r="BB26" s="60">
        <f>VLOOKUP(B26,'[3]anuladas en mayo gratuidad}'!K$2:L$55,2,0)</f>
        <v>111754162</v>
      </c>
      <c r="BC26" s="61">
        <f t="shared" si="2"/>
        <v>374189217</v>
      </c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>
        <v>36234287</v>
      </c>
      <c r="BO26" s="60">
        <v>111754162</v>
      </c>
      <c r="BP26" s="61">
        <v>522177666</v>
      </c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>
        <v>36234287</v>
      </c>
      <c r="CD26" s="61"/>
      <c r="CE26" s="61"/>
      <c r="CF26" s="61"/>
      <c r="CG26" s="61">
        <f t="shared" si="3"/>
        <v>558411953</v>
      </c>
      <c r="CH26" s="62">
        <f>VLOOKUP(B26,[1]RPTNCT049_ConsultaSaldosContabl!I$4:K$7987,3,0)</f>
        <v>253640009</v>
      </c>
      <c r="CI26" s="62">
        <f t="shared" si="4"/>
        <v>304771944</v>
      </c>
      <c r="CJ26" s="63">
        <f t="shared" si="5"/>
        <v>558411953</v>
      </c>
      <c r="CK26" s="64">
        <f t="shared" si="6"/>
        <v>0</v>
      </c>
      <c r="CL26" s="16"/>
      <c r="CM26" s="16"/>
      <c r="CN26" s="16"/>
    </row>
    <row r="27" spans="1:96" ht="15" customHeight="1" x14ac:dyDescent="0.2">
      <c r="A27" s="1">
        <v>8911800240</v>
      </c>
      <c r="B27" s="1">
        <v>891180024</v>
      </c>
      <c r="C27" s="9">
        <v>212041020</v>
      </c>
      <c r="D27" s="10" t="s">
        <v>596</v>
      </c>
      <c r="E27" s="45" t="s">
        <v>1617</v>
      </c>
      <c r="F27" s="21"/>
      <c r="G27" s="59"/>
      <c r="H27" s="21"/>
      <c r="I27" s="59"/>
      <c r="J27" s="21"/>
      <c r="K27" s="21"/>
      <c r="L27" s="59"/>
      <c r="M27" s="60"/>
      <c r="N27" s="21"/>
      <c r="O27" s="59"/>
      <c r="P27" s="21"/>
      <c r="Q27" s="59"/>
      <c r="R27" s="21"/>
      <c r="S27" s="21"/>
      <c r="T27" s="59"/>
      <c r="U27" s="60">
        <f t="shared" si="0"/>
        <v>0</v>
      </c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>
        <f t="shared" si="1"/>
        <v>0</v>
      </c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>
        <v>179882655</v>
      </c>
      <c r="AZ27" s="60"/>
      <c r="BA27" s="60">
        <f>VLOOKUP(B27,[2]Hoja3!J$3:K$674,2,0)</f>
        <v>379996287</v>
      </c>
      <c r="BB27" s="60"/>
      <c r="BC27" s="61">
        <f t="shared" si="2"/>
        <v>559878942</v>
      </c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>
        <v>35976531</v>
      </c>
      <c r="BO27" s="60"/>
      <c r="BP27" s="61">
        <v>595855473</v>
      </c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>
        <v>35976531</v>
      </c>
      <c r="CD27" s="61"/>
      <c r="CE27" s="61"/>
      <c r="CF27" s="61"/>
      <c r="CG27" s="61">
        <f t="shared" si="3"/>
        <v>631832004</v>
      </c>
      <c r="CH27" s="62">
        <f>VLOOKUP(B27,[1]RPTNCT049_ConsultaSaldosContabl!I$4:K$7987,3,0)</f>
        <v>251835717</v>
      </c>
      <c r="CI27" s="62">
        <f t="shared" si="4"/>
        <v>379996287</v>
      </c>
      <c r="CJ27" s="63">
        <f t="shared" si="5"/>
        <v>631832004</v>
      </c>
      <c r="CK27" s="64">
        <f t="shared" si="6"/>
        <v>0</v>
      </c>
      <c r="CL27" s="16"/>
      <c r="CM27" s="16"/>
      <c r="CN27" s="16"/>
    </row>
    <row r="28" spans="1:96" ht="15" customHeight="1" x14ac:dyDescent="0.2">
      <c r="A28" s="1">
        <v>8915026648</v>
      </c>
      <c r="B28" s="1">
        <v>891502664</v>
      </c>
      <c r="C28" s="9">
        <v>212219022</v>
      </c>
      <c r="D28" s="10" t="s">
        <v>373</v>
      </c>
      <c r="E28" s="45" t="s">
        <v>1405</v>
      </c>
      <c r="F28" s="21"/>
      <c r="G28" s="59"/>
      <c r="H28" s="21"/>
      <c r="I28" s="59"/>
      <c r="J28" s="21"/>
      <c r="K28" s="21"/>
      <c r="L28" s="59"/>
      <c r="M28" s="60"/>
      <c r="N28" s="21"/>
      <c r="O28" s="59"/>
      <c r="P28" s="21"/>
      <c r="Q28" s="59"/>
      <c r="R28" s="21"/>
      <c r="S28" s="21"/>
      <c r="T28" s="59"/>
      <c r="U28" s="60">
        <f t="shared" si="0"/>
        <v>0</v>
      </c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>
        <f t="shared" si="1"/>
        <v>0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>
        <v>171494880</v>
      </c>
      <c r="AZ28" s="60"/>
      <c r="BA28" s="60">
        <f>VLOOKUP(B28,[2]Hoja3!J$3:K$674,2,0)</f>
        <v>183830597</v>
      </c>
      <c r="BB28" s="60"/>
      <c r="BC28" s="61">
        <f t="shared" si="2"/>
        <v>355325477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>
        <v>34298976</v>
      </c>
      <c r="BO28" s="60"/>
      <c r="BP28" s="61">
        <v>389624453</v>
      </c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>
        <v>34298976</v>
      </c>
      <c r="CD28" s="61"/>
      <c r="CE28" s="61"/>
      <c r="CF28" s="61"/>
      <c r="CG28" s="61">
        <f t="shared" si="3"/>
        <v>423923429</v>
      </c>
      <c r="CH28" s="62">
        <f>VLOOKUP(B28,[1]RPTNCT049_ConsultaSaldosContabl!I$4:K$7987,3,0)</f>
        <v>240092832</v>
      </c>
      <c r="CI28" s="62">
        <f t="shared" si="4"/>
        <v>183830597</v>
      </c>
      <c r="CJ28" s="63">
        <f t="shared" si="5"/>
        <v>423923429</v>
      </c>
      <c r="CK28" s="64">
        <f t="shared" si="6"/>
        <v>0</v>
      </c>
      <c r="CL28" s="16"/>
      <c r="CM28" s="16"/>
      <c r="CN28" s="16"/>
    </row>
    <row r="29" spans="1:96" ht="15" customHeight="1" x14ac:dyDescent="0.2">
      <c r="A29" s="1">
        <v>8918012813</v>
      </c>
      <c r="B29" s="1">
        <v>891801281</v>
      </c>
      <c r="C29" s="9">
        <v>212215022</v>
      </c>
      <c r="D29" s="10" t="s">
        <v>218</v>
      </c>
      <c r="E29" s="45" t="s">
        <v>1253</v>
      </c>
      <c r="F29" s="21"/>
      <c r="G29" s="59"/>
      <c r="H29" s="21"/>
      <c r="I29" s="59"/>
      <c r="J29" s="21"/>
      <c r="K29" s="21"/>
      <c r="L29" s="59"/>
      <c r="M29" s="60"/>
      <c r="N29" s="21"/>
      <c r="O29" s="59"/>
      <c r="P29" s="21"/>
      <c r="Q29" s="59"/>
      <c r="R29" s="21"/>
      <c r="S29" s="21"/>
      <c r="T29" s="59"/>
      <c r="U29" s="60">
        <f t="shared" si="0"/>
        <v>0</v>
      </c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>
        <v>18969966</v>
      </c>
      <c r="AN29" s="60">
        <f t="shared" si="1"/>
        <v>18969966</v>
      </c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>
        <v>12183630</v>
      </c>
      <c r="AZ29" s="60"/>
      <c r="BA29" s="60"/>
      <c r="BB29" s="60"/>
      <c r="BC29" s="61">
        <f t="shared" si="2"/>
        <v>31153596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>
        <v>2436726</v>
      </c>
      <c r="BO29" s="60"/>
      <c r="BP29" s="61">
        <v>33590322</v>
      </c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>
        <v>2436726</v>
      </c>
      <c r="CD29" s="61"/>
      <c r="CE29" s="61"/>
      <c r="CF29" s="61"/>
      <c r="CG29" s="61">
        <f t="shared" si="3"/>
        <v>36027048</v>
      </c>
      <c r="CH29" s="62">
        <f>VLOOKUP(B29,[1]RPTNCT049_ConsultaSaldosContabl!I$4:K$7987,3,0)</f>
        <v>17057082</v>
      </c>
      <c r="CI29" s="62">
        <f t="shared" si="4"/>
        <v>18969966</v>
      </c>
      <c r="CJ29" s="63">
        <f t="shared" si="5"/>
        <v>36027048</v>
      </c>
      <c r="CK29" s="64">
        <f t="shared" si="6"/>
        <v>0</v>
      </c>
      <c r="CL29" s="16"/>
      <c r="CM29" s="16"/>
      <c r="CN29" s="8"/>
      <c r="CO29" s="8"/>
      <c r="CP29" s="8"/>
      <c r="CQ29" s="8"/>
      <c r="CR29" s="8"/>
    </row>
    <row r="30" spans="1:96" ht="15" customHeight="1" x14ac:dyDescent="0.2">
      <c r="A30" s="1">
        <v>8907020177</v>
      </c>
      <c r="B30" s="1">
        <v>890702017</v>
      </c>
      <c r="C30" s="9">
        <v>212473024</v>
      </c>
      <c r="D30" s="10" t="s">
        <v>2202</v>
      </c>
      <c r="E30" s="45" t="s">
        <v>1928</v>
      </c>
      <c r="F30" s="21"/>
      <c r="G30" s="59"/>
      <c r="H30" s="21"/>
      <c r="I30" s="59"/>
      <c r="J30" s="21"/>
      <c r="K30" s="21"/>
      <c r="L30" s="59"/>
      <c r="M30" s="60"/>
      <c r="N30" s="21"/>
      <c r="O30" s="59"/>
      <c r="P30" s="21"/>
      <c r="Q30" s="59"/>
      <c r="R30" s="21"/>
      <c r="S30" s="21"/>
      <c r="T30" s="59"/>
      <c r="U30" s="60">
        <f t="shared" si="0"/>
        <v>0</v>
      </c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>
        <f t="shared" si="1"/>
        <v>0</v>
      </c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>
        <v>31865455</v>
      </c>
      <c r="AZ30" s="60"/>
      <c r="BA30" s="60">
        <f>VLOOKUP(B30,[2]Hoja3!J$3:K$674,2,0)</f>
        <v>73083783</v>
      </c>
      <c r="BB30" s="60"/>
      <c r="BC30" s="61">
        <f t="shared" si="2"/>
        <v>104949238</v>
      </c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>
        <v>6373091</v>
      </c>
      <c r="BO30" s="60"/>
      <c r="BP30" s="61">
        <v>111322329</v>
      </c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>
        <v>6373091</v>
      </c>
      <c r="CD30" s="61"/>
      <c r="CE30" s="61"/>
      <c r="CF30" s="61"/>
      <c r="CG30" s="61">
        <f t="shared" si="3"/>
        <v>117695420</v>
      </c>
      <c r="CH30" s="62">
        <f>VLOOKUP(B30,[1]RPTNCT049_ConsultaSaldosContabl!I$4:K$7987,3,0)</f>
        <v>44611637</v>
      </c>
      <c r="CI30" s="62">
        <f t="shared" si="4"/>
        <v>73083783</v>
      </c>
      <c r="CJ30" s="63">
        <f t="shared" si="5"/>
        <v>117695420</v>
      </c>
      <c r="CK30" s="64">
        <f t="shared" si="6"/>
        <v>0</v>
      </c>
      <c r="CL30" s="16"/>
      <c r="CM30" s="16"/>
      <c r="CN30" s="16"/>
    </row>
    <row r="31" spans="1:96" ht="15" customHeight="1" x14ac:dyDescent="0.2">
      <c r="A31" s="1">
        <v>8911801184</v>
      </c>
      <c r="B31" s="1">
        <v>891180118</v>
      </c>
      <c r="C31" s="9">
        <v>212641026</v>
      </c>
      <c r="D31" s="10" t="s">
        <v>597</v>
      </c>
      <c r="E31" s="45" t="s">
        <v>2082</v>
      </c>
      <c r="F31" s="21"/>
      <c r="G31" s="59"/>
      <c r="H31" s="21"/>
      <c r="I31" s="59"/>
      <c r="J31" s="21"/>
      <c r="K31" s="21"/>
      <c r="L31" s="59"/>
      <c r="M31" s="60"/>
      <c r="N31" s="21"/>
      <c r="O31" s="59"/>
      <c r="P31" s="21"/>
      <c r="Q31" s="59"/>
      <c r="R31" s="21"/>
      <c r="S31" s="21"/>
      <c r="T31" s="59"/>
      <c r="U31" s="60">
        <f t="shared" si="0"/>
        <v>0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>
        <f t="shared" si="1"/>
        <v>0</v>
      </c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f>VLOOKUP(B31,[2]Hoja3!J$3:K$674,2,0)</f>
        <v>52571091</v>
      </c>
      <c r="BB31" s="60"/>
      <c r="BC31" s="61">
        <f t="shared" si="2"/>
        <v>52571091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>
        <v>0</v>
      </c>
      <c r="BO31" s="60"/>
      <c r="BP31" s="61">
        <v>52571091</v>
      </c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>
        <v>36764644</v>
      </c>
      <c r="CD31" s="61"/>
      <c r="CE31" s="61"/>
      <c r="CF31" s="61"/>
      <c r="CG31" s="61">
        <f t="shared" si="3"/>
        <v>89335735</v>
      </c>
      <c r="CH31" s="62">
        <f>VLOOKUP(B31,[1]RPTNCT049_ConsultaSaldosContabl!I$4:K$7987,3,0)</f>
        <v>36764644</v>
      </c>
      <c r="CI31" s="62">
        <f t="shared" si="4"/>
        <v>52571091</v>
      </c>
      <c r="CJ31" s="63">
        <f t="shared" si="5"/>
        <v>89335735</v>
      </c>
      <c r="CK31" s="64">
        <f t="shared" si="6"/>
        <v>0</v>
      </c>
      <c r="CL31" s="16"/>
      <c r="CM31" s="16"/>
      <c r="CN31" s="16"/>
    </row>
    <row r="32" spans="1:96" ht="15" customHeight="1" x14ac:dyDescent="0.2">
      <c r="A32" s="1">
        <v>8916000624</v>
      </c>
      <c r="B32" s="1">
        <v>891600062</v>
      </c>
      <c r="C32" s="9">
        <v>212527025</v>
      </c>
      <c r="D32" s="10" t="s">
        <v>569</v>
      </c>
      <c r="E32" s="45" t="s">
        <v>1588</v>
      </c>
      <c r="F32" s="21"/>
      <c r="G32" s="59"/>
      <c r="H32" s="21"/>
      <c r="I32" s="59"/>
      <c r="J32" s="21"/>
      <c r="K32" s="21"/>
      <c r="L32" s="59"/>
      <c r="M32" s="60"/>
      <c r="N32" s="21"/>
      <c r="O32" s="59"/>
      <c r="P32" s="21"/>
      <c r="Q32" s="59"/>
      <c r="R32" s="21"/>
      <c r="S32" s="21"/>
      <c r="T32" s="59"/>
      <c r="U32" s="60">
        <f t="shared" si="0"/>
        <v>0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>
        <v>140399501</v>
      </c>
      <c r="AN32" s="60">
        <f t="shared" si="1"/>
        <v>140399501</v>
      </c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>
        <v>450468775</v>
      </c>
      <c r="AZ32" s="60"/>
      <c r="BA32" s="60"/>
      <c r="BB32" s="60"/>
      <c r="BC32" s="61">
        <f t="shared" si="2"/>
        <v>590868276</v>
      </c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>
        <v>90093755</v>
      </c>
      <c r="BO32" s="60"/>
      <c r="BP32" s="61">
        <v>680962031</v>
      </c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>
        <v>90093755</v>
      </c>
      <c r="CD32" s="61"/>
      <c r="CE32" s="61"/>
      <c r="CF32" s="61"/>
      <c r="CG32" s="61">
        <f t="shared" si="3"/>
        <v>771055786</v>
      </c>
      <c r="CH32" s="62">
        <f>VLOOKUP(B32,[1]RPTNCT049_ConsultaSaldosContabl!I$4:K$7987,3,0)</f>
        <v>630656285</v>
      </c>
      <c r="CI32" s="62">
        <f t="shared" si="4"/>
        <v>140399501</v>
      </c>
      <c r="CJ32" s="63">
        <f t="shared" si="5"/>
        <v>771055786</v>
      </c>
      <c r="CK32" s="64">
        <f t="shared" si="6"/>
        <v>0</v>
      </c>
      <c r="CL32" s="16"/>
      <c r="CM32" s="16"/>
      <c r="CN32" s="16"/>
    </row>
    <row r="33" spans="1:96" ht="15" customHeight="1" x14ac:dyDescent="0.2">
      <c r="A33" s="1">
        <v>8002548799</v>
      </c>
      <c r="B33" s="1">
        <v>800254879</v>
      </c>
      <c r="C33" s="9">
        <v>213013030</v>
      </c>
      <c r="D33" s="10" t="s">
        <v>182</v>
      </c>
      <c r="E33" s="45" t="s">
        <v>1211</v>
      </c>
      <c r="F33" s="21"/>
      <c r="G33" s="59"/>
      <c r="H33" s="21"/>
      <c r="I33" s="59"/>
      <c r="J33" s="21"/>
      <c r="K33" s="21"/>
      <c r="L33" s="59"/>
      <c r="M33" s="60"/>
      <c r="N33" s="21"/>
      <c r="O33" s="59"/>
      <c r="P33" s="21"/>
      <c r="Q33" s="59"/>
      <c r="R33" s="21"/>
      <c r="S33" s="21"/>
      <c r="T33" s="59"/>
      <c r="U33" s="60">
        <f t="shared" si="0"/>
        <v>0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>
        <v>160720806</v>
      </c>
      <c r="AN33" s="60">
        <f t="shared" si="1"/>
        <v>160720806</v>
      </c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>
        <f t="shared" si="2"/>
        <v>160720806</v>
      </c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>
        <v>0</v>
      </c>
      <c r="BO33" s="60"/>
      <c r="BP33" s="61">
        <v>160720806</v>
      </c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>
        <v>168490637</v>
      </c>
      <c r="CD33" s="61"/>
      <c r="CE33" s="61"/>
      <c r="CF33" s="61"/>
      <c r="CG33" s="61">
        <f t="shared" si="3"/>
        <v>329211443</v>
      </c>
      <c r="CH33" s="62">
        <f>VLOOKUP(B33,[1]RPTNCT049_ConsultaSaldosContabl!I$4:K$7987,3,0)</f>
        <v>168490637</v>
      </c>
      <c r="CI33" s="62">
        <f t="shared" si="4"/>
        <v>160720806</v>
      </c>
      <c r="CJ33" s="63">
        <f t="shared" si="5"/>
        <v>329211443</v>
      </c>
      <c r="CK33" s="64">
        <f t="shared" si="6"/>
        <v>0</v>
      </c>
      <c r="CL33" s="16"/>
      <c r="CM33" s="16"/>
      <c r="CN33" s="8"/>
      <c r="CO33" s="8"/>
      <c r="CP33" s="8"/>
      <c r="CQ33" s="8"/>
      <c r="CR33" s="8"/>
    </row>
    <row r="34" spans="1:96" ht="15" customHeight="1" x14ac:dyDescent="0.2">
      <c r="A34" s="1">
        <v>8907009616</v>
      </c>
      <c r="B34" s="1">
        <v>890700961</v>
      </c>
      <c r="C34" s="9">
        <v>212673026</v>
      </c>
      <c r="D34" s="10" t="s">
        <v>2204</v>
      </c>
      <c r="E34" s="45" t="s">
        <v>1929</v>
      </c>
      <c r="F34" s="21"/>
      <c r="G34" s="59"/>
      <c r="H34" s="21"/>
      <c r="I34" s="59"/>
      <c r="J34" s="21"/>
      <c r="K34" s="21"/>
      <c r="L34" s="59"/>
      <c r="M34" s="60"/>
      <c r="N34" s="21"/>
      <c r="O34" s="59"/>
      <c r="P34" s="21"/>
      <c r="Q34" s="59"/>
      <c r="R34" s="21"/>
      <c r="S34" s="21"/>
      <c r="T34" s="59"/>
      <c r="U34" s="60">
        <f t="shared" si="0"/>
        <v>0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>
        <f t="shared" si="1"/>
        <v>0</v>
      </c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>
        <v>59173945</v>
      </c>
      <c r="AZ34" s="60"/>
      <c r="BA34" s="60">
        <f>VLOOKUP(B34,[2]Hoja3!J$3:K$674,2,0)</f>
        <v>123740417</v>
      </c>
      <c r="BB34" s="60"/>
      <c r="BC34" s="61">
        <f t="shared" si="2"/>
        <v>182914362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>
        <v>11834789</v>
      </c>
      <c r="BO34" s="60"/>
      <c r="BP34" s="61">
        <v>194749151</v>
      </c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>
        <v>11834789</v>
      </c>
      <c r="CD34" s="61"/>
      <c r="CE34" s="61"/>
      <c r="CF34" s="61"/>
      <c r="CG34" s="61">
        <f t="shared" si="3"/>
        <v>206583940</v>
      </c>
      <c r="CH34" s="62">
        <f>VLOOKUP(B34,[1]RPTNCT049_ConsultaSaldosContabl!I$4:K$7987,3,0)</f>
        <v>82843523</v>
      </c>
      <c r="CI34" s="62">
        <f t="shared" si="4"/>
        <v>123740417</v>
      </c>
      <c r="CJ34" s="63">
        <f t="shared" si="5"/>
        <v>206583940</v>
      </c>
      <c r="CK34" s="64">
        <f t="shared" si="6"/>
        <v>0</v>
      </c>
      <c r="CL34" s="16"/>
      <c r="CM34" s="16"/>
      <c r="CN34" s="16"/>
    </row>
    <row r="35" spans="1:96" ht="15" customHeight="1" x14ac:dyDescent="0.2">
      <c r="A35" s="1">
        <v>8909817320</v>
      </c>
      <c r="B35" s="1">
        <v>890981732</v>
      </c>
      <c r="C35" s="9">
        <v>213005030</v>
      </c>
      <c r="D35" s="10" t="s">
        <v>46</v>
      </c>
      <c r="E35" s="45" t="s">
        <v>1079</v>
      </c>
      <c r="F35" s="21"/>
      <c r="G35" s="59"/>
      <c r="H35" s="21"/>
      <c r="I35" s="59"/>
      <c r="J35" s="21"/>
      <c r="K35" s="21"/>
      <c r="L35" s="59"/>
      <c r="M35" s="60"/>
      <c r="N35" s="21"/>
      <c r="O35" s="59"/>
      <c r="P35" s="21"/>
      <c r="Q35" s="59"/>
      <c r="R35" s="21"/>
      <c r="S35" s="21"/>
      <c r="T35" s="59"/>
      <c r="U35" s="60">
        <f t="shared" si="0"/>
        <v>0</v>
      </c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>
        <v>29248474</v>
      </c>
      <c r="AN35" s="60">
        <f t="shared" si="1"/>
        <v>29248474</v>
      </c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>
        <f>VLOOKUP(B35,[2]Hoja3!J$3:K$674,2,0)</f>
        <v>300867198</v>
      </c>
      <c r="BB35" s="60"/>
      <c r="BC35" s="61">
        <f t="shared" si="2"/>
        <v>330115672</v>
      </c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>
        <v>32548418</v>
      </c>
      <c r="BO35" s="60"/>
      <c r="BP35" s="61">
        <v>362664090</v>
      </c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>
        <v>32548418</v>
      </c>
      <c r="CD35" s="61">
        <v>162742090</v>
      </c>
      <c r="CE35" s="61"/>
      <c r="CF35" s="61"/>
      <c r="CG35" s="61">
        <f t="shared" si="3"/>
        <v>557954598</v>
      </c>
      <c r="CH35" s="62">
        <f>VLOOKUP(B35,[1]RPTNCT049_ConsultaSaldosContabl!I$4:K$7987,3,0)</f>
        <v>227838926</v>
      </c>
      <c r="CI35" s="62">
        <f t="shared" si="4"/>
        <v>330115672</v>
      </c>
      <c r="CJ35" s="63">
        <f t="shared" si="5"/>
        <v>557954598</v>
      </c>
      <c r="CK35" s="64">
        <f t="shared" si="6"/>
        <v>0</v>
      </c>
      <c r="CL35" s="16"/>
      <c r="CM35" s="16"/>
      <c r="CN35" s="16"/>
    </row>
    <row r="36" spans="1:96" ht="15" customHeight="1" x14ac:dyDescent="0.2">
      <c r="A36" s="1">
        <v>8909815180</v>
      </c>
      <c r="B36" s="1">
        <v>890981518</v>
      </c>
      <c r="C36" s="9">
        <v>213105031</v>
      </c>
      <c r="D36" s="10" t="s">
        <v>47</v>
      </c>
      <c r="E36" s="45" t="s">
        <v>1080</v>
      </c>
      <c r="F36" s="21"/>
      <c r="G36" s="59"/>
      <c r="H36" s="21"/>
      <c r="I36" s="59"/>
      <c r="J36" s="21"/>
      <c r="K36" s="21"/>
      <c r="L36" s="59"/>
      <c r="M36" s="60"/>
      <c r="N36" s="21"/>
      <c r="O36" s="59"/>
      <c r="P36" s="21"/>
      <c r="Q36" s="59"/>
      <c r="R36" s="21"/>
      <c r="S36" s="21"/>
      <c r="T36" s="59"/>
      <c r="U36" s="60">
        <f t="shared" si="0"/>
        <v>0</v>
      </c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>
        <v>356580511</v>
      </c>
      <c r="AN36" s="60">
        <f t="shared" si="1"/>
        <v>356580511</v>
      </c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>
        <v>170819310</v>
      </c>
      <c r="AZ36" s="60"/>
      <c r="BA36" s="60"/>
      <c r="BB36" s="60"/>
      <c r="BC36" s="61">
        <f t="shared" si="2"/>
        <v>527399821</v>
      </c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>
        <v>34163862</v>
      </c>
      <c r="BO36" s="60"/>
      <c r="BP36" s="61">
        <v>561563683</v>
      </c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>
        <v>34163862</v>
      </c>
      <c r="CD36" s="61"/>
      <c r="CE36" s="61"/>
      <c r="CF36" s="61"/>
      <c r="CG36" s="61">
        <f t="shared" si="3"/>
        <v>595727545</v>
      </c>
      <c r="CH36" s="62">
        <f>VLOOKUP(B36,[1]RPTNCT049_ConsultaSaldosContabl!I$4:K$7987,3,0)</f>
        <v>239147034</v>
      </c>
      <c r="CI36" s="62">
        <f t="shared" si="4"/>
        <v>356580511</v>
      </c>
      <c r="CJ36" s="63">
        <f t="shared" si="5"/>
        <v>595727545</v>
      </c>
      <c r="CK36" s="64">
        <f t="shared" si="6"/>
        <v>0</v>
      </c>
      <c r="CL36" s="16"/>
      <c r="CM36" s="16"/>
      <c r="CN36" s="16"/>
    </row>
    <row r="37" spans="1:96" ht="15" customHeight="1" x14ac:dyDescent="0.2">
      <c r="A37" s="1">
        <v>8001000484</v>
      </c>
      <c r="B37" s="1">
        <v>800100048</v>
      </c>
      <c r="C37" s="9">
        <v>213073030</v>
      </c>
      <c r="D37" s="10" t="s">
        <v>2205</v>
      </c>
      <c r="E37" s="45" t="s">
        <v>1930</v>
      </c>
      <c r="F37" s="21"/>
      <c r="G37" s="59"/>
      <c r="H37" s="21"/>
      <c r="I37" s="59"/>
      <c r="J37" s="21"/>
      <c r="K37" s="21"/>
      <c r="L37" s="59"/>
      <c r="M37" s="60"/>
      <c r="N37" s="21"/>
      <c r="O37" s="59"/>
      <c r="P37" s="21"/>
      <c r="Q37" s="59"/>
      <c r="R37" s="21"/>
      <c r="S37" s="21"/>
      <c r="T37" s="59"/>
      <c r="U37" s="60">
        <f t="shared" si="0"/>
        <v>0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>
        <v>82716744</v>
      </c>
      <c r="AN37" s="60">
        <f t="shared" si="1"/>
        <v>82716744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>
        <v>55835400</v>
      </c>
      <c r="AZ37" s="60"/>
      <c r="BA37" s="60"/>
      <c r="BB37" s="60"/>
      <c r="BC37" s="61">
        <f t="shared" si="2"/>
        <v>138552144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>
        <v>11167080</v>
      </c>
      <c r="BO37" s="60"/>
      <c r="BP37" s="61">
        <v>149719224</v>
      </c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>
        <v>11167080</v>
      </c>
      <c r="CD37" s="61"/>
      <c r="CE37" s="61"/>
      <c r="CF37" s="61"/>
      <c r="CG37" s="61">
        <f t="shared" si="3"/>
        <v>160886304</v>
      </c>
      <c r="CH37" s="62">
        <f>VLOOKUP(B37,[1]RPTNCT049_ConsultaSaldosContabl!I$4:K$7987,3,0)</f>
        <v>78169560</v>
      </c>
      <c r="CI37" s="62">
        <f t="shared" si="4"/>
        <v>82716744</v>
      </c>
      <c r="CJ37" s="63">
        <f t="shared" si="5"/>
        <v>160886304</v>
      </c>
      <c r="CK37" s="64">
        <f t="shared" si="6"/>
        <v>0</v>
      </c>
      <c r="CL37" s="16"/>
      <c r="CM37" s="16"/>
      <c r="CN37" s="16"/>
    </row>
    <row r="38" spans="1:96" ht="15" customHeight="1" x14ac:dyDescent="0.2">
      <c r="A38" s="1">
        <v>8906800971</v>
      </c>
      <c r="B38" s="1">
        <v>890680097</v>
      </c>
      <c r="C38" s="9">
        <v>213525035</v>
      </c>
      <c r="D38" s="10" t="s">
        <v>462</v>
      </c>
      <c r="E38" s="45" t="s">
        <v>1489</v>
      </c>
      <c r="F38" s="21"/>
      <c r="G38" s="59"/>
      <c r="H38" s="21"/>
      <c r="I38" s="59"/>
      <c r="J38" s="21"/>
      <c r="K38" s="21"/>
      <c r="L38" s="59"/>
      <c r="M38" s="60"/>
      <c r="N38" s="21"/>
      <c r="O38" s="59"/>
      <c r="P38" s="21"/>
      <c r="Q38" s="59"/>
      <c r="R38" s="21"/>
      <c r="S38" s="21"/>
      <c r="T38" s="59"/>
      <c r="U38" s="60">
        <f t="shared" si="0"/>
        <v>0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>
        <v>178685183</v>
      </c>
      <c r="AN38" s="60">
        <f t="shared" si="1"/>
        <v>178685183</v>
      </c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>
        <v>63869830</v>
      </c>
      <c r="AZ38" s="60"/>
      <c r="BA38" s="60"/>
      <c r="BB38" s="60"/>
      <c r="BC38" s="61">
        <f t="shared" si="2"/>
        <v>242555013</v>
      </c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>
        <v>12773966</v>
      </c>
      <c r="BO38" s="60"/>
      <c r="BP38" s="61">
        <v>255328979</v>
      </c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>
        <v>12773966</v>
      </c>
      <c r="CD38" s="61"/>
      <c r="CE38" s="61"/>
      <c r="CF38" s="61"/>
      <c r="CG38" s="61">
        <f t="shared" si="3"/>
        <v>268102945</v>
      </c>
      <c r="CH38" s="62">
        <f>VLOOKUP(B38,[1]RPTNCT049_ConsultaSaldosContabl!I$4:K$7987,3,0)</f>
        <v>89417762</v>
      </c>
      <c r="CI38" s="62">
        <f t="shared" si="4"/>
        <v>178685183</v>
      </c>
      <c r="CJ38" s="63">
        <f t="shared" si="5"/>
        <v>268102945</v>
      </c>
      <c r="CK38" s="64">
        <f t="shared" si="6"/>
        <v>0</v>
      </c>
      <c r="CL38" s="16"/>
      <c r="CM38" s="16"/>
      <c r="CN38" s="16"/>
    </row>
    <row r="39" spans="1:96" ht="15" customHeight="1" x14ac:dyDescent="0.2">
      <c r="A39" s="1">
        <v>8000990552</v>
      </c>
      <c r="B39" s="1">
        <v>800099055</v>
      </c>
      <c r="C39" s="9">
        <v>213652036</v>
      </c>
      <c r="D39" s="10" t="s">
        <v>694</v>
      </c>
      <c r="E39" s="45" t="s">
        <v>1716</v>
      </c>
      <c r="F39" s="21"/>
      <c r="G39" s="59"/>
      <c r="H39" s="21"/>
      <c r="I39" s="59"/>
      <c r="J39" s="21"/>
      <c r="K39" s="21"/>
      <c r="L39" s="59"/>
      <c r="M39" s="60"/>
      <c r="N39" s="21"/>
      <c r="O39" s="59"/>
      <c r="P39" s="21"/>
      <c r="Q39" s="59"/>
      <c r="R39" s="21"/>
      <c r="S39" s="21"/>
      <c r="T39" s="59"/>
      <c r="U39" s="60">
        <f t="shared" si="0"/>
        <v>0</v>
      </c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>
        <v>98947474</v>
      </c>
      <c r="AN39" s="60">
        <f t="shared" si="1"/>
        <v>98947474</v>
      </c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>
        <f t="shared" si="2"/>
        <v>98947474</v>
      </c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>
        <v>0</v>
      </c>
      <c r="BO39" s="60"/>
      <c r="BP39" s="61">
        <v>98947474</v>
      </c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>
        <v>0</v>
      </c>
      <c r="CD39" s="61"/>
      <c r="CE39" s="61"/>
      <c r="CF39" s="61"/>
      <c r="CG39" s="61">
        <f t="shared" si="3"/>
        <v>98947474</v>
      </c>
      <c r="CH39" s="62"/>
      <c r="CI39" s="62">
        <f t="shared" si="4"/>
        <v>98947474</v>
      </c>
      <c r="CJ39" s="63">
        <f t="shared" si="5"/>
        <v>98947474</v>
      </c>
      <c r="CK39" s="64">
        <f t="shared" si="6"/>
        <v>0</v>
      </c>
      <c r="CL39" s="16"/>
      <c r="CM39" s="16"/>
      <c r="CN39" s="16"/>
    </row>
    <row r="40" spans="1:96" ht="15" customHeight="1" x14ac:dyDescent="0.2">
      <c r="A40" s="1">
        <v>8919004434</v>
      </c>
      <c r="B40" s="1">
        <v>891900443</v>
      </c>
      <c r="C40" s="9">
        <v>213676036</v>
      </c>
      <c r="D40" s="10" t="s">
        <v>913</v>
      </c>
      <c r="E40" s="45" t="s">
        <v>1974</v>
      </c>
      <c r="F40" s="21"/>
      <c r="G40" s="59"/>
      <c r="H40" s="21"/>
      <c r="I40" s="59"/>
      <c r="J40" s="21"/>
      <c r="K40" s="21"/>
      <c r="L40" s="59"/>
      <c r="M40" s="60"/>
      <c r="N40" s="21"/>
      <c r="O40" s="59"/>
      <c r="P40" s="21"/>
      <c r="Q40" s="59"/>
      <c r="R40" s="21"/>
      <c r="S40" s="21"/>
      <c r="T40" s="59"/>
      <c r="U40" s="60">
        <f t="shared" si="0"/>
        <v>0</v>
      </c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>
        <v>205337729</v>
      </c>
      <c r="AN40" s="60">
        <f t="shared" si="1"/>
        <v>205337729</v>
      </c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>
        <v>124455715</v>
      </c>
      <c r="AZ40" s="60"/>
      <c r="BA40" s="60"/>
      <c r="BB40" s="60"/>
      <c r="BC40" s="61">
        <f t="shared" si="2"/>
        <v>329793444</v>
      </c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>
        <v>24891143</v>
      </c>
      <c r="BO40" s="60"/>
      <c r="BP40" s="61">
        <v>354684587</v>
      </c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>
        <v>24891143</v>
      </c>
      <c r="CD40" s="61"/>
      <c r="CE40" s="61"/>
      <c r="CF40" s="61"/>
      <c r="CG40" s="61">
        <f t="shared" si="3"/>
        <v>379575730</v>
      </c>
      <c r="CH40" s="62">
        <f>VLOOKUP(B40,[1]RPTNCT049_ConsultaSaldosContabl!I$4:K$7987,3,0)</f>
        <v>174238001</v>
      </c>
      <c r="CI40" s="62">
        <f t="shared" si="4"/>
        <v>205337729</v>
      </c>
      <c r="CJ40" s="63">
        <f t="shared" si="5"/>
        <v>379575730</v>
      </c>
      <c r="CK40" s="64">
        <f t="shared" si="6"/>
        <v>0</v>
      </c>
      <c r="CL40" s="16"/>
      <c r="CM40" s="16"/>
      <c r="CN40" s="16"/>
    </row>
    <row r="41" spans="1:96" ht="15" customHeight="1" x14ac:dyDescent="0.2">
      <c r="A41" s="1">
        <v>8909803427</v>
      </c>
      <c r="B41" s="1">
        <v>890980342</v>
      </c>
      <c r="C41" s="9">
        <v>213405034</v>
      </c>
      <c r="D41" s="10" t="s">
        <v>48</v>
      </c>
      <c r="E41" s="45" t="s">
        <v>1081</v>
      </c>
      <c r="F41" s="21"/>
      <c r="G41" s="59"/>
      <c r="H41" s="21"/>
      <c r="I41" s="59"/>
      <c r="J41" s="21"/>
      <c r="K41" s="21"/>
      <c r="L41" s="59"/>
      <c r="M41" s="60"/>
      <c r="N41" s="21"/>
      <c r="O41" s="59"/>
      <c r="P41" s="21"/>
      <c r="Q41" s="59"/>
      <c r="R41" s="21"/>
      <c r="S41" s="21"/>
      <c r="T41" s="59"/>
      <c r="U41" s="60">
        <f t="shared" si="0"/>
        <v>0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>
        <v>602188530</v>
      </c>
      <c r="AN41" s="60">
        <f t="shared" si="1"/>
        <v>602188530</v>
      </c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>
        <v>242615820</v>
      </c>
      <c r="AZ41" s="60"/>
      <c r="BA41" s="60"/>
      <c r="BB41" s="60"/>
      <c r="BC41" s="61">
        <f t="shared" si="2"/>
        <v>844804350</v>
      </c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>
        <v>48523164</v>
      </c>
      <c r="BO41" s="60"/>
      <c r="BP41" s="61">
        <v>893327514</v>
      </c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>
        <v>48523164</v>
      </c>
      <c r="CD41" s="61"/>
      <c r="CE41" s="61"/>
      <c r="CF41" s="61"/>
      <c r="CG41" s="61">
        <f t="shared" si="3"/>
        <v>941850678</v>
      </c>
      <c r="CH41" s="62">
        <f>VLOOKUP(B41,[1]RPTNCT049_ConsultaSaldosContabl!I$4:K$7987,3,0)</f>
        <v>339662148</v>
      </c>
      <c r="CI41" s="62">
        <f t="shared" si="4"/>
        <v>602188530</v>
      </c>
      <c r="CJ41" s="63">
        <f t="shared" si="5"/>
        <v>941850678</v>
      </c>
      <c r="CK41" s="64">
        <f t="shared" si="6"/>
        <v>0</v>
      </c>
      <c r="CL41" s="16"/>
      <c r="CM41" s="16"/>
      <c r="CN41" s="16"/>
    </row>
    <row r="42" spans="1:96" ht="15" customHeight="1" x14ac:dyDescent="0.2">
      <c r="A42" s="1">
        <v>8909814935</v>
      </c>
      <c r="B42" s="1">
        <v>890981493</v>
      </c>
      <c r="C42" s="9">
        <v>213605036</v>
      </c>
      <c r="D42" s="10" t="s">
        <v>49</v>
      </c>
      <c r="E42" s="45" t="s">
        <v>1082</v>
      </c>
      <c r="F42" s="21"/>
      <c r="G42" s="59"/>
      <c r="H42" s="21"/>
      <c r="I42" s="59"/>
      <c r="J42" s="21"/>
      <c r="K42" s="21"/>
      <c r="L42" s="59"/>
      <c r="M42" s="60"/>
      <c r="N42" s="21"/>
      <c r="O42" s="59"/>
      <c r="P42" s="21"/>
      <c r="Q42" s="59"/>
      <c r="R42" s="21"/>
      <c r="S42" s="21"/>
      <c r="T42" s="59"/>
      <c r="U42" s="60">
        <f t="shared" si="0"/>
        <v>0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>
        <f t="shared" si="1"/>
        <v>0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>
        <v>35087360</v>
      </c>
      <c r="AZ42" s="60"/>
      <c r="BA42" s="60">
        <f>VLOOKUP(B42,[2]Hoja3!J$3:K$674,2,0)</f>
        <v>79880628</v>
      </c>
      <c r="BB42" s="60"/>
      <c r="BC42" s="61">
        <f t="shared" si="2"/>
        <v>114967988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>
        <v>7017472</v>
      </c>
      <c r="BO42" s="60"/>
      <c r="BP42" s="61">
        <v>121985460</v>
      </c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>
        <v>7017472</v>
      </c>
      <c r="CD42" s="61"/>
      <c r="CE42" s="61"/>
      <c r="CF42" s="61"/>
      <c r="CG42" s="61">
        <f t="shared" si="3"/>
        <v>129002932</v>
      </c>
      <c r="CH42" s="62">
        <f>VLOOKUP(B42,[1]RPTNCT049_ConsultaSaldosContabl!I$4:K$7987,3,0)</f>
        <v>49122304</v>
      </c>
      <c r="CI42" s="62">
        <f t="shared" si="4"/>
        <v>79880628</v>
      </c>
      <c r="CJ42" s="63">
        <f t="shared" si="5"/>
        <v>129002932</v>
      </c>
      <c r="CK42" s="64">
        <f t="shared" si="6"/>
        <v>0</v>
      </c>
      <c r="CL42" s="16"/>
      <c r="CM42" s="16"/>
      <c r="CN42" s="16"/>
    </row>
    <row r="43" spans="1:96" ht="15" customHeight="1" x14ac:dyDescent="0.2">
      <c r="A43" s="1">
        <v>8909821412</v>
      </c>
      <c r="B43" s="1">
        <v>890982141</v>
      </c>
      <c r="C43" s="9">
        <v>213805038</v>
      </c>
      <c r="D43" s="10" t="s">
        <v>50</v>
      </c>
      <c r="E43" s="45" t="s">
        <v>1083</v>
      </c>
      <c r="F43" s="21"/>
      <c r="G43" s="59"/>
      <c r="H43" s="21"/>
      <c r="I43" s="59"/>
      <c r="J43" s="21"/>
      <c r="K43" s="21"/>
      <c r="L43" s="59"/>
      <c r="M43" s="60"/>
      <c r="N43" s="21"/>
      <c r="O43" s="59"/>
      <c r="P43" s="21"/>
      <c r="Q43" s="59"/>
      <c r="R43" s="21"/>
      <c r="S43" s="21"/>
      <c r="T43" s="59"/>
      <c r="U43" s="60">
        <f t="shared" si="0"/>
        <v>0</v>
      </c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>
        <f t="shared" si="1"/>
        <v>0</v>
      </c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>
        <v>109162925</v>
      </c>
      <c r="AZ43" s="60"/>
      <c r="BA43" s="60">
        <f>VLOOKUP(B43,[2]Hoja3!J$3:K$674,2,0)</f>
        <v>155025868</v>
      </c>
      <c r="BB43" s="60"/>
      <c r="BC43" s="61">
        <f t="shared" si="2"/>
        <v>264188793</v>
      </c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>
        <v>21832585</v>
      </c>
      <c r="BO43" s="60"/>
      <c r="BP43" s="61">
        <v>286021378</v>
      </c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>
        <v>21832585</v>
      </c>
      <c r="CD43" s="61"/>
      <c r="CE43" s="61"/>
      <c r="CF43" s="61"/>
      <c r="CG43" s="61">
        <f t="shared" si="3"/>
        <v>307853963</v>
      </c>
      <c r="CH43" s="62">
        <f>VLOOKUP(B43,[1]RPTNCT049_ConsultaSaldosContabl!I$4:K$7987,3,0)</f>
        <v>152828095</v>
      </c>
      <c r="CI43" s="62">
        <f t="shared" si="4"/>
        <v>155025868</v>
      </c>
      <c r="CJ43" s="63">
        <f t="shared" si="5"/>
        <v>307853963</v>
      </c>
      <c r="CK43" s="64">
        <f t="shared" si="6"/>
        <v>0</v>
      </c>
      <c r="CL43" s="16"/>
      <c r="CM43" s="16"/>
      <c r="CN43" s="16"/>
    </row>
    <row r="44" spans="1:96" ht="15" customHeight="1" x14ac:dyDescent="0.2">
      <c r="A44" s="1">
        <v>8999994263</v>
      </c>
      <c r="B44" s="1">
        <v>899999426</v>
      </c>
      <c r="C44" s="9">
        <v>214025040</v>
      </c>
      <c r="D44" s="10" t="s">
        <v>463</v>
      </c>
      <c r="E44" s="45" t="s">
        <v>1490</v>
      </c>
      <c r="F44" s="21"/>
      <c r="G44" s="59"/>
      <c r="H44" s="21"/>
      <c r="I44" s="59"/>
      <c r="J44" s="21"/>
      <c r="K44" s="21"/>
      <c r="L44" s="59"/>
      <c r="M44" s="60"/>
      <c r="N44" s="21"/>
      <c r="O44" s="59"/>
      <c r="P44" s="21"/>
      <c r="Q44" s="59"/>
      <c r="R44" s="21"/>
      <c r="S44" s="21"/>
      <c r="T44" s="59"/>
      <c r="U44" s="60">
        <f t="shared" si="0"/>
        <v>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>
        <v>211696241</v>
      </c>
      <c r="AN44" s="60">
        <f t="shared" si="1"/>
        <v>211696241</v>
      </c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>
        <v>103888120</v>
      </c>
      <c r="AZ44" s="60"/>
      <c r="BA44" s="60"/>
      <c r="BB44" s="60"/>
      <c r="BC44" s="61">
        <f t="shared" si="2"/>
        <v>315584361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>
        <v>20777624</v>
      </c>
      <c r="BO44" s="60"/>
      <c r="BP44" s="61">
        <v>336361985</v>
      </c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>
        <v>20777624</v>
      </c>
      <c r="CD44" s="61"/>
      <c r="CE44" s="61"/>
      <c r="CF44" s="61"/>
      <c r="CG44" s="61">
        <f t="shared" si="3"/>
        <v>357139609</v>
      </c>
      <c r="CH44" s="62">
        <f>VLOOKUP(B44,[1]RPTNCT049_ConsultaSaldosContabl!I$4:K$7987,3,0)</f>
        <v>145443368</v>
      </c>
      <c r="CI44" s="62">
        <f t="shared" si="4"/>
        <v>211696241</v>
      </c>
      <c r="CJ44" s="63">
        <f t="shared" si="5"/>
        <v>357139609</v>
      </c>
      <c r="CK44" s="64">
        <f t="shared" si="6"/>
        <v>0</v>
      </c>
      <c r="CL44" s="16"/>
      <c r="CM44" s="16"/>
      <c r="CN44" s="16"/>
    </row>
    <row r="45" spans="1:96" ht="15" customHeight="1" x14ac:dyDescent="0.2">
      <c r="A45" s="1">
        <v>8909824891</v>
      </c>
      <c r="B45" s="1">
        <v>890982489</v>
      </c>
      <c r="C45" s="9">
        <v>214005040</v>
      </c>
      <c r="D45" s="10" t="s">
        <v>51</v>
      </c>
      <c r="E45" s="45" t="s">
        <v>1084</v>
      </c>
      <c r="F45" s="21"/>
      <c r="G45" s="59"/>
      <c r="H45" s="21"/>
      <c r="I45" s="59"/>
      <c r="J45" s="21"/>
      <c r="K45" s="21"/>
      <c r="L45" s="59"/>
      <c r="M45" s="60"/>
      <c r="N45" s="21"/>
      <c r="O45" s="59"/>
      <c r="P45" s="21"/>
      <c r="Q45" s="59"/>
      <c r="R45" s="21"/>
      <c r="S45" s="21"/>
      <c r="T45" s="59"/>
      <c r="U45" s="60">
        <f t="shared" si="0"/>
        <v>0</v>
      </c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>
        <f t="shared" si="1"/>
        <v>0</v>
      </c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>
        <v>135444400</v>
      </c>
      <c r="AZ45" s="60"/>
      <c r="BA45" s="60">
        <f>VLOOKUP(B45,[2]Hoja3!J$3:K$674,2,0)</f>
        <v>238370014</v>
      </c>
      <c r="BB45" s="60"/>
      <c r="BC45" s="61">
        <f t="shared" si="2"/>
        <v>373814414</v>
      </c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>
        <v>27088880</v>
      </c>
      <c r="BO45" s="60"/>
      <c r="BP45" s="61">
        <v>400903294</v>
      </c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>
        <v>27088880</v>
      </c>
      <c r="CD45" s="61"/>
      <c r="CE45" s="61"/>
      <c r="CF45" s="61"/>
      <c r="CG45" s="61">
        <f t="shared" si="3"/>
        <v>427992174</v>
      </c>
      <c r="CH45" s="62">
        <f>VLOOKUP(B45,[1]RPTNCT049_ConsultaSaldosContabl!I$4:K$7987,3,0)</f>
        <v>189622160</v>
      </c>
      <c r="CI45" s="62">
        <f t="shared" si="4"/>
        <v>238370014</v>
      </c>
      <c r="CJ45" s="63">
        <f t="shared" si="5"/>
        <v>427992174</v>
      </c>
      <c r="CK45" s="64">
        <f t="shared" si="6"/>
        <v>0</v>
      </c>
      <c r="CL45" s="16"/>
      <c r="CM45" s="16"/>
      <c r="CN45" s="16"/>
    </row>
    <row r="46" spans="1:96" ht="15" customHeight="1" x14ac:dyDescent="0.2">
      <c r="A46" s="1">
        <v>8908011391</v>
      </c>
      <c r="B46" s="1">
        <v>890801139</v>
      </c>
      <c r="C46" s="9">
        <v>214217042</v>
      </c>
      <c r="D46" s="10" t="s">
        <v>337</v>
      </c>
      <c r="E46" s="45" t="s">
        <v>1368</v>
      </c>
      <c r="F46" s="21"/>
      <c r="G46" s="59"/>
      <c r="H46" s="21"/>
      <c r="I46" s="59"/>
      <c r="J46" s="21"/>
      <c r="K46" s="21"/>
      <c r="L46" s="59"/>
      <c r="M46" s="60"/>
      <c r="N46" s="21"/>
      <c r="O46" s="59"/>
      <c r="P46" s="21"/>
      <c r="Q46" s="59"/>
      <c r="R46" s="21"/>
      <c r="S46" s="21"/>
      <c r="T46" s="59"/>
      <c r="U46" s="60">
        <f t="shared" si="0"/>
        <v>0</v>
      </c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>
        <v>415879555</v>
      </c>
      <c r="AN46" s="60">
        <f t="shared" si="1"/>
        <v>415879555</v>
      </c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>
        <v>234171635</v>
      </c>
      <c r="AZ46" s="60"/>
      <c r="BA46" s="60"/>
      <c r="BB46" s="60"/>
      <c r="BC46" s="61">
        <f t="shared" si="2"/>
        <v>650051190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>
        <v>46834327</v>
      </c>
      <c r="BO46" s="60"/>
      <c r="BP46" s="61">
        <v>696885517</v>
      </c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>
        <v>46834327</v>
      </c>
      <c r="CD46" s="61"/>
      <c r="CE46" s="61"/>
      <c r="CF46" s="61"/>
      <c r="CG46" s="61">
        <f t="shared" si="3"/>
        <v>743719844</v>
      </c>
      <c r="CH46" s="62">
        <f>VLOOKUP(B46,[1]RPTNCT049_ConsultaSaldosContabl!I$4:K$7987,3,0)</f>
        <v>327840289</v>
      </c>
      <c r="CI46" s="62">
        <f t="shared" si="4"/>
        <v>415879555</v>
      </c>
      <c r="CJ46" s="63">
        <f t="shared" si="5"/>
        <v>743719844</v>
      </c>
      <c r="CK46" s="64">
        <f t="shared" si="6"/>
        <v>0</v>
      </c>
      <c r="CL46" s="16"/>
      <c r="CM46" s="16"/>
      <c r="CN46" s="16"/>
    </row>
    <row r="47" spans="1:96" ht="15" customHeight="1" x14ac:dyDescent="0.2">
      <c r="A47" s="1">
        <v>8001005328</v>
      </c>
      <c r="B47" s="1">
        <v>800100532</v>
      </c>
      <c r="C47" s="9">
        <v>214176041</v>
      </c>
      <c r="D47" s="10" t="s">
        <v>914</v>
      </c>
      <c r="E47" s="45" t="s">
        <v>1975</v>
      </c>
      <c r="F47" s="21"/>
      <c r="G47" s="59"/>
      <c r="H47" s="21"/>
      <c r="I47" s="59"/>
      <c r="J47" s="21"/>
      <c r="K47" s="21"/>
      <c r="L47" s="59"/>
      <c r="M47" s="60"/>
      <c r="N47" s="21"/>
      <c r="O47" s="59"/>
      <c r="P47" s="21"/>
      <c r="Q47" s="59"/>
      <c r="R47" s="21"/>
      <c r="S47" s="21"/>
      <c r="T47" s="59"/>
      <c r="U47" s="60">
        <f t="shared" si="0"/>
        <v>0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>
        <v>159015700</v>
      </c>
      <c r="AN47" s="60">
        <f t="shared" si="1"/>
        <v>159015700</v>
      </c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>
        <v>114597565</v>
      </c>
      <c r="AZ47" s="60"/>
      <c r="BA47" s="60">
        <f>VLOOKUP(B47,[2]Hoja3!J$3:K$674,2,0)</f>
        <v>41595426</v>
      </c>
      <c r="BB47" s="60"/>
      <c r="BC47" s="61">
        <f t="shared" si="2"/>
        <v>315208691</v>
      </c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>
        <v>22919513</v>
      </c>
      <c r="BO47" s="60"/>
      <c r="BP47" s="61">
        <v>338128204</v>
      </c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>
        <v>22919513</v>
      </c>
      <c r="CD47" s="61"/>
      <c r="CE47" s="61"/>
      <c r="CF47" s="61"/>
      <c r="CG47" s="61">
        <f t="shared" si="3"/>
        <v>361047717</v>
      </c>
      <c r="CH47" s="62">
        <f>VLOOKUP(B47,[1]RPTNCT049_ConsultaSaldosContabl!I$4:K$7987,3,0)</f>
        <v>160436591</v>
      </c>
      <c r="CI47" s="62">
        <f t="shared" si="4"/>
        <v>200611126</v>
      </c>
      <c r="CJ47" s="63">
        <f t="shared" si="5"/>
        <v>361047717</v>
      </c>
      <c r="CK47" s="64">
        <f t="shared" si="6"/>
        <v>0</v>
      </c>
      <c r="CL47" s="16"/>
      <c r="CM47" s="16"/>
      <c r="CN47" s="16"/>
    </row>
    <row r="48" spans="1:96" ht="15" customHeight="1" x14ac:dyDescent="0.2">
      <c r="A48" s="1">
        <v>8909075691</v>
      </c>
      <c r="B48" s="1">
        <v>890907569</v>
      </c>
      <c r="C48" s="9">
        <v>214205042</v>
      </c>
      <c r="D48" s="10" t="s">
        <v>52</v>
      </c>
      <c r="E48" s="45" t="s">
        <v>2083</v>
      </c>
      <c r="F48" s="21"/>
      <c r="G48" s="59"/>
      <c r="H48" s="21"/>
      <c r="I48" s="59"/>
      <c r="J48" s="21"/>
      <c r="K48" s="21"/>
      <c r="L48" s="59"/>
      <c r="M48" s="60"/>
      <c r="N48" s="21"/>
      <c r="O48" s="59"/>
      <c r="P48" s="21"/>
      <c r="Q48" s="59"/>
      <c r="R48" s="21"/>
      <c r="S48" s="21"/>
      <c r="T48" s="59"/>
      <c r="U48" s="60">
        <f t="shared" si="0"/>
        <v>0</v>
      </c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>
        <f t="shared" si="1"/>
        <v>0</v>
      </c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>
        <v>214530950</v>
      </c>
      <c r="AZ48" s="60"/>
      <c r="BA48" s="60">
        <f>VLOOKUP(B48,[2]Hoja3!J$3:K$674,2,0)</f>
        <v>352296021</v>
      </c>
      <c r="BB48" s="60"/>
      <c r="BC48" s="61">
        <f t="shared" si="2"/>
        <v>566826971</v>
      </c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>
        <v>42906190</v>
      </c>
      <c r="BO48" s="60"/>
      <c r="BP48" s="61">
        <v>609733161</v>
      </c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>
        <v>42906190</v>
      </c>
      <c r="CD48" s="61"/>
      <c r="CE48" s="61"/>
      <c r="CF48" s="61"/>
      <c r="CG48" s="61">
        <f t="shared" si="3"/>
        <v>652639351</v>
      </c>
      <c r="CH48" s="62">
        <f>VLOOKUP(B48,[1]RPTNCT049_ConsultaSaldosContabl!I$4:K$7987,3,0)</f>
        <v>300343330</v>
      </c>
      <c r="CI48" s="62">
        <f t="shared" si="4"/>
        <v>352296021</v>
      </c>
      <c r="CJ48" s="63">
        <f t="shared" si="5"/>
        <v>652639351</v>
      </c>
      <c r="CK48" s="64">
        <f t="shared" si="6"/>
        <v>0</v>
      </c>
      <c r="CL48" s="16"/>
      <c r="CM48" s="16"/>
      <c r="CN48" s="16"/>
    </row>
    <row r="49" spans="1:96" ht="15" customHeight="1" x14ac:dyDescent="0.2">
      <c r="A49" s="1">
        <v>8909838249</v>
      </c>
      <c r="B49" s="1">
        <v>890983824</v>
      </c>
      <c r="C49" s="9">
        <v>214405044</v>
      </c>
      <c r="D49" s="10" t="s">
        <v>53</v>
      </c>
      <c r="E49" s="45" t="s">
        <v>1085</v>
      </c>
      <c r="F49" s="21"/>
      <c r="G49" s="59"/>
      <c r="H49" s="21"/>
      <c r="I49" s="59"/>
      <c r="J49" s="21"/>
      <c r="K49" s="21"/>
      <c r="L49" s="59"/>
      <c r="M49" s="60"/>
      <c r="N49" s="21"/>
      <c r="O49" s="59"/>
      <c r="P49" s="21"/>
      <c r="Q49" s="59"/>
      <c r="R49" s="21"/>
      <c r="S49" s="21"/>
      <c r="T49" s="59"/>
      <c r="U49" s="60">
        <f t="shared" si="0"/>
        <v>0</v>
      </c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>
        <f t="shared" si="1"/>
        <v>0</v>
      </c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>
        <v>46261170</v>
      </c>
      <c r="AZ49" s="60"/>
      <c r="BA49" s="60">
        <f>VLOOKUP(B49,[2]Hoja3!J$3:K$674,2,0)</f>
        <v>97874861</v>
      </c>
      <c r="BB49" s="60"/>
      <c r="BC49" s="61">
        <f t="shared" si="2"/>
        <v>144136031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>
        <v>9252234</v>
      </c>
      <c r="BO49" s="60"/>
      <c r="BP49" s="61">
        <v>153388265</v>
      </c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>
        <v>9252234</v>
      </c>
      <c r="CD49" s="61"/>
      <c r="CE49" s="61"/>
      <c r="CF49" s="61"/>
      <c r="CG49" s="61">
        <f t="shared" si="3"/>
        <v>162640499</v>
      </c>
      <c r="CH49" s="62">
        <f>VLOOKUP(B49,[1]RPTNCT049_ConsultaSaldosContabl!I$4:K$7987,3,0)</f>
        <v>64765638</v>
      </c>
      <c r="CI49" s="62">
        <f t="shared" si="4"/>
        <v>97874861</v>
      </c>
      <c r="CJ49" s="63">
        <f t="shared" si="5"/>
        <v>162640499</v>
      </c>
      <c r="CK49" s="64">
        <f t="shared" si="6"/>
        <v>0</v>
      </c>
      <c r="CL49" s="16"/>
      <c r="CM49" s="16"/>
      <c r="CN49" s="16"/>
    </row>
    <row r="50" spans="1:96" ht="15" customHeight="1" x14ac:dyDescent="0.2">
      <c r="A50" s="1">
        <v>8907020184</v>
      </c>
      <c r="B50" s="1">
        <v>890702018</v>
      </c>
      <c r="C50" s="9">
        <v>214373043</v>
      </c>
      <c r="D50" s="10" t="s">
        <v>2206</v>
      </c>
      <c r="E50" s="45" t="s">
        <v>1931</v>
      </c>
      <c r="F50" s="21"/>
      <c r="G50" s="59"/>
      <c r="H50" s="21"/>
      <c r="I50" s="59"/>
      <c r="J50" s="21"/>
      <c r="K50" s="21"/>
      <c r="L50" s="59"/>
      <c r="M50" s="60"/>
      <c r="N50" s="21"/>
      <c r="O50" s="59"/>
      <c r="P50" s="21"/>
      <c r="Q50" s="59"/>
      <c r="R50" s="21"/>
      <c r="S50" s="21"/>
      <c r="T50" s="59"/>
      <c r="U50" s="60">
        <f t="shared" si="0"/>
        <v>0</v>
      </c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>
        <f t="shared" si="1"/>
        <v>0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>
        <v>134969305</v>
      </c>
      <c r="AZ50" s="60"/>
      <c r="BA50" s="60">
        <f>VLOOKUP(B50,[2]Hoja3!J$3:K$674,2,0)</f>
        <v>171448041</v>
      </c>
      <c r="BB50" s="60"/>
      <c r="BC50" s="61">
        <f t="shared" si="2"/>
        <v>306417346</v>
      </c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>
        <v>26993861</v>
      </c>
      <c r="BO50" s="60"/>
      <c r="BP50" s="61">
        <v>333411207</v>
      </c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>
        <v>26993861</v>
      </c>
      <c r="CD50" s="61"/>
      <c r="CE50" s="61"/>
      <c r="CF50" s="61"/>
      <c r="CG50" s="61">
        <f t="shared" si="3"/>
        <v>360405068</v>
      </c>
      <c r="CH50" s="62">
        <f>VLOOKUP(B50,[1]RPTNCT049_ConsultaSaldosContabl!I$4:K$7987,3,0)</f>
        <v>188957027</v>
      </c>
      <c r="CI50" s="62">
        <f t="shared" si="4"/>
        <v>171448041</v>
      </c>
      <c r="CJ50" s="63">
        <f t="shared" si="5"/>
        <v>360405068</v>
      </c>
      <c r="CK50" s="64">
        <f t="shared" si="6"/>
        <v>0</v>
      </c>
      <c r="CL50" s="16"/>
      <c r="CM50" s="16"/>
      <c r="CN50" s="16"/>
    </row>
    <row r="51" spans="1:96" ht="15" customHeight="1" x14ac:dyDescent="0.2">
      <c r="A51" s="1">
        <v>8909800952</v>
      </c>
      <c r="B51" s="1">
        <v>890980095</v>
      </c>
      <c r="C51" s="9">
        <v>214505045</v>
      </c>
      <c r="D51" s="10" t="s">
        <v>54</v>
      </c>
      <c r="E51" s="46" t="s">
        <v>2108</v>
      </c>
      <c r="F51" s="21"/>
      <c r="G51" s="59"/>
      <c r="H51" s="21"/>
      <c r="I51" s="59">
        <v>2878738504</v>
      </c>
      <c r="J51" s="21">
        <v>213803383</v>
      </c>
      <c r="K51" s="21">
        <v>425368073</v>
      </c>
      <c r="L51" s="59"/>
      <c r="M51" s="61">
        <f>SUM(F51:L51)</f>
        <v>3517909960</v>
      </c>
      <c r="N51" s="21"/>
      <c r="O51" s="59"/>
      <c r="P51" s="21"/>
      <c r="Q51" s="59">
        <f>2684827991+46599699</f>
        <v>2731427690</v>
      </c>
      <c r="R51" s="21">
        <v>213803383</v>
      </c>
      <c r="S51" s="21">
        <f>211564690+213803383</f>
        <v>425368073</v>
      </c>
      <c r="T51" s="59"/>
      <c r="U51" s="60">
        <f t="shared" si="0"/>
        <v>6888509106</v>
      </c>
      <c r="V51" s="60"/>
      <c r="W51" s="60"/>
      <c r="X51" s="60"/>
      <c r="Y51" s="60">
        <v>4538941420</v>
      </c>
      <c r="Z51" s="60">
        <v>208292356</v>
      </c>
      <c r="AA51" s="60">
        <v>482592112</v>
      </c>
      <c r="AB51" s="60"/>
      <c r="AC51" s="60">
        <f t="shared" ref="AC4:AC67" si="7">SUM(U51:AB51)</f>
        <v>12118334994</v>
      </c>
      <c r="AD51" s="60"/>
      <c r="AE51" s="60"/>
      <c r="AF51" s="60"/>
      <c r="AG51" s="60"/>
      <c r="AH51" s="60">
        <v>3161180008</v>
      </c>
      <c r="AI51" s="60">
        <v>2759301451</v>
      </c>
      <c r="AJ51" s="60">
        <v>216710035</v>
      </c>
      <c r="AK51" s="60">
        <v>547436727</v>
      </c>
      <c r="AL51" s="60"/>
      <c r="AM51" s="60">
        <v>1962648182</v>
      </c>
      <c r="AN51" s="60">
        <f t="shared" si="1"/>
        <v>20765611397</v>
      </c>
      <c r="AO51" s="60"/>
      <c r="AP51" s="60"/>
      <c r="AQ51" s="60">
        <v>715098920</v>
      </c>
      <c r="AR51" s="60"/>
      <c r="AS51" s="60"/>
      <c r="AT51" s="60">
        <v>3161180008</v>
      </c>
      <c r="AU51" s="60"/>
      <c r="AV51" s="60">
        <v>216710035</v>
      </c>
      <c r="AW51" s="60">
        <v>371060499</v>
      </c>
      <c r="AX51" s="60"/>
      <c r="AY51" s="60"/>
      <c r="AZ51" s="60">
        <v>126131774</v>
      </c>
      <c r="BA51" s="60"/>
      <c r="BB51" s="60"/>
      <c r="BC51" s="61">
        <f t="shared" si="2"/>
        <v>25355792633</v>
      </c>
      <c r="BD51" s="60"/>
      <c r="BE51" s="60"/>
      <c r="BF51" s="60">
        <v>143019784</v>
      </c>
      <c r="BG51" s="60"/>
      <c r="BH51" s="60"/>
      <c r="BI51" s="60">
        <v>3122445530</v>
      </c>
      <c r="BJ51" s="60">
        <v>316356840</v>
      </c>
      <c r="BK51" s="60">
        <v>215796887</v>
      </c>
      <c r="BL51" s="60">
        <v>536454980</v>
      </c>
      <c r="BM51" s="60"/>
      <c r="BN51" s="60"/>
      <c r="BO51" s="60"/>
      <c r="BP51" s="61">
        <v>29689866654</v>
      </c>
      <c r="BQ51" s="61"/>
      <c r="BR51" s="61"/>
      <c r="BS51" s="61">
        <v>143019784</v>
      </c>
      <c r="BT51" s="61"/>
      <c r="BU51" s="61"/>
      <c r="BV51" s="61"/>
      <c r="BW51" s="61">
        <v>2915900726</v>
      </c>
      <c r="BX51" s="61"/>
      <c r="BY51" s="61">
        <v>1369644925</v>
      </c>
      <c r="BZ51" s="61">
        <v>214155447</v>
      </c>
      <c r="CA51" s="61">
        <v>569013426</v>
      </c>
      <c r="CB51" s="61"/>
      <c r="CC51" s="61"/>
      <c r="CD51" s="61"/>
      <c r="CE51" s="61">
        <v>59758381</v>
      </c>
      <c r="CF51" s="61"/>
      <c r="CG51" s="61">
        <f t="shared" si="3"/>
        <v>34961359343</v>
      </c>
      <c r="CH51" s="62">
        <f>VLOOKUP(B51,[1]RPTNCT049_ConsultaSaldosContabl!I$4:K$7987,3,0)</f>
        <v>32938952780</v>
      </c>
      <c r="CI51" s="62">
        <f t="shared" si="4"/>
        <v>2022406563</v>
      </c>
      <c r="CJ51" s="63">
        <f t="shared" si="5"/>
        <v>34961359343</v>
      </c>
      <c r="CK51" s="64">
        <f t="shared" si="6"/>
        <v>0</v>
      </c>
      <c r="CL51" s="16"/>
      <c r="CM51" s="16"/>
      <c r="CN51" s="16"/>
    </row>
    <row r="52" spans="1:96" ht="15" customHeight="1" x14ac:dyDescent="0.2">
      <c r="A52" s="1">
        <v>8914800223</v>
      </c>
      <c r="B52" s="1">
        <v>891480022</v>
      </c>
      <c r="C52" s="9">
        <v>214566045</v>
      </c>
      <c r="D52" s="10" t="s">
        <v>800</v>
      </c>
      <c r="E52" s="45" t="s">
        <v>1817</v>
      </c>
      <c r="F52" s="21"/>
      <c r="G52" s="59"/>
      <c r="H52" s="21"/>
      <c r="I52" s="59"/>
      <c r="J52" s="21"/>
      <c r="K52" s="21"/>
      <c r="L52" s="59"/>
      <c r="M52" s="60"/>
      <c r="N52" s="21"/>
      <c r="O52" s="59"/>
      <c r="P52" s="21"/>
      <c r="Q52" s="59"/>
      <c r="R52" s="21"/>
      <c r="S52" s="21"/>
      <c r="T52" s="59"/>
      <c r="U52" s="60">
        <f t="shared" si="0"/>
        <v>0</v>
      </c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>
        <v>152426352</v>
      </c>
      <c r="AN52" s="60">
        <f t="shared" si="1"/>
        <v>152426352</v>
      </c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>
        <v>77708230</v>
      </c>
      <c r="AZ52" s="60"/>
      <c r="BA52" s="60">
        <f>VLOOKUP(B52,[2]Hoja3!J$3:K$674,2,0)</f>
        <v>195347256</v>
      </c>
      <c r="BB52" s="60"/>
      <c r="BC52" s="61">
        <f t="shared" si="2"/>
        <v>425481838</v>
      </c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>
        <v>15541646</v>
      </c>
      <c r="BO52" s="60"/>
      <c r="BP52" s="61">
        <v>441023484</v>
      </c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>
        <v>15541646</v>
      </c>
      <c r="CD52" s="61"/>
      <c r="CE52" s="61"/>
      <c r="CF52" s="61"/>
      <c r="CG52" s="61">
        <f t="shared" si="3"/>
        <v>456565130</v>
      </c>
      <c r="CH52" s="62">
        <f>VLOOKUP(B52,[1]RPTNCT049_ConsultaSaldosContabl!I$4:K$7987,3,0)</f>
        <v>108791522</v>
      </c>
      <c r="CI52" s="62">
        <f t="shared" si="4"/>
        <v>347773608</v>
      </c>
      <c r="CJ52" s="63">
        <f t="shared" si="5"/>
        <v>456565130</v>
      </c>
      <c r="CK52" s="64">
        <f t="shared" si="6"/>
        <v>0</v>
      </c>
      <c r="CL52" s="16"/>
      <c r="CM52" s="16"/>
      <c r="CN52" s="16"/>
    </row>
    <row r="53" spans="1:96" ht="15" customHeight="1" x14ac:dyDescent="0.2">
      <c r="A53" s="1">
        <v>8906802367</v>
      </c>
      <c r="B53" s="1">
        <v>890680236</v>
      </c>
      <c r="C53" s="9">
        <v>219925599</v>
      </c>
      <c r="D53" s="10" t="s">
        <v>529</v>
      </c>
      <c r="E53" s="27" t="s">
        <v>1554</v>
      </c>
      <c r="F53" s="21"/>
      <c r="G53" s="59"/>
      <c r="H53" s="21"/>
      <c r="I53" s="59"/>
      <c r="J53" s="21"/>
      <c r="K53" s="21"/>
      <c r="L53" s="59"/>
      <c r="M53" s="60"/>
      <c r="N53" s="21"/>
      <c r="O53" s="59"/>
      <c r="P53" s="21"/>
      <c r="Q53" s="59"/>
      <c r="R53" s="21"/>
      <c r="S53" s="21"/>
      <c r="T53" s="59"/>
      <c r="U53" s="60">
        <f t="shared" si="0"/>
        <v>0</v>
      </c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>
        <v>85049187</v>
      </c>
      <c r="AN53" s="60">
        <f t="shared" si="1"/>
        <v>85049187</v>
      </c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>
        <f>VLOOKUP(B53,'[3]anuladas en mayo gratuidad}'!K$2:L$55,2,0)</f>
        <v>85049187</v>
      </c>
      <c r="BC53" s="61">
        <f t="shared" si="2"/>
        <v>0</v>
      </c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>
        <v>0</v>
      </c>
      <c r="BO53" s="60"/>
      <c r="BP53" s="60">
        <v>0</v>
      </c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>
        <v>67136125</v>
      </c>
      <c r="CD53" s="61"/>
      <c r="CE53" s="61"/>
      <c r="CF53" s="61"/>
      <c r="CG53" s="61">
        <f t="shared" si="3"/>
        <v>67136125</v>
      </c>
      <c r="CH53" s="62">
        <f>VLOOKUP(B53,[1]RPTNCT049_ConsultaSaldosContabl!I$4:K$7987,3,0)</f>
        <v>67136125</v>
      </c>
      <c r="CI53" s="62">
        <f t="shared" si="4"/>
        <v>0</v>
      </c>
      <c r="CJ53" s="63">
        <f t="shared" si="5"/>
        <v>67136125</v>
      </c>
      <c r="CK53" s="64">
        <f t="shared" si="6"/>
        <v>0</v>
      </c>
      <c r="CL53" s="16"/>
      <c r="CM53" s="16"/>
      <c r="CN53" s="16"/>
    </row>
    <row r="54" spans="1:96" ht="15" customHeight="1" x14ac:dyDescent="0.2">
      <c r="A54" s="1">
        <v>8000775455</v>
      </c>
      <c r="B54" s="1">
        <v>800077545</v>
      </c>
      <c r="C54" s="9">
        <v>214715047</v>
      </c>
      <c r="D54" s="10" t="s">
        <v>219</v>
      </c>
      <c r="E54" s="45" t="s">
        <v>1254</v>
      </c>
      <c r="F54" s="21"/>
      <c r="G54" s="59"/>
      <c r="H54" s="21"/>
      <c r="I54" s="59"/>
      <c r="J54" s="21"/>
      <c r="K54" s="21"/>
      <c r="L54" s="59"/>
      <c r="M54" s="60"/>
      <c r="N54" s="21"/>
      <c r="O54" s="59"/>
      <c r="P54" s="21"/>
      <c r="Q54" s="59"/>
      <c r="R54" s="21"/>
      <c r="S54" s="21"/>
      <c r="T54" s="59"/>
      <c r="U54" s="60">
        <f t="shared" si="0"/>
        <v>0</v>
      </c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>
        <v>34802688</v>
      </c>
      <c r="AN54" s="60">
        <f t="shared" si="1"/>
        <v>34802688</v>
      </c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>
        <v>114472460</v>
      </c>
      <c r="AZ54" s="60"/>
      <c r="BA54" s="60">
        <f>VLOOKUP(B54,[2]Hoja3!J$3:K$674,2,0)</f>
        <v>220829202</v>
      </c>
      <c r="BB54" s="60"/>
      <c r="BC54" s="61">
        <f t="shared" si="2"/>
        <v>370104350</v>
      </c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>
        <v>22894492</v>
      </c>
      <c r="BO54" s="60"/>
      <c r="BP54" s="61">
        <v>392998842</v>
      </c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>
        <v>22894492</v>
      </c>
      <c r="CD54" s="61"/>
      <c r="CE54" s="61"/>
      <c r="CF54" s="61"/>
      <c r="CG54" s="61">
        <f t="shared" si="3"/>
        <v>415893334</v>
      </c>
      <c r="CH54" s="62">
        <f>VLOOKUP(B54,[1]RPTNCT049_ConsultaSaldosContabl!I$4:K$7987,3,0)</f>
        <v>160261444</v>
      </c>
      <c r="CI54" s="62">
        <f t="shared" si="4"/>
        <v>255631890</v>
      </c>
      <c r="CJ54" s="63">
        <f t="shared" si="5"/>
        <v>415893334</v>
      </c>
      <c r="CK54" s="64">
        <f t="shared" si="6"/>
        <v>0</v>
      </c>
      <c r="CL54" s="16"/>
      <c r="CM54" s="16"/>
      <c r="CN54" s="8"/>
      <c r="CO54" s="8"/>
      <c r="CP54" s="8"/>
      <c r="CQ54" s="8"/>
      <c r="CR54" s="8"/>
    </row>
    <row r="55" spans="1:96" ht="15" customHeight="1" x14ac:dyDescent="0.2">
      <c r="A55" s="1">
        <v>8917800410</v>
      </c>
      <c r="B55" s="1">
        <v>891780041</v>
      </c>
      <c r="C55" s="9">
        <v>215347053</v>
      </c>
      <c r="D55" s="10" t="s">
        <v>641</v>
      </c>
      <c r="E55" s="45" t="s">
        <v>1660</v>
      </c>
      <c r="F55" s="21"/>
      <c r="G55" s="59"/>
      <c r="H55" s="21"/>
      <c r="I55" s="59"/>
      <c r="J55" s="21"/>
      <c r="K55" s="21"/>
      <c r="L55" s="59"/>
      <c r="M55" s="60"/>
      <c r="N55" s="21"/>
      <c r="O55" s="59"/>
      <c r="P55" s="21"/>
      <c r="Q55" s="59"/>
      <c r="R55" s="21"/>
      <c r="S55" s="21"/>
      <c r="T55" s="59"/>
      <c r="U55" s="60">
        <f t="shared" si="0"/>
        <v>0</v>
      </c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>
        <v>207970076</v>
      </c>
      <c r="AN55" s="60">
        <f t="shared" si="1"/>
        <v>207970076</v>
      </c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>
        <v>396910180</v>
      </c>
      <c r="AZ55" s="60"/>
      <c r="BA55" s="60">
        <f>VLOOKUP(B55,[2]Hoja3!J$3:K$674,2,0)</f>
        <v>494213191</v>
      </c>
      <c r="BB55" s="60"/>
      <c r="BC55" s="61">
        <f t="shared" si="2"/>
        <v>1099093447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>
        <v>79382036</v>
      </c>
      <c r="BO55" s="60"/>
      <c r="BP55" s="61">
        <v>1178475483</v>
      </c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>
        <v>79382036</v>
      </c>
      <c r="CD55" s="61"/>
      <c r="CE55" s="61"/>
      <c r="CF55" s="61"/>
      <c r="CG55" s="61">
        <f t="shared" si="3"/>
        <v>1257857519</v>
      </c>
      <c r="CH55" s="62">
        <f>VLOOKUP(B55,[1]RPTNCT049_ConsultaSaldosContabl!I$4:K$7987,3,0)</f>
        <v>555674252</v>
      </c>
      <c r="CI55" s="62">
        <f t="shared" si="4"/>
        <v>702183267</v>
      </c>
      <c r="CJ55" s="63">
        <f t="shared" si="5"/>
        <v>1257857519</v>
      </c>
      <c r="CK55" s="64">
        <f t="shared" si="6"/>
        <v>0</v>
      </c>
      <c r="CL55" s="16"/>
      <c r="CM55" s="16"/>
      <c r="CN55" s="16"/>
    </row>
    <row r="56" spans="1:96" ht="15" customHeight="1" x14ac:dyDescent="0.2">
      <c r="A56" s="1">
        <v>8908011424</v>
      </c>
      <c r="B56" s="1">
        <v>890801142</v>
      </c>
      <c r="C56" s="9">
        <v>215017050</v>
      </c>
      <c r="D56" s="10" t="s">
        <v>338</v>
      </c>
      <c r="E56" s="45" t="s">
        <v>1369</v>
      </c>
      <c r="F56" s="21"/>
      <c r="G56" s="59"/>
      <c r="H56" s="21"/>
      <c r="I56" s="59"/>
      <c r="J56" s="21"/>
      <c r="K56" s="21"/>
      <c r="L56" s="59"/>
      <c r="M56" s="60"/>
      <c r="N56" s="21"/>
      <c r="O56" s="59"/>
      <c r="P56" s="21"/>
      <c r="Q56" s="59"/>
      <c r="R56" s="21"/>
      <c r="S56" s="21"/>
      <c r="T56" s="59"/>
      <c r="U56" s="60">
        <f t="shared" si="0"/>
        <v>0</v>
      </c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>
        <v>167204788</v>
      </c>
      <c r="AN56" s="60">
        <f t="shared" si="1"/>
        <v>167204788</v>
      </c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>
        <v>87087040</v>
      </c>
      <c r="AZ56" s="60"/>
      <c r="BA56" s="60"/>
      <c r="BB56" s="60"/>
      <c r="BC56" s="61">
        <f t="shared" si="2"/>
        <v>254291828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>
        <v>17417408</v>
      </c>
      <c r="BO56" s="60"/>
      <c r="BP56" s="61">
        <v>271709236</v>
      </c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>
        <v>17417408</v>
      </c>
      <c r="CD56" s="61"/>
      <c r="CE56" s="61"/>
      <c r="CF56" s="61"/>
      <c r="CG56" s="61">
        <f t="shared" si="3"/>
        <v>289126644</v>
      </c>
      <c r="CH56" s="62">
        <f>VLOOKUP(B56,[1]RPTNCT049_ConsultaSaldosContabl!I$4:K$7987,3,0)</f>
        <v>121921856</v>
      </c>
      <c r="CI56" s="62">
        <f t="shared" si="4"/>
        <v>167204788</v>
      </c>
      <c r="CJ56" s="63">
        <f t="shared" si="5"/>
        <v>289126644</v>
      </c>
      <c r="CK56" s="64">
        <f t="shared" si="6"/>
        <v>0</v>
      </c>
      <c r="CL56" s="16"/>
      <c r="CM56" s="16"/>
      <c r="CN56" s="16"/>
    </row>
    <row r="57" spans="1:96" ht="15" customHeight="1" x14ac:dyDescent="0.2">
      <c r="A57" s="1">
        <v>8902053345</v>
      </c>
      <c r="B57" s="1">
        <v>890205334</v>
      </c>
      <c r="C57" s="9">
        <v>215168051</v>
      </c>
      <c r="D57" s="10" t="s">
        <v>814</v>
      </c>
      <c r="E57" s="45" t="s">
        <v>1831</v>
      </c>
      <c r="F57" s="21"/>
      <c r="G57" s="59"/>
      <c r="H57" s="21"/>
      <c r="I57" s="59"/>
      <c r="J57" s="21"/>
      <c r="K57" s="21"/>
      <c r="L57" s="59"/>
      <c r="M57" s="60"/>
      <c r="N57" s="21"/>
      <c r="O57" s="59"/>
      <c r="P57" s="21"/>
      <c r="Q57" s="59"/>
      <c r="R57" s="21"/>
      <c r="S57" s="21"/>
      <c r="T57" s="59"/>
      <c r="U57" s="60">
        <f t="shared" si="0"/>
        <v>0</v>
      </c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>
        <v>66162425</v>
      </c>
      <c r="AZ57" s="60"/>
      <c r="BA57" s="60">
        <f>VLOOKUP(B57,[2]Hoja3!J$3:K$674,2,0)</f>
        <v>136634093</v>
      </c>
      <c r="BB57" s="60"/>
      <c r="BC57" s="61">
        <f t="shared" si="2"/>
        <v>202796518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>
        <v>13232485</v>
      </c>
      <c r="BO57" s="60"/>
      <c r="BP57" s="61">
        <v>216029003</v>
      </c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>
        <v>13232485</v>
      </c>
      <c r="CD57" s="61"/>
      <c r="CE57" s="61"/>
      <c r="CF57" s="61"/>
      <c r="CG57" s="61">
        <f t="shared" si="3"/>
        <v>229261488</v>
      </c>
      <c r="CH57" s="62">
        <f>VLOOKUP(B57,[1]RPTNCT049_ConsultaSaldosContabl!I$4:K$7987,3,0)</f>
        <v>92627395</v>
      </c>
      <c r="CI57" s="62">
        <f t="shared" si="4"/>
        <v>136634093</v>
      </c>
      <c r="CJ57" s="63">
        <f t="shared" si="5"/>
        <v>229261488</v>
      </c>
      <c r="CK57" s="64">
        <f t="shared" si="6"/>
        <v>0</v>
      </c>
      <c r="CL57" s="16"/>
      <c r="CM57" s="16"/>
      <c r="CN57" s="16"/>
    </row>
    <row r="58" spans="1:96" ht="15" customHeight="1" x14ac:dyDescent="0.2">
      <c r="A58" s="1">
        <v>8001025040</v>
      </c>
      <c r="B58" s="1">
        <v>800102504</v>
      </c>
      <c r="C58" s="9">
        <v>210181001</v>
      </c>
      <c r="D58" s="10" t="s">
        <v>948</v>
      </c>
      <c r="E58" s="45" t="s">
        <v>2008</v>
      </c>
      <c r="F58" s="21"/>
      <c r="G58" s="59"/>
      <c r="H58" s="21"/>
      <c r="I58" s="59"/>
      <c r="J58" s="21"/>
      <c r="K58" s="21"/>
      <c r="L58" s="59"/>
      <c r="M58" s="60"/>
      <c r="N58" s="21"/>
      <c r="O58" s="59"/>
      <c r="P58" s="21"/>
      <c r="Q58" s="59"/>
      <c r="R58" s="21"/>
      <c r="S58" s="21"/>
      <c r="T58" s="59"/>
      <c r="U58" s="60">
        <f t="shared" si="0"/>
        <v>0</v>
      </c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>
        <v>1214802672</v>
      </c>
      <c r="AN58" s="60">
        <f>SUBTOTAL(9,AC58:AM58)</f>
        <v>1214802672</v>
      </c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>
        <v>511510620</v>
      </c>
      <c r="AZ58" s="60"/>
      <c r="BA58" s="60"/>
      <c r="BB58" s="60">
        <f>VLOOKUP(B58,'[3]anuladas en mayo gratuidad}'!K$2:L$55,2,0)</f>
        <v>85011406</v>
      </c>
      <c r="BC58" s="61">
        <f t="shared" si="2"/>
        <v>1641301886</v>
      </c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>
        <v>102302124</v>
      </c>
      <c r="BO58" s="60"/>
      <c r="BP58" s="61">
        <v>1743604010</v>
      </c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>
        <v>102302124</v>
      </c>
      <c r="CD58" s="61"/>
      <c r="CE58" s="61">
        <v>85011406</v>
      </c>
      <c r="CF58" s="61"/>
      <c r="CG58" s="61">
        <f t="shared" si="3"/>
        <v>1930917540</v>
      </c>
      <c r="CH58" s="62">
        <f>VLOOKUP(B58,[1]RPTNCT049_ConsultaSaldosContabl!I$4:K$7987,3,0)</f>
        <v>716114868</v>
      </c>
      <c r="CI58" s="62">
        <f t="shared" si="4"/>
        <v>1214802672</v>
      </c>
      <c r="CJ58" s="63">
        <f t="shared" si="5"/>
        <v>1930917540</v>
      </c>
      <c r="CK58" s="64">
        <f t="shared" si="6"/>
        <v>0</v>
      </c>
      <c r="CL58" s="16"/>
      <c r="CM58" s="16"/>
      <c r="CN58" s="16"/>
    </row>
    <row r="59" spans="1:96" ht="15" customHeight="1" x14ac:dyDescent="0.2">
      <c r="A59" s="1">
        <v>8920994947</v>
      </c>
      <c r="B59" s="1">
        <v>892099494</v>
      </c>
      <c r="C59" s="9">
        <v>216581065</v>
      </c>
      <c r="D59" s="10" t="s">
        <v>949</v>
      </c>
      <c r="E59" s="45" t="s">
        <v>2009</v>
      </c>
      <c r="F59" s="21"/>
      <c r="G59" s="59"/>
      <c r="H59" s="21"/>
      <c r="I59" s="59"/>
      <c r="J59" s="21"/>
      <c r="K59" s="21"/>
      <c r="L59" s="59"/>
      <c r="M59" s="60"/>
      <c r="N59" s="21"/>
      <c r="O59" s="59"/>
      <c r="P59" s="21"/>
      <c r="Q59" s="59"/>
      <c r="R59" s="21"/>
      <c r="S59" s="21"/>
      <c r="T59" s="59"/>
      <c r="U59" s="60">
        <f t="shared" si="0"/>
        <v>0</v>
      </c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>
        <v>40990993</v>
      </c>
      <c r="AN59" s="60">
        <f>SUBTOTAL(9,AC59:AM59)</f>
        <v>40990993</v>
      </c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>
        <v>317134245</v>
      </c>
      <c r="AZ59" s="60"/>
      <c r="BA59" s="60">
        <f>VLOOKUP(B59,[2]Hoja3!J$3:K$674,2,0)</f>
        <v>679374653</v>
      </c>
      <c r="BB59" s="60"/>
      <c r="BC59" s="61">
        <f t="shared" si="2"/>
        <v>1037499891</v>
      </c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>
        <v>63426849</v>
      </c>
      <c r="BO59" s="60"/>
      <c r="BP59" s="61">
        <v>1100926740</v>
      </c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>
        <v>63426849</v>
      </c>
      <c r="CD59" s="61"/>
      <c r="CE59" s="61">
        <v>22056743</v>
      </c>
      <c r="CF59" s="61"/>
      <c r="CG59" s="61">
        <f t="shared" si="3"/>
        <v>1186410332</v>
      </c>
      <c r="CH59" s="62">
        <f>VLOOKUP(B59,[1]RPTNCT049_ConsultaSaldosContabl!I$4:K$7987,3,0)</f>
        <v>443987943</v>
      </c>
      <c r="CI59" s="62">
        <f t="shared" si="4"/>
        <v>742422389</v>
      </c>
      <c r="CJ59" s="63">
        <f t="shared" si="5"/>
        <v>1186410332</v>
      </c>
      <c r="CK59" s="64">
        <f t="shared" si="6"/>
        <v>0</v>
      </c>
      <c r="CL59" s="16"/>
      <c r="CM59" s="16"/>
      <c r="CN59" s="16"/>
    </row>
    <row r="60" spans="1:96" ht="15" customHeight="1" x14ac:dyDescent="0.2">
      <c r="A60" s="1">
        <v>8000933868</v>
      </c>
      <c r="B60" s="1">
        <v>800093386</v>
      </c>
      <c r="C60" s="9">
        <v>215325053</v>
      </c>
      <c r="D60" s="10" t="s">
        <v>464</v>
      </c>
      <c r="E60" s="45" t="s">
        <v>1491</v>
      </c>
      <c r="F60" s="21"/>
      <c r="G60" s="59"/>
      <c r="H60" s="21"/>
      <c r="I60" s="59"/>
      <c r="J60" s="21"/>
      <c r="K60" s="21"/>
      <c r="L60" s="59"/>
      <c r="M60" s="60"/>
      <c r="N60" s="21"/>
      <c r="O60" s="59"/>
      <c r="P60" s="21"/>
      <c r="Q60" s="59"/>
      <c r="R60" s="21"/>
      <c r="S60" s="21"/>
      <c r="T60" s="59"/>
      <c r="U60" s="60">
        <f t="shared" si="0"/>
        <v>0</v>
      </c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>
        <v>167120306</v>
      </c>
      <c r="AN60" s="60">
        <f>SUBTOTAL(9,AC60:AM60)</f>
        <v>167120306</v>
      </c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>
        <v>80984535</v>
      </c>
      <c r="AZ60" s="60"/>
      <c r="BA60" s="60"/>
      <c r="BB60" s="60"/>
      <c r="BC60" s="61">
        <f t="shared" si="2"/>
        <v>248104841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>
        <v>16196907</v>
      </c>
      <c r="BO60" s="60"/>
      <c r="BP60" s="61">
        <v>264301748</v>
      </c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>
        <v>16196907</v>
      </c>
      <c r="CD60" s="61"/>
      <c r="CE60" s="61"/>
      <c r="CF60" s="61"/>
      <c r="CG60" s="61">
        <f t="shared" si="3"/>
        <v>280498655</v>
      </c>
      <c r="CH60" s="62">
        <f>VLOOKUP(B60,[1]RPTNCT049_ConsultaSaldosContabl!I$4:K$7987,3,0)</f>
        <v>113378349</v>
      </c>
      <c r="CI60" s="62">
        <f t="shared" si="4"/>
        <v>167120306</v>
      </c>
      <c r="CJ60" s="63">
        <f t="shared" si="5"/>
        <v>280498655</v>
      </c>
      <c r="CK60" s="64">
        <f t="shared" si="6"/>
        <v>0</v>
      </c>
      <c r="CL60" s="16"/>
      <c r="CM60" s="16"/>
      <c r="CN60" s="16"/>
    </row>
    <row r="61" spans="1:96" ht="15" customHeight="1" x14ac:dyDescent="0.2">
      <c r="A61" s="1">
        <v>8000990584</v>
      </c>
      <c r="B61" s="1">
        <v>800099058</v>
      </c>
      <c r="C61" s="9">
        <v>215152051</v>
      </c>
      <c r="D61" s="10" t="s">
        <v>695</v>
      </c>
      <c r="E61" s="45" t="s">
        <v>1717</v>
      </c>
      <c r="F61" s="21"/>
      <c r="G61" s="59"/>
      <c r="H61" s="21"/>
      <c r="I61" s="59"/>
      <c r="J61" s="21"/>
      <c r="K61" s="21"/>
      <c r="L61" s="59"/>
      <c r="M61" s="60"/>
      <c r="N61" s="21"/>
      <c r="O61" s="59"/>
      <c r="P61" s="21"/>
      <c r="Q61" s="59"/>
      <c r="R61" s="21"/>
      <c r="S61" s="21"/>
      <c r="T61" s="59"/>
      <c r="U61" s="60">
        <f t="shared" si="0"/>
        <v>0</v>
      </c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>
        <v>17943751</v>
      </c>
      <c r="AN61" s="60">
        <f>SUBTOTAL(9,AC61:AM61)</f>
        <v>17943751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>
        <f>VLOOKUP(B61,[2]Hoja3!J$3:K$674,2,0)</f>
        <v>102518105</v>
      </c>
      <c r="BB61" s="60"/>
      <c r="BC61" s="61">
        <f t="shared" si="2"/>
        <v>120461856</v>
      </c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>
        <v>0</v>
      </c>
      <c r="BO61" s="60"/>
      <c r="BP61" s="61">
        <v>120461856</v>
      </c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>
        <v>119163492</v>
      </c>
      <c r="CD61" s="61"/>
      <c r="CE61" s="61"/>
      <c r="CF61" s="61"/>
      <c r="CG61" s="61">
        <f t="shared" si="3"/>
        <v>239625348</v>
      </c>
      <c r="CH61" s="62">
        <f>VLOOKUP(B61,[1]RPTNCT049_ConsultaSaldosContabl!I$4:K$7987,3,0)</f>
        <v>119163492</v>
      </c>
      <c r="CI61" s="62">
        <f t="shared" si="4"/>
        <v>120461856</v>
      </c>
      <c r="CJ61" s="63">
        <f t="shared" si="5"/>
        <v>239625348</v>
      </c>
      <c r="CK61" s="64">
        <f t="shared" si="6"/>
        <v>0</v>
      </c>
      <c r="CL61" s="16"/>
      <c r="CM61" s="16"/>
      <c r="CN61" s="16"/>
    </row>
    <row r="62" spans="1:96" ht="15" customHeight="1" x14ac:dyDescent="0.2">
      <c r="A62" s="1">
        <v>8905014367</v>
      </c>
      <c r="B62" s="1">
        <v>890501436</v>
      </c>
      <c r="C62" s="9">
        <v>215154051</v>
      </c>
      <c r="D62" s="10" t="s">
        <v>752</v>
      </c>
      <c r="E62" s="45" t="s">
        <v>1772</v>
      </c>
      <c r="F62" s="21"/>
      <c r="G62" s="59"/>
      <c r="H62" s="21"/>
      <c r="I62" s="59"/>
      <c r="J62" s="21"/>
      <c r="K62" s="21"/>
      <c r="L62" s="59"/>
      <c r="M62" s="60"/>
      <c r="N62" s="21"/>
      <c r="O62" s="59"/>
      <c r="P62" s="21"/>
      <c r="Q62" s="59"/>
      <c r="R62" s="21"/>
      <c r="S62" s="21"/>
      <c r="T62" s="59"/>
      <c r="U62" s="60">
        <f t="shared" si="0"/>
        <v>0</v>
      </c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>
        <f>VLOOKUP(B62,[2]Hoja3!J$3:K$674,2,0)</f>
        <v>140225220</v>
      </c>
      <c r="BB62" s="60"/>
      <c r="BC62" s="61">
        <f t="shared" si="2"/>
        <v>140225220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>
        <v>14044344</v>
      </c>
      <c r="BO62" s="60"/>
      <c r="BP62" s="61">
        <v>154269564</v>
      </c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>
        <v>14044344</v>
      </c>
      <c r="CD62" s="61">
        <v>70221720</v>
      </c>
      <c r="CE62" s="61"/>
      <c r="CF62" s="61"/>
      <c r="CG62" s="61">
        <f t="shared" si="3"/>
        <v>238535628</v>
      </c>
      <c r="CH62" s="62">
        <f>VLOOKUP(B62,[1]RPTNCT049_ConsultaSaldosContabl!I$4:K$7987,3,0)</f>
        <v>98310408</v>
      </c>
      <c r="CI62" s="62">
        <f t="shared" si="4"/>
        <v>140225220</v>
      </c>
      <c r="CJ62" s="63">
        <f t="shared" si="5"/>
        <v>238535628</v>
      </c>
      <c r="CK62" s="64">
        <f t="shared" si="6"/>
        <v>0</v>
      </c>
      <c r="CL62" s="16"/>
      <c r="CM62" s="16"/>
      <c r="CN62" s="16"/>
    </row>
    <row r="63" spans="1:96" ht="15" customHeight="1" x14ac:dyDescent="0.2">
      <c r="A63" s="1">
        <v>8909856234</v>
      </c>
      <c r="B63" s="1">
        <v>890985623</v>
      </c>
      <c r="C63" s="9">
        <v>215105051</v>
      </c>
      <c r="D63" s="10" t="s">
        <v>55</v>
      </c>
      <c r="E63" s="45" t="s">
        <v>1086</v>
      </c>
      <c r="F63" s="21"/>
      <c r="G63" s="59"/>
      <c r="H63" s="21"/>
      <c r="I63" s="59"/>
      <c r="J63" s="21"/>
      <c r="K63" s="21"/>
      <c r="L63" s="59"/>
      <c r="M63" s="60"/>
      <c r="N63" s="21"/>
      <c r="O63" s="59"/>
      <c r="P63" s="21"/>
      <c r="Q63" s="59"/>
      <c r="R63" s="21"/>
      <c r="S63" s="21"/>
      <c r="T63" s="59"/>
      <c r="U63" s="60">
        <f t="shared" si="0"/>
        <v>0</v>
      </c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>
        <v>482624965</v>
      </c>
      <c r="AZ63" s="60"/>
      <c r="BA63" s="60">
        <f>VLOOKUP(B63,[2]Hoja3!J$3:K$674,2,0)</f>
        <v>645262433</v>
      </c>
      <c r="BB63" s="60"/>
      <c r="BC63" s="61">
        <f t="shared" si="2"/>
        <v>1127887398</v>
      </c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>
        <v>96524993</v>
      </c>
      <c r="BO63" s="60"/>
      <c r="BP63" s="61">
        <v>1224412391</v>
      </c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>
        <v>96524993</v>
      </c>
      <c r="CD63" s="61"/>
      <c r="CE63" s="61"/>
      <c r="CF63" s="61"/>
      <c r="CG63" s="61">
        <f t="shared" si="3"/>
        <v>1320937384</v>
      </c>
      <c r="CH63" s="62">
        <f>VLOOKUP(B63,[1]RPTNCT049_ConsultaSaldosContabl!I$4:K$7987,3,0)</f>
        <v>675674951</v>
      </c>
      <c r="CI63" s="62">
        <f t="shared" si="4"/>
        <v>645262433</v>
      </c>
      <c r="CJ63" s="63">
        <f t="shared" si="5"/>
        <v>1320937384</v>
      </c>
      <c r="CK63" s="64">
        <f t="shared" si="6"/>
        <v>0</v>
      </c>
      <c r="CL63" s="16"/>
      <c r="CM63" s="16"/>
      <c r="CN63" s="16"/>
    </row>
    <row r="64" spans="1:96" ht="15" customHeight="1" x14ac:dyDescent="0.2">
      <c r="A64" s="1">
        <v>8000637911</v>
      </c>
      <c r="B64" s="1">
        <v>800063791</v>
      </c>
      <c r="C64" s="9">
        <v>215115051</v>
      </c>
      <c r="D64" s="10" t="s">
        <v>220</v>
      </c>
      <c r="E64" s="45" t="s">
        <v>1255</v>
      </c>
      <c r="F64" s="21"/>
      <c r="G64" s="59"/>
      <c r="H64" s="21"/>
      <c r="I64" s="59"/>
      <c r="J64" s="21"/>
      <c r="K64" s="21"/>
      <c r="L64" s="59"/>
      <c r="M64" s="60"/>
      <c r="N64" s="21"/>
      <c r="O64" s="59"/>
      <c r="P64" s="21"/>
      <c r="Q64" s="59"/>
      <c r="R64" s="21"/>
      <c r="S64" s="21"/>
      <c r="T64" s="59"/>
      <c r="U64" s="60">
        <f t="shared" si="0"/>
        <v>0</v>
      </c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>
        <v>35414810</v>
      </c>
      <c r="AZ64" s="60"/>
      <c r="BA64" s="60">
        <f>VLOOKUP(B64,[2]Hoja3!J$3:K$674,2,0)</f>
        <v>89404472</v>
      </c>
      <c r="BB64" s="60"/>
      <c r="BC64" s="61">
        <f t="shared" si="2"/>
        <v>124819282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>
        <v>7082962</v>
      </c>
      <c r="BO64" s="60"/>
      <c r="BP64" s="61">
        <v>131902244</v>
      </c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>
        <v>7082962</v>
      </c>
      <c r="CD64" s="61"/>
      <c r="CE64" s="61"/>
      <c r="CF64" s="61"/>
      <c r="CG64" s="61">
        <f t="shared" si="3"/>
        <v>138985206</v>
      </c>
      <c r="CH64" s="62">
        <f>VLOOKUP(B64,[1]RPTNCT049_ConsultaSaldosContabl!I$4:K$7987,3,0)</f>
        <v>49580734</v>
      </c>
      <c r="CI64" s="62">
        <f t="shared" si="4"/>
        <v>89404472</v>
      </c>
      <c r="CJ64" s="63">
        <f t="shared" si="5"/>
        <v>138985206</v>
      </c>
      <c r="CK64" s="64">
        <f t="shared" si="6"/>
        <v>0</v>
      </c>
      <c r="CL64" s="16"/>
      <c r="CM64" s="16"/>
      <c r="CN64" s="8"/>
      <c r="CO64" s="8"/>
      <c r="CP64" s="8"/>
      <c r="CQ64" s="8"/>
      <c r="CR64" s="8"/>
    </row>
    <row r="65" spans="1:96" ht="15" customHeight="1" x14ac:dyDescent="0.2">
      <c r="A65" s="1">
        <v>8060019374</v>
      </c>
      <c r="B65" s="1">
        <v>806001937</v>
      </c>
      <c r="C65" s="9">
        <v>214213042</v>
      </c>
      <c r="D65" s="10" t="s">
        <v>183</v>
      </c>
      <c r="E65" s="45" t="s">
        <v>1212</v>
      </c>
      <c r="F65" s="21"/>
      <c r="G65" s="59"/>
      <c r="H65" s="21"/>
      <c r="I65" s="59"/>
      <c r="J65" s="21"/>
      <c r="K65" s="21"/>
      <c r="L65" s="59"/>
      <c r="M65" s="60"/>
      <c r="N65" s="21"/>
      <c r="O65" s="59"/>
      <c r="P65" s="21"/>
      <c r="Q65" s="59"/>
      <c r="R65" s="21"/>
      <c r="S65" s="21"/>
      <c r="T65" s="59"/>
      <c r="U65" s="60">
        <f t="shared" si="0"/>
        <v>0</v>
      </c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>
        <v>99820736</v>
      </c>
      <c r="AN65" s="60">
        <f>SUBTOTAL(9,AC65:AM65)</f>
        <v>99820736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>
        <v>86213525</v>
      </c>
      <c r="AZ65" s="60"/>
      <c r="BA65" s="60">
        <f>VLOOKUP(B65,[2]Hoja3!J$3:K$674,2,0)</f>
        <v>40495032</v>
      </c>
      <c r="BB65" s="60">
        <f>VLOOKUP(B65,'[3]anuladas en mayo gratuidad}'!K$2:L$55,2,0)</f>
        <v>99820736</v>
      </c>
      <c r="BC65" s="61">
        <f t="shared" si="2"/>
        <v>126708557</v>
      </c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>
        <v>17242705</v>
      </c>
      <c r="BO65" s="60"/>
      <c r="BP65" s="61">
        <v>143951262</v>
      </c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>
        <v>17242705</v>
      </c>
      <c r="CD65" s="61"/>
      <c r="CE65" s="61">
        <v>99820736</v>
      </c>
      <c r="CF65" s="61"/>
      <c r="CG65" s="61">
        <f t="shared" si="3"/>
        <v>261014703</v>
      </c>
      <c r="CH65" s="62">
        <f>VLOOKUP(B65,[1]RPTNCT049_ConsultaSaldosContabl!I$4:K$7987,3,0)</f>
        <v>120698935</v>
      </c>
      <c r="CI65" s="62">
        <f t="shared" si="4"/>
        <v>140315768</v>
      </c>
      <c r="CJ65" s="63">
        <f t="shared" si="5"/>
        <v>261014703</v>
      </c>
      <c r="CK65" s="64">
        <f t="shared" si="6"/>
        <v>0</v>
      </c>
      <c r="CL65" s="16"/>
      <c r="CM65" s="16"/>
      <c r="CN65" s="8"/>
      <c r="CO65" s="8"/>
      <c r="CP65" s="8"/>
      <c r="CQ65" s="8"/>
      <c r="CR65" s="8"/>
    </row>
    <row r="66" spans="1:96" ht="15" customHeight="1" x14ac:dyDescent="0.2">
      <c r="A66" s="1">
        <v>8909817868</v>
      </c>
      <c r="B66" s="1">
        <v>890981786</v>
      </c>
      <c r="C66" s="9">
        <v>215505055</v>
      </c>
      <c r="D66" s="10" t="s">
        <v>56</v>
      </c>
      <c r="E66" s="45" t="s">
        <v>1087</v>
      </c>
      <c r="F66" s="21"/>
      <c r="G66" s="59"/>
      <c r="H66" s="21"/>
      <c r="I66" s="59"/>
      <c r="J66" s="21"/>
      <c r="K66" s="21"/>
      <c r="L66" s="59"/>
      <c r="M66" s="60"/>
      <c r="N66" s="21"/>
      <c r="O66" s="59"/>
      <c r="P66" s="21"/>
      <c r="Q66" s="59"/>
      <c r="R66" s="21"/>
      <c r="S66" s="21"/>
      <c r="T66" s="59"/>
      <c r="U66" s="60">
        <f t="shared" si="0"/>
        <v>0</v>
      </c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>
        <v>69825675</v>
      </c>
      <c r="AZ66" s="60"/>
      <c r="BA66" s="60">
        <f>VLOOKUP(B66,[2]Hoja3!J$3:K$674,2,0)</f>
        <v>114474878</v>
      </c>
      <c r="BB66" s="60"/>
      <c r="BC66" s="61">
        <f t="shared" si="2"/>
        <v>184300553</v>
      </c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>
        <v>13965135</v>
      </c>
      <c r="BO66" s="60"/>
      <c r="BP66" s="61">
        <v>198265688</v>
      </c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>
        <v>13965135</v>
      </c>
      <c r="CD66" s="61"/>
      <c r="CE66" s="61"/>
      <c r="CF66" s="61"/>
      <c r="CG66" s="61">
        <f t="shared" si="3"/>
        <v>212230823</v>
      </c>
      <c r="CH66" s="62">
        <f>VLOOKUP(B66,[1]RPTNCT049_ConsultaSaldosContabl!I$4:K$7987,3,0)</f>
        <v>97755945</v>
      </c>
      <c r="CI66" s="62">
        <f t="shared" si="4"/>
        <v>114474878</v>
      </c>
      <c r="CJ66" s="63">
        <f t="shared" si="5"/>
        <v>212230823</v>
      </c>
      <c r="CK66" s="64">
        <f t="shared" si="6"/>
        <v>0</v>
      </c>
      <c r="CL66" s="16"/>
      <c r="CM66" s="16"/>
      <c r="CN66" s="16"/>
    </row>
    <row r="67" spans="1:96" ht="15" customHeight="1" x14ac:dyDescent="0.2">
      <c r="A67" s="1">
        <v>8915007251</v>
      </c>
      <c r="B67" s="1">
        <v>891500725</v>
      </c>
      <c r="C67" s="9">
        <v>215019050</v>
      </c>
      <c r="D67" s="10" t="s">
        <v>374</v>
      </c>
      <c r="E67" s="45" t="s">
        <v>1406</v>
      </c>
      <c r="F67" s="21"/>
      <c r="G67" s="59"/>
      <c r="H67" s="21"/>
      <c r="I67" s="59"/>
      <c r="J67" s="21"/>
      <c r="K67" s="21"/>
      <c r="L67" s="59"/>
      <c r="M67" s="60"/>
      <c r="N67" s="21"/>
      <c r="O67" s="59"/>
      <c r="P67" s="21"/>
      <c r="Q67" s="59"/>
      <c r="R67" s="21"/>
      <c r="S67" s="21"/>
      <c r="T67" s="59"/>
      <c r="U67" s="60">
        <f t="shared" ref="U67:U130" si="8">SUM(M67:T67)</f>
        <v>0</v>
      </c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>
        <f>VLOOKUP(B67,[2]Hoja3!J$3:K$674,2,0)</f>
        <v>354038940</v>
      </c>
      <c r="BB67" s="60"/>
      <c r="BC67" s="61">
        <f t="shared" si="2"/>
        <v>354038940</v>
      </c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>
        <v>0</v>
      </c>
      <c r="BO67" s="60"/>
      <c r="BP67" s="61">
        <v>354038940</v>
      </c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>
        <v>0</v>
      </c>
      <c r="CD67" s="61"/>
      <c r="CE67" s="61"/>
      <c r="CF67" s="61"/>
      <c r="CG67" s="61">
        <f t="shared" si="3"/>
        <v>354038940</v>
      </c>
      <c r="CH67" s="62"/>
      <c r="CI67" s="62">
        <f t="shared" si="4"/>
        <v>354038940</v>
      </c>
      <c r="CJ67" s="63">
        <f t="shared" si="5"/>
        <v>354038940</v>
      </c>
      <c r="CK67" s="64">
        <f t="shared" si="6"/>
        <v>0</v>
      </c>
      <c r="CL67" s="16"/>
      <c r="CM67" s="16"/>
      <c r="CN67" s="16"/>
    </row>
    <row r="68" spans="1:96" ht="15" customHeight="1" x14ac:dyDescent="0.2">
      <c r="A68" s="1">
        <v>8919010199</v>
      </c>
      <c r="B68" s="1">
        <v>891901019</v>
      </c>
      <c r="C68" s="9">
        <v>215476054</v>
      </c>
      <c r="D68" s="10" t="s">
        <v>915</v>
      </c>
      <c r="E68" s="45" t="s">
        <v>1976</v>
      </c>
      <c r="F68" s="21"/>
      <c r="G68" s="59"/>
      <c r="H68" s="21"/>
      <c r="I68" s="59"/>
      <c r="J68" s="21"/>
      <c r="K68" s="21"/>
      <c r="L68" s="59"/>
      <c r="M68" s="60"/>
      <c r="N68" s="21"/>
      <c r="O68" s="59"/>
      <c r="P68" s="21"/>
      <c r="Q68" s="59"/>
      <c r="R68" s="21"/>
      <c r="S68" s="21"/>
      <c r="T68" s="59"/>
      <c r="U68" s="60">
        <f t="shared" si="8"/>
        <v>0</v>
      </c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>
        <v>72506561</v>
      </c>
      <c r="AN68" s="60">
        <f>SUBTOTAL(9,AC68:AM68)</f>
        <v>72506561</v>
      </c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>
        <v>40594440</v>
      </c>
      <c r="AZ68" s="60"/>
      <c r="BA68" s="60"/>
      <c r="BB68" s="60"/>
      <c r="BC68" s="61">
        <f t="shared" ref="BC68:BC131" si="9">SUM(AN68:BA68)-BB68</f>
        <v>113101001</v>
      </c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>
        <v>8118888</v>
      </c>
      <c r="BO68" s="60"/>
      <c r="BP68" s="61">
        <v>121219889</v>
      </c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>
        <v>8118888</v>
      </c>
      <c r="CD68" s="61"/>
      <c r="CE68" s="61"/>
      <c r="CF68" s="61"/>
      <c r="CG68" s="61">
        <f t="shared" ref="CG68:CG131" si="10">SUM(BP68:CF68)</f>
        <v>129338777</v>
      </c>
      <c r="CH68" s="62">
        <f>VLOOKUP(B68,[1]RPTNCT049_ConsultaSaldosContabl!I$4:K$7987,3,0)</f>
        <v>56832216</v>
      </c>
      <c r="CI68" s="62">
        <f t="shared" ref="CI68:CI131" si="11">+AM68+BA68-BB68+BO68+CE68+CF68</f>
        <v>72506561</v>
      </c>
      <c r="CJ68" s="63">
        <f t="shared" ref="CJ68:CJ131" si="12">+CH68+CI68</f>
        <v>129338777</v>
      </c>
      <c r="CK68" s="64">
        <f t="shared" ref="CK68:CK131" si="13">+CG68-CJ68</f>
        <v>0</v>
      </c>
      <c r="CL68" s="16"/>
      <c r="CM68" s="16"/>
      <c r="CN68" s="8"/>
      <c r="CO68" s="8"/>
      <c r="CP68" s="8"/>
      <c r="CQ68" s="8"/>
      <c r="CR68" s="8"/>
    </row>
    <row r="69" spans="1:96" ht="15" customHeight="1" x14ac:dyDescent="0.2">
      <c r="A69" s="1">
        <v>8917021867</v>
      </c>
      <c r="B69" s="1">
        <v>891702186</v>
      </c>
      <c r="C69" s="9">
        <v>215847058</v>
      </c>
      <c r="D69" s="10" t="s">
        <v>642</v>
      </c>
      <c r="E69" s="45" t="s">
        <v>1661</v>
      </c>
      <c r="F69" s="21"/>
      <c r="G69" s="59"/>
      <c r="H69" s="21"/>
      <c r="I69" s="59"/>
      <c r="J69" s="21"/>
      <c r="K69" s="21"/>
      <c r="L69" s="59"/>
      <c r="M69" s="60"/>
      <c r="N69" s="21"/>
      <c r="O69" s="59"/>
      <c r="P69" s="21"/>
      <c r="Q69" s="59"/>
      <c r="R69" s="21"/>
      <c r="S69" s="21"/>
      <c r="T69" s="59"/>
      <c r="U69" s="60">
        <f t="shared" si="8"/>
        <v>0</v>
      </c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>
        <v>403298056</v>
      </c>
      <c r="AN69" s="60">
        <f>SUBTOTAL(9,AC69:AM69)</f>
        <v>403298056</v>
      </c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>
        <v>304719985</v>
      </c>
      <c r="AZ69" s="60"/>
      <c r="BA69" s="60">
        <f>VLOOKUP(B69,[2]Hoja3!J$3:K$674,2,0)</f>
        <v>260683594</v>
      </c>
      <c r="BB69" s="60"/>
      <c r="BC69" s="61">
        <f t="shared" si="9"/>
        <v>968701635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>
        <v>60943997</v>
      </c>
      <c r="BO69" s="60"/>
      <c r="BP69" s="61">
        <v>1029645632</v>
      </c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>
        <v>60943997</v>
      </c>
      <c r="CD69" s="61"/>
      <c r="CE69" s="61"/>
      <c r="CF69" s="61"/>
      <c r="CG69" s="61">
        <f t="shared" si="10"/>
        <v>1090589629</v>
      </c>
      <c r="CH69" s="62">
        <f>VLOOKUP(B69,[1]RPTNCT049_ConsultaSaldosContabl!I$4:K$7987,3,0)</f>
        <v>426607979</v>
      </c>
      <c r="CI69" s="62">
        <f t="shared" si="11"/>
        <v>663981650</v>
      </c>
      <c r="CJ69" s="63">
        <f t="shared" si="12"/>
        <v>1090589629</v>
      </c>
      <c r="CK69" s="64">
        <f t="shared" si="13"/>
        <v>0</v>
      </c>
      <c r="CL69" s="16"/>
      <c r="CM69" s="16"/>
      <c r="CN69" s="16"/>
    </row>
    <row r="70" spans="1:96" ht="15" customHeight="1" x14ac:dyDescent="0.2">
      <c r="A70" s="1">
        <v>8904802541</v>
      </c>
      <c r="B70" s="1">
        <v>890480254</v>
      </c>
      <c r="C70" s="9">
        <v>215213052</v>
      </c>
      <c r="D70" s="10" t="s">
        <v>184</v>
      </c>
      <c r="E70" s="45" t="s">
        <v>1213</v>
      </c>
      <c r="F70" s="21"/>
      <c r="G70" s="59"/>
      <c r="H70" s="21"/>
      <c r="I70" s="59"/>
      <c r="J70" s="21"/>
      <c r="K70" s="21"/>
      <c r="L70" s="59"/>
      <c r="M70" s="60"/>
      <c r="N70" s="21"/>
      <c r="O70" s="59"/>
      <c r="P70" s="21"/>
      <c r="Q70" s="59"/>
      <c r="R70" s="21"/>
      <c r="S70" s="21"/>
      <c r="T70" s="59"/>
      <c r="U70" s="60">
        <f t="shared" si="8"/>
        <v>0</v>
      </c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>
        <v>667971857</v>
      </c>
      <c r="AN70" s="60">
        <f>SUBTOTAL(9,AC70:AM70)</f>
        <v>667971857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>
        <v>607862880</v>
      </c>
      <c r="AZ70" s="60"/>
      <c r="BA70" s="60">
        <f>VLOOKUP(B70,[2]Hoja3!J$3:K$674,2,0)</f>
        <v>347613614</v>
      </c>
      <c r="BB70" s="60"/>
      <c r="BC70" s="61">
        <f t="shared" si="9"/>
        <v>1623448351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>
        <v>121572576</v>
      </c>
      <c r="BO70" s="60"/>
      <c r="BP70" s="61">
        <v>1745020927</v>
      </c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>
        <v>121572576</v>
      </c>
      <c r="CD70" s="61"/>
      <c r="CE70" s="61"/>
      <c r="CF70" s="61"/>
      <c r="CG70" s="61">
        <f t="shared" si="10"/>
        <v>1866593503</v>
      </c>
      <c r="CH70" s="62">
        <f>VLOOKUP(B70,[1]RPTNCT049_ConsultaSaldosContabl!I$4:K$7987,3,0)</f>
        <v>851008032</v>
      </c>
      <c r="CI70" s="62">
        <f t="shared" si="11"/>
        <v>1015585471</v>
      </c>
      <c r="CJ70" s="63">
        <f t="shared" si="12"/>
        <v>1866593503</v>
      </c>
      <c r="CK70" s="64">
        <f t="shared" si="13"/>
        <v>0</v>
      </c>
      <c r="CL70" s="16"/>
      <c r="CM70" s="16"/>
      <c r="CN70" s="8"/>
      <c r="CO70" s="8"/>
      <c r="CP70" s="8"/>
      <c r="CQ70" s="8"/>
      <c r="CR70" s="8"/>
    </row>
    <row r="71" spans="1:96" ht="15" customHeight="1" x14ac:dyDescent="0.2">
      <c r="A71" s="1">
        <v>8900004643</v>
      </c>
      <c r="B71" s="1">
        <v>890000464</v>
      </c>
      <c r="C71" s="9">
        <v>210163001</v>
      </c>
      <c r="D71" s="10" t="s">
        <v>2141</v>
      </c>
      <c r="E71" s="47" t="s">
        <v>1032</v>
      </c>
      <c r="F71" s="21"/>
      <c r="G71" s="59"/>
      <c r="H71" s="21"/>
      <c r="I71" s="59">
        <f>6819819052+285275822</f>
        <v>7105094874</v>
      </c>
      <c r="J71" s="21">
        <v>426801048</v>
      </c>
      <c r="K71" s="21">
        <v>845680165</v>
      </c>
      <c r="L71" s="59"/>
      <c r="M71" s="61">
        <f>SUM(F71:L71)</f>
        <v>8377576087</v>
      </c>
      <c r="N71" s="21"/>
      <c r="O71" s="59"/>
      <c r="P71" s="21"/>
      <c r="Q71" s="59">
        <f>6612092610+129670828</f>
        <v>6741763438</v>
      </c>
      <c r="R71" s="21">
        <v>426801048</v>
      </c>
      <c r="S71" s="21">
        <f>418879117+426801048</f>
        <v>845680165</v>
      </c>
      <c r="T71" s="59"/>
      <c r="U71" s="60">
        <f t="shared" si="8"/>
        <v>16391820738</v>
      </c>
      <c r="V71" s="60"/>
      <c r="W71" s="60"/>
      <c r="X71" s="60"/>
      <c r="Y71" s="60">
        <v>9211561090</v>
      </c>
      <c r="Z71" s="60">
        <v>445591059</v>
      </c>
      <c r="AA71" s="60">
        <v>1007800211</v>
      </c>
      <c r="AB71" s="60"/>
      <c r="AC71" s="60">
        <f t="shared" ref="AC68:AC131" si="14">SUM(U71:AB71)</f>
        <v>27056773098</v>
      </c>
      <c r="AD71" s="60"/>
      <c r="AE71" s="60"/>
      <c r="AF71" s="60"/>
      <c r="AG71" s="60"/>
      <c r="AH71" s="60">
        <v>6588301110</v>
      </c>
      <c r="AI71" s="60">
        <v>1132954411</v>
      </c>
      <c r="AJ71" s="60">
        <v>442386365</v>
      </c>
      <c r="AK71" s="60">
        <v>1114368851</v>
      </c>
      <c r="AL71" s="60"/>
      <c r="AM71" s="60">
        <v>2714636284</v>
      </c>
      <c r="AN71" s="60">
        <f>SUBTOTAL(9,AC71:AM71)</f>
        <v>39049420119</v>
      </c>
      <c r="AO71" s="60"/>
      <c r="AP71" s="60"/>
      <c r="AQ71" s="60">
        <v>1128241540</v>
      </c>
      <c r="AR71" s="60"/>
      <c r="AS71" s="60"/>
      <c r="AT71" s="60">
        <v>6588301110</v>
      </c>
      <c r="AU71" s="60"/>
      <c r="AV71" s="60">
        <v>442386365</v>
      </c>
      <c r="AW71" s="60">
        <v>754852993</v>
      </c>
      <c r="AX71" s="60"/>
      <c r="AY71" s="60"/>
      <c r="AZ71" s="60">
        <v>80000000</v>
      </c>
      <c r="BA71" s="60">
        <f>VLOOKUP(B71,[2]Hoja3!J$3:K$674,2,0)</f>
        <v>77077940</v>
      </c>
      <c r="BB71" s="60">
        <f>VLOOKUP(B71,'[3]anuladas en mayo gratuidad}'!K$2:L$55,2,0)</f>
        <v>135192782</v>
      </c>
      <c r="BC71" s="61">
        <f t="shared" si="9"/>
        <v>47985087285</v>
      </c>
      <c r="BD71" s="60"/>
      <c r="BE71" s="60"/>
      <c r="BF71" s="60">
        <v>225648308</v>
      </c>
      <c r="BG71" s="60"/>
      <c r="BH71" s="60"/>
      <c r="BI71" s="60">
        <v>6737393219</v>
      </c>
      <c r="BJ71" s="60">
        <v>52632096</v>
      </c>
      <c r="BK71" s="60">
        <v>439370179</v>
      </c>
      <c r="BL71" s="60">
        <v>1115739054</v>
      </c>
      <c r="BM71" s="60"/>
      <c r="BN71" s="60"/>
      <c r="BO71" s="60"/>
      <c r="BP71" s="61">
        <v>56555870141</v>
      </c>
      <c r="BQ71" s="61"/>
      <c r="BR71" s="61"/>
      <c r="BS71" s="61">
        <v>225648308</v>
      </c>
      <c r="BT71" s="61"/>
      <c r="BU71" s="61"/>
      <c r="BV71" s="61"/>
      <c r="BW71" s="61">
        <v>6789251269</v>
      </c>
      <c r="BX71" s="61"/>
      <c r="BY71" s="61">
        <v>3150713319</v>
      </c>
      <c r="BZ71" s="61">
        <v>440695421</v>
      </c>
      <c r="CA71" s="61">
        <v>1154741692</v>
      </c>
      <c r="CB71" s="61"/>
      <c r="CC71" s="61"/>
      <c r="CD71" s="61"/>
      <c r="CE71" s="61">
        <v>135192782</v>
      </c>
      <c r="CF71" s="61"/>
      <c r="CG71" s="61">
        <f t="shared" si="10"/>
        <v>68452112932</v>
      </c>
      <c r="CH71" s="62">
        <f>VLOOKUP(B71,[1]RPTNCT049_ConsultaSaldosContabl!I$4:K$7987,3,0)</f>
        <v>65660398708</v>
      </c>
      <c r="CI71" s="62">
        <f t="shared" si="11"/>
        <v>2791714224</v>
      </c>
      <c r="CJ71" s="63">
        <f t="shared" si="12"/>
        <v>68452112932</v>
      </c>
      <c r="CK71" s="64">
        <f t="shared" si="13"/>
        <v>0</v>
      </c>
      <c r="CL71" s="16"/>
      <c r="CM71" s="16"/>
      <c r="CN71" s="16"/>
    </row>
    <row r="72" spans="1:96" ht="15" customHeight="1" x14ac:dyDescent="0.2">
      <c r="A72" s="1">
        <v>8909837638</v>
      </c>
      <c r="B72" s="1">
        <v>890983763</v>
      </c>
      <c r="C72" s="9">
        <v>215905059</v>
      </c>
      <c r="D72" s="10" t="s">
        <v>57</v>
      </c>
      <c r="E72" s="45" t="s">
        <v>1088</v>
      </c>
      <c r="F72" s="21"/>
      <c r="G72" s="59"/>
      <c r="H72" s="21"/>
      <c r="I72" s="59"/>
      <c r="J72" s="21"/>
      <c r="K72" s="21"/>
      <c r="L72" s="59"/>
      <c r="M72" s="60"/>
      <c r="N72" s="21"/>
      <c r="O72" s="59"/>
      <c r="P72" s="21"/>
      <c r="Q72" s="59"/>
      <c r="R72" s="21"/>
      <c r="S72" s="21"/>
      <c r="T72" s="59"/>
      <c r="U72" s="60">
        <f t="shared" si="8"/>
        <v>0</v>
      </c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>
        <f>VLOOKUP(B72,[2]Hoja3!J$3:K$674,2,0)</f>
        <v>45174517</v>
      </c>
      <c r="BB72" s="60"/>
      <c r="BC72" s="61">
        <f t="shared" si="9"/>
        <v>45174517</v>
      </c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>
        <v>6942678</v>
      </c>
      <c r="BO72" s="60"/>
      <c r="BP72" s="61">
        <v>52117195</v>
      </c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>
        <v>6942678</v>
      </c>
      <c r="CD72" s="61">
        <v>34713390</v>
      </c>
      <c r="CE72" s="61"/>
      <c r="CF72" s="61"/>
      <c r="CG72" s="61">
        <f t="shared" si="10"/>
        <v>93773263</v>
      </c>
      <c r="CH72" s="62">
        <f>VLOOKUP(B72,[1]RPTNCT049_ConsultaSaldosContabl!I$4:K$7987,3,0)</f>
        <v>48598746</v>
      </c>
      <c r="CI72" s="62">
        <f t="shared" si="11"/>
        <v>45174517</v>
      </c>
      <c r="CJ72" s="63">
        <f t="shared" si="12"/>
        <v>93773263</v>
      </c>
      <c r="CK72" s="64">
        <f t="shared" si="13"/>
        <v>0</v>
      </c>
      <c r="CL72" s="16"/>
      <c r="CM72" s="16"/>
      <c r="CN72" s="16"/>
    </row>
    <row r="73" spans="1:96" ht="15" customHeight="1" x14ac:dyDescent="0.2">
      <c r="A73" s="1">
        <v>8060049006</v>
      </c>
      <c r="B73" s="1">
        <v>806004900</v>
      </c>
      <c r="C73" s="9">
        <v>216213062</v>
      </c>
      <c r="D73" s="10" t="s">
        <v>2162</v>
      </c>
      <c r="E73" s="45" t="s">
        <v>1214</v>
      </c>
      <c r="F73" s="21"/>
      <c r="G73" s="59"/>
      <c r="H73" s="21"/>
      <c r="I73" s="59"/>
      <c r="J73" s="21"/>
      <c r="K73" s="21"/>
      <c r="L73" s="59"/>
      <c r="M73" s="60"/>
      <c r="N73" s="21"/>
      <c r="O73" s="59"/>
      <c r="P73" s="21"/>
      <c r="Q73" s="59"/>
      <c r="R73" s="21"/>
      <c r="S73" s="21"/>
      <c r="T73" s="59"/>
      <c r="U73" s="60">
        <f t="shared" si="8"/>
        <v>0</v>
      </c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>
        <v>83279435</v>
      </c>
      <c r="AZ73" s="60"/>
      <c r="BA73" s="60">
        <f>VLOOKUP(B73,[2]Hoja3!J$3:K$674,2,0)</f>
        <v>134887792</v>
      </c>
      <c r="BB73" s="60"/>
      <c r="BC73" s="61">
        <f t="shared" si="9"/>
        <v>218167227</v>
      </c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>
        <v>16655887</v>
      </c>
      <c r="BO73" s="60"/>
      <c r="BP73" s="61">
        <v>234823114</v>
      </c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>
        <v>16655887</v>
      </c>
      <c r="CD73" s="61"/>
      <c r="CE73" s="61"/>
      <c r="CF73" s="61"/>
      <c r="CG73" s="61">
        <f t="shared" si="10"/>
        <v>251479001</v>
      </c>
      <c r="CH73" s="62">
        <f>VLOOKUP(B73,[1]RPTNCT049_ConsultaSaldosContabl!I$4:K$7987,3,0)</f>
        <v>116591209</v>
      </c>
      <c r="CI73" s="62">
        <f t="shared" si="11"/>
        <v>134887792</v>
      </c>
      <c r="CJ73" s="63">
        <f t="shared" si="12"/>
        <v>251479001</v>
      </c>
      <c r="CK73" s="64">
        <f t="shared" si="13"/>
        <v>0</v>
      </c>
      <c r="CL73" s="16"/>
      <c r="CM73" s="16"/>
      <c r="CN73" s="8"/>
      <c r="CO73" s="8"/>
      <c r="CP73" s="8"/>
      <c r="CQ73" s="8"/>
      <c r="CR73" s="8"/>
    </row>
    <row r="74" spans="1:96" ht="15" customHeight="1" x14ac:dyDescent="0.2">
      <c r="A74" s="1">
        <v>8923015411</v>
      </c>
      <c r="B74" s="1">
        <v>892301541</v>
      </c>
      <c r="C74" s="9">
        <v>213220032</v>
      </c>
      <c r="D74" s="10" t="s">
        <v>415</v>
      </c>
      <c r="E74" s="45" t="s">
        <v>1443</v>
      </c>
      <c r="F74" s="21"/>
      <c r="G74" s="59"/>
      <c r="H74" s="21"/>
      <c r="I74" s="59"/>
      <c r="J74" s="21"/>
      <c r="K74" s="21"/>
      <c r="L74" s="59"/>
      <c r="M74" s="60"/>
      <c r="N74" s="21"/>
      <c r="O74" s="59"/>
      <c r="P74" s="21"/>
      <c r="Q74" s="59"/>
      <c r="R74" s="21"/>
      <c r="S74" s="21"/>
      <c r="T74" s="59"/>
      <c r="U74" s="60">
        <f t="shared" si="8"/>
        <v>0</v>
      </c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>
        <v>250365985</v>
      </c>
      <c r="AZ74" s="60"/>
      <c r="BA74" s="60">
        <f>VLOOKUP(B74,[2]Hoja3!J$3:K$674,2,0)</f>
        <v>376753745</v>
      </c>
      <c r="BB74" s="60"/>
      <c r="BC74" s="61">
        <f t="shared" si="9"/>
        <v>627119730</v>
      </c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>
        <v>50073197</v>
      </c>
      <c r="BO74" s="60"/>
      <c r="BP74" s="61">
        <v>677192927</v>
      </c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>
        <v>50073197</v>
      </c>
      <c r="CD74" s="61"/>
      <c r="CE74" s="61"/>
      <c r="CF74" s="61"/>
      <c r="CG74" s="61">
        <f t="shared" si="10"/>
        <v>727266124</v>
      </c>
      <c r="CH74" s="62">
        <f>VLOOKUP(B74,[1]RPTNCT049_ConsultaSaldosContabl!I$4:K$7987,3,0)</f>
        <v>350512379</v>
      </c>
      <c r="CI74" s="62">
        <f t="shared" si="11"/>
        <v>376753745</v>
      </c>
      <c r="CJ74" s="63">
        <f t="shared" si="12"/>
        <v>727266124</v>
      </c>
      <c r="CK74" s="64">
        <f t="shared" si="13"/>
        <v>0</v>
      </c>
      <c r="CL74" s="16"/>
      <c r="CM74" s="16"/>
      <c r="CN74" s="16"/>
    </row>
    <row r="75" spans="1:96" ht="15" customHeight="1" x14ac:dyDescent="0.2">
      <c r="A75" s="1">
        <v>8001000491</v>
      </c>
      <c r="B75" s="1">
        <v>800100049</v>
      </c>
      <c r="C75" s="9">
        <v>216773067</v>
      </c>
      <c r="D75" s="10" t="s">
        <v>2207</v>
      </c>
      <c r="E75" s="45" t="s">
        <v>1933</v>
      </c>
      <c r="F75" s="21"/>
      <c r="G75" s="59"/>
      <c r="H75" s="21"/>
      <c r="I75" s="59"/>
      <c r="J75" s="21"/>
      <c r="K75" s="21"/>
      <c r="L75" s="59"/>
      <c r="M75" s="60"/>
      <c r="N75" s="21"/>
      <c r="O75" s="59"/>
      <c r="P75" s="21"/>
      <c r="Q75" s="59"/>
      <c r="R75" s="21"/>
      <c r="S75" s="21"/>
      <c r="T75" s="59"/>
      <c r="U75" s="60">
        <f t="shared" si="8"/>
        <v>0</v>
      </c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>
        <v>240306955</v>
      </c>
      <c r="AZ75" s="60"/>
      <c r="BA75" s="60">
        <f>VLOOKUP(B75,[2]Hoja3!J$3:K$674,2,0)</f>
        <v>416740904</v>
      </c>
      <c r="BB75" s="60"/>
      <c r="BC75" s="61">
        <f t="shared" si="9"/>
        <v>657047859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>
        <v>48061391</v>
      </c>
      <c r="BO75" s="60"/>
      <c r="BP75" s="61">
        <v>705109250</v>
      </c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>
        <v>48061391</v>
      </c>
      <c r="CD75" s="61"/>
      <c r="CE75" s="61"/>
      <c r="CF75" s="61"/>
      <c r="CG75" s="61">
        <f t="shared" si="10"/>
        <v>753170641</v>
      </c>
      <c r="CH75" s="62">
        <f>VLOOKUP(B75,[1]RPTNCT049_ConsultaSaldosContabl!I$4:K$7987,3,0)</f>
        <v>336429737</v>
      </c>
      <c r="CI75" s="62">
        <f t="shared" si="11"/>
        <v>416740904</v>
      </c>
      <c r="CJ75" s="63">
        <f t="shared" si="12"/>
        <v>753170641</v>
      </c>
      <c r="CK75" s="64">
        <f t="shared" si="13"/>
        <v>0</v>
      </c>
      <c r="CL75" s="16"/>
      <c r="CM75" s="16"/>
      <c r="CN75" s="16"/>
    </row>
    <row r="76" spans="1:96" ht="15" customHeight="1" x14ac:dyDescent="0.2">
      <c r="A76" s="1">
        <v>8180003951</v>
      </c>
      <c r="B76" s="1">
        <v>818000395</v>
      </c>
      <c r="C76" s="9">
        <v>215027050</v>
      </c>
      <c r="D76" s="10" t="s">
        <v>570</v>
      </c>
      <c r="E76" s="45" t="s">
        <v>1589</v>
      </c>
      <c r="F76" s="21"/>
      <c r="G76" s="59"/>
      <c r="H76" s="21"/>
      <c r="I76" s="59"/>
      <c r="J76" s="21"/>
      <c r="K76" s="21"/>
      <c r="L76" s="59"/>
      <c r="M76" s="60"/>
      <c r="N76" s="21"/>
      <c r="O76" s="59"/>
      <c r="P76" s="21"/>
      <c r="Q76" s="59"/>
      <c r="R76" s="21"/>
      <c r="S76" s="21"/>
      <c r="T76" s="59"/>
      <c r="U76" s="60">
        <f t="shared" si="8"/>
        <v>0</v>
      </c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>
        <v>254982325</v>
      </c>
      <c r="AN76" s="60">
        <f>SUBTOTAL(9,AC76:AM76)</f>
        <v>254982325</v>
      </c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>
        <f t="shared" si="9"/>
        <v>254982325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>
        <v>18499335</v>
      </c>
      <c r="BO76" s="60"/>
      <c r="BP76" s="61">
        <v>273481660</v>
      </c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>
        <v>18499335</v>
      </c>
      <c r="CD76" s="61">
        <v>92496675</v>
      </c>
      <c r="CE76" s="61"/>
      <c r="CF76" s="61"/>
      <c r="CG76" s="61">
        <f t="shared" si="10"/>
        <v>384477670</v>
      </c>
      <c r="CH76" s="62">
        <f>VLOOKUP(B76,[1]RPTNCT049_ConsultaSaldosContabl!I$4:K$7987,3,0)</f>
        <v>129495345</v>
      </c>
      <c r="CI76" s="62">
        <f t="shared" si="11"/>
        <v>254982325</v>
      </c>
      <c r="CJ76" s="63">
        <f t="shared" si="12"/>
        <v>384477670</v>
      </c>
      <c r="CK76" s="64">
        <f t="shared" si="13"/>
        <v>0</v>
      </c>
      <c r="CL76" s="16"/>
      <c r="CM76" s="16"/>
      <c r="CN76" s="16"/>
    </row>
    <row r="77" spans="1:96" ht="15" customHeight="1" x14ac:dyDescent="0.2">
      <c r="A77" s="1">
        <v>8000967373</v>
      </c>
      <c r="B77" s="1">
        <v>800096737</v>
      </c>
      <c r="C77" s="9">
        <v>216823068</v>
      </c>
      <c r="D77" s="10" t="s">
        <v>437</v>
      </c>
      <c r="E77" s="45" t="s">
        <v>1464</v>
      </c>
      <c r="F77" s="21"/>
      <c r="G77" s="59"/>
      <c r="H77" s="21"/>
      <c r="I77" s="59"/>
      <c r="J77" s="21"/>
      <c r="K77" s="21"/>
      <c r="L77" s="59"/>
      <c r="M77" s="60"/>
      <c r="N77" s="21"/>
      <c r="O77" s="59"/>
      <c r="P77" s="21"/>
      <c r="Q77" s="59"/>
      <c r="R77" s="21"/>
      <c r="S77" s="21"/>
      <c r="T77" s="59"/>
      <c r="U77" s="60">
        <f t="shared" si="8"/>
        <v>0</v>
      </c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>
        <v>3771768915</v>
      </c>
      <c r="AN77" s="60">
        <f>SUBTOTAL(9,AC77:AM77)</f>
        <v>3771768915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>
        <v>587340215</v>
      </c>
      <c r="AZ77" s="60"/>
      <c r="BA77" s="60"/>
      <c r="BB77" s="60"/>
      <c r="BC77" s="61">
        <f t="shared" si="9"/>
        <v>4359109130</v>
      </c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>
        <v>117468043</v>
      </c>
      <c r="BO77" s="60"/>
      <c r="BP77" s="61">
        <v>4476577173</v>
      </c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>
        <v>117468043</v>
      </c>
      <c r="CD77" s="61"/>
      <c r="CE77" s="61">
        <v>23129582</v>
      </c>
      <c r="CF77" s="61"/>
      <c r="CG77" s="61">
        <f t="shared" si="10"/>
        <v>4617174798</v>
      </c>
      <c r="CH77" s="62">
        <f>VLOOKUP(B77,[1]RPTNCT049_ConsultaSaldosContabl!I$4:K$7987,3,0)</f>
        <v>822276301</v>
      </c>
      <c r="CI77" s="62">
        <f t="shared" si="11"/>
        <v>3794898497</v>
      </c>
      <c r="CJ77" s="63">
        <f t="shared" si="12"/>
        <v>4617174798</v>
      </c>
      <c r="CK77" s="64">
        <f t="shared" si="13"/>
        <v>0</v>
      </c>
      <c r="CL77" s="16"/>
      <c r="CM77" s="16"/>
      <c r="CN77" s="16"/>
    </row>
    <row r="78" spans="1:96" s="13" customFormat="1" ht="15" customHeight="1" x14ac:dyDescent="0.2">
      <c r="A78" s="1">
        <v>8916800554</v>
      </c>
      <c r="B78" s="1">
        <v>891680055</v>
      </c>
      <c r="C78" s="9">
        <v>217327073</v>
      </c>
      <c r="D78" s="10" t="s">
        <v>571</v>
      </c>
      <c r="E78" s="45" t="s">
        <v>1590</v>
      </c>
      <c r="F78" s="21"/>
      <c r="G78" s="59"/>
      <c r="H78" s="21"/>
      <c r="I78" s="59"/>
      <c r="J78" s="21"/>
      <c r="K78" s="21"/>
      <c r="L78" s="59"/>
      <c r="M78" s="60"/>
      <c r="N78" s="21"/>
      <c r="O78" s="59"/>
      <c r="P78" s="21"/>
      <c r="Q78" s="59"/>
      <c r="R78" s="21"/>
      <c r="S78" s="21"/>
      <c r="T78" s="59"/>
      <c r="U78" s="60">
        <f t="shared" si="8"/>
        <v>0</v>
      </c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>
        <v>84494159</v>
      </c>
      <c r="AN78" s="60">
        <f>SUBTOTAL(9,AC78:AM78)</f>
        <v>84494159</v>
      </c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>
        <v>201306145</v>
      </c>
      <c r="AZ78" s="60"/>
      <c r="BA78" s="60"/>
      <c r="BB78" s="60"/>
      <c r="BC78" s="61">
        <f t="shared" si="9"/>
        <v>285800304</v>
      </c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>
        <v>40261229</v>
      </c>
      <c r="BO78" s="60"/>
      <c r="BP78" s="61">
        <v>326061533</v>
      </c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>
        <v>40261229</v>
      </c>
      <c r="CD78" s="61"/>
      <c r="CE78" s="61"/>
      <c r="CF78" s="61"/>
      <c r="CG78" s="61">
        <f t="shared" si="10"/>
        <v>366322762</v>
      </c>
      <c r="CH78" s="62">
        <f>VLOOKUP(B78,[1]RPTNCT049_ConsultaSaldosContabl!I$4:K$7987,3,0)</f>
        <v>281828603</v>
      </c>
      <c r="CI78" s="62">
        <f t="shared" si="11"/>
        <v>84494159</v>
      </c>
      <c r="CJ78" s="63">
        <f t="shared" si="12"/>
        <v>366322762</v>
      </c>
      <c r="CK78" s="64">
        <f t="shared" si="13"/>
        <v>0</v>
      </c>
      <c r="CL78" s="16"/>
      <c r="CM78" s="16"/>
      <c r="CN78" s="16"/>
      <c r="CO78" s="6"/>
      <c r="CP78" s="6"/>
      <c r="CQ78" s="6"/>
      <c r="CR78" s="6"/>
    </row>
    <row r="79" spans="1:96" ht="15" customHeight="1" x14ac:dyDescent="0.2">
      <c r="A79" s="1">
        <v>8916803953</v>
      </c>
      <c r="B79" s="1">
        <v>891680395</v>
      </c>
      <c r="C79" s="9">
        <v>217527075</v>
      </c>
      <c r="D79" s="10" t="s">
        <v>572</v>
      </c>
      <c r="E79" s="45" t="s">
        <v>1591</v>
      </c>
      <c r="F79" s="21"/>
      <c r="G79" s="59"/>
      <c r="H79" s="21"/>
      <c r="I79" s="59"/>
      <c r="J79" s="21"/>
      <c r="K79" s="21"/>
      <c r="L79" s="59"/>
      <c r="M79" s="60"/>
      <c r="N79" s="21"/>
      <c r="O79" s="59"/>
      <c r="P79" s="21"/>
      <c r="Q79" s="59"/>
      <c r="R79" s="21"/>
      <c r="S79" s="21"/>
      <c r="T79" s="59"/>
      <c r="U79" s="60">
        <f t="shared" si="8"/>
        <v>0</v>
      </c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>
        <v>214161652</v>
      </c>
      <c r="AN79" s="60">
        <f>SUBTOTAL(9,AC79:AM79)</f>
        <v>214161652</v>
      </c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1">
        <f t="shared" si="9"/>
        <v>214161652</v>
      </c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>
        <v>0</v>
      </c>
      <c r="BO79" s="60"/>
      <c r="BP79" s="61">
        <v>214161652</v>
      </c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>
        <v>18727009</v>
      </c>
      <c r="CD79" s="61">
        <v>112362054</v>
      </c>
      <c r="CE79" s="61"/>
      <c r="CF79" s="61"/>
      <c r="CG79" s="61">
        <f t="shared" si="10"/>
        <v>345250715</v>
      </c>
      <c r="CH79" s="62">
        <f>VLOOKUP(B79,[1]RPTNCT049_ConsultaSaldosContabl!I$4:K$7987,3,0)</f>
        <v>131089063</v>
      </c>
      <c r="CI79" s="62">
        <f t="shared" si="11"/>
        <v>214161652</v>
      </c>
      <c r="CJ79" s="63">
        <f t="shared" si="12"/>
        <v>345250715</v>
      </c>
      <c r="CK79" s="64">
        <f t="shared" si="13"/>
        <v>0</v>
      </c>
      <c r="CL79" s="16"/>
      <c r="CM79" s="16"/>
      <c r="CN79" s="16"/>
    </row>
    <row r="80" spans="1:96" ht="15" customHeight="1" x14ac:dyDescent="0.2">
      <c r="A80" s="1">
        <v>8000955895</v>
      </c>
      <c r="B80" s="1">
        <v>800095589</v>
      </c>
      <c r="C80" s="9">
        <v>217727077</v>
      </c>
      <c r="D80" s="10" t="s">
        <v>2116</v>
      </c>
      <c r="E80" s="45" t="s">
        <v>1592</v>
      </c>
      <c r="F80" s="21"/>
      <c r="G80" s="59"/>
      <c r="H80" s="21"/>
      <c r="I80" s="59"/>
      <c r="J80" s="21"/>
      <c r="K80" s="21"/>
      <c r="L80" s="59"/>
      <c r="M80" s="60"/>
      <c r="N80" s="21"/>
      <c r="O80" s="59"/>
      <c r="P80" s="21"/>
      <c r="Q80" s="59"/>
      <c r="R80" s="21"/>
      <c r="S80" s="21"/>
      <c r="T80" s="59"/>
      <c r="U80" s="60">
        <f t="shared" si="8"/>
        <v>0</v>
      </c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>
        <v>239499731</v>
      </c>
      <c r="AN80" s="60">
        <f>SUBTOTAL(9,AC80:AM80)</f>
        <v>239499731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>
        <v>259069615</v>
      </c>
      <c r="AZ80" s="60"/>
      <c r="BA80" s="60"/>
      <c r="BB80" s="60"/>
      <c r="BC80" s="61">
        <f t="shared" si="9"/>
        <v>498569346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>
        <v>51813923</v>
      </c>
      <c r="BO80" s="60"/>
      <c r="BP80" s="61">
        <v>550383269</v>
      </c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>
        <v>51813923</v>
      </c>
      <c r="CD80" s="61"/>
      <c r="CE80" s="61"/>
      <c r="CF80" s="61"/>
      <c r="CG80" s="61">
        <f t="shared" si="10"/>
        <v>602197192</v>
      </c>
      <c r="CH80" s="62">
        <f>VLOOKUP(B80,[1]RPTNCT049_ConsultaSaldosContabl!I$4:K$7987,3,0)</f>
        <v>362697461</v>
      </c>
      <c r="CI80" s="62">
        <f t="shared" si="11"/>
        <v>239499731</v>
      </c>
      <c r="CJ80" s="63">
        <f t="shared" si="12"/>
        <v>602197192</v>
      </c>
      <c r="CK80" s="64">
        <f t="shared" si="13"/>
        <v>0</v>
      </c>
      <c r="CL80" s="16"/>
      <c r="CM80" s="16"/>
      <c r="CN80" s="16"/>
    </row>
    <row r="81" spans="1:96" ht="15" customHeight="1" x14ac:dyDescent="0.2">
      <c r="A81" s="1">
        <v>8915008691</v>
      </c>
      <c r="B81" s="1">
        <v>891500869</v>
      </c>
      <c r="C81" s="9">
        <v>217519075</v>
      </c>
      <c r="D81" s="10" t="s">
        <v>375</v>
      </c>
      <c r="E81" s="45" t="s">
        <v>1407</v>
      </c>
      <c r="F81" s="21"/>
      <c r="G81" s="59"/>
      <c r="H81" s="21"/>
      <c r="I81" s="59"/>
      <c r="J81" s="21"/>
      <c r="K81" s="21"/>
      <c r="L81" s="59"/>
      <c r="M81" s="60"/>
      <c r="N81" s="21"/>
      <c r="O81" s="59"/>
      <c r="P81" s="21"/>
      <c r="Q81" s="59"/>
      <c r="R81" s="21"/>
      <c r="S81" s="21"/>
      <c r="T81" s="59"/>
      <c r="U81" s="60">
        <f t="shared" si="8"/>
        <v>0</v>
      </c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>
        <v>191585190</v>
      </c>
      <c r="AZ81" s="60"/>
      <c r="BA81" s="60">
        <f>VLOOKUP(B81,[2]Hoja3!J$3:K$674,2,0)</f>
        <v>247802695</v>
      </c>
      <c r="BB81" s="60"/>
      <c r="BC81" s="61">
        <f t="shared" si="9"/>
        <v>439387885</v>
      </c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>
        <v>38317038</v>
      </c>
      <c r="BO81" s="60"/>
      <c r="BP81" s="61">
        <v>477704923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>
        <v>38317038</v>
      </c>
      <c r="CD81" s="61"/>
      <c r="CE81" s="61"/>
      <c r="CF81" s="61"/>
      <c r="CG81" s="61">
        <f t="shared" si="10"/>
        <v>516021961</v>
      </c>
      <c r="CH81" s="62">
        <f>VLOOKUP(B81,[1]RPTNCT049_ConsultaSaldosContabl!I$4:K$7987,3,0)</f>
        <v>268219266</v>
      </c>
      <c r="CI81" s="62">
        <f t="shared" si="11"/>
        <v>247802695</v>
      </c>
      <c r="CJ81" s="63">
        <f t="shared" si="12"/>
        <v>516021961</v>
      </c>
      <c r="CK81" s="64">
        <f t="shared" si="13"/>
        <v>0</v>
      </c>
      <c r="CL81" s="16"/>
      <c r="CM81" s="16"/>
      <c r="CN81" s="16"/>
    </row>
    <row r="82" spans="1:96" ht="15" customHeight="1" x14ac:dyDescent="0.2">
      <c r="A82" s="1">
        <v>8908011431</v>
      </c>
      <c r="B82" s="1">
        <v>890801143</v>
      </c>
      <c r="C82" s="9">
        <v>217566075</v>
      </c>
      <c r="D82" s="10" t="s">
        <v>801</v>
      </c>
      <c r="E82" s="45" t="s">
        <v>1818</v>
      </c>
      <c r="F82" s="21"/>
      <c r="G82" s="59"/>
      <c r="H82" s="21"/>
      <c r="I82" s="59"/>
      <c r="J82" s="21"/>
      <c r="K82" s="21"/>
      <c r="L82" s="59"/>
      <c r="M82" s="60"/>
      <c r="N82" s="21"/>
      <c r="O82" s="59"/>
      <c r="P82" s="21"/>
      <c r="Q82" s="59"/>
      <c r="R82" s="21"/>
      <c r="S82" s="21"/>
      <c r="T82" s="59"/>
      <c r="U82" s="60">
        <f t="shared" si="8"/>
        <v>0</v>
      </c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>
        <f>VLOOKUP(B82,[2]Hoja3!J$3:K$674,2,0)</f>
        <v>87455560</v>
      </c>
      <c r="BB82" s="60"/>
      <c r="BC82" s="61">
        <f t="shared" si="9"/>
        <v>87455560</v>
      </c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>
        <v>0</v>
      </c>
      <c r="BO82" s="60"/>
      <c r="BP82" s="61">
        <v>87455560</v>
      </c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>
        <v>0</v>
      </c>
      <c r="CD82" s="61"/>
      <c r="CE82" s="61"/>
      <c r="CF82" s="61"/>
      <c r="CG82" s="61">
        <f t="shared" si="10"/>
        <v>87455560</v>
      </c>
      <c r="CH82" s="62"/>
      <c r="CI82" s="62">
        <f t="shared" si="11"/>
        <v>87455560</v>
      </c>
      <c r="CJ82" s="63">
        <f t="shared" si="12"/>
        <v>87455560</v>
      </c>
      <c r="CK82" s="64">
        <f t="shared" si="13"/>
        <v>0</v>
      </c>
      <c r="CL82" s="16"/>
      <c r="CM82" s="16"/>
      <c r="CN82" s="16"/>
    </row>
    <row r="83" spans="1:96" ht="15" customHeight="1" x14ac:dyDescent="0.2">
      <c r="A83" s="1">
        <v>8901123718</v>
      </c>
      <c r="B83" s="1">
        <v>890112371</v>
      </c>
      <c r="C83" s="9">
        <v>217808078</v>
      </c>
      <c r="D83" s="10" t="s">
        <v>161</v>
      </c>
      <c r="E83" s="45" t="s">
        <v>1189</v>
      </c>
      <c r="F83" s="21"/>
      <c r="G83" s="59"/>
      <c r="H83" s="21"/>
      <c r="I83" s="59"/>
      <c r="J83" s="21"/>
      <c r="K83" s="21"/>
      <c r="L83" s="59"/>
      <c r="M83" s="60"/>
      <c r="N83" s="21"/>
      <c r="O83" s="59"/>
      <c r="P83" s="21"/>
      <c r="Q83" s="59"/>
      <c r="R83" s="21"/>
      <c r="S83" s="21"/>
      <c r="T83" s="59"/>
      <c r="U83" s="60">
        <f t="shared" si="8"/>
        <v>0</v>
      </c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>
        <v>362963655</v>
      </c>
      <c r="AZ83" s="60"/>
      <c r="BA83" s="60">
        <f>VLOOKUP(B83,[2]Hoja3!J$3:K$674,2,0)</f>
        <v>847224261</v>
      </c>
      <c r="BB83" s="60"/>
      <c r="BC83" s="61">
        <f t="shared" si="9"/>
        <v>1210187916</v>
      </c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>
        <v>72592731</v>
      </c>
      <c r="BO83" s="60"/>
      <c r="BP83" s="61">
        <v>1282780647</v>
      </c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>
        <v>72592731</v>
      </c>
      <c r="CD83" s="61"/>
      <c r="CE83" s="61"/>
      <c r="CF83" s="61"/>
      <c r="CG83" s="61">
        <f t="shared" si="10"/>
        <v>1355373378</v>
      </c>
      <c r="CH83" s="62">
        <f>VLOOKUP(B83,[1]RPTNCT049_ConsultaSaldosContabl!I$4:K$7987,3,0)</f>
        <v>508149117</v>
      </c>
      <c r="CI83" s="62">
        <f t="shared" si="11"/>
        <v>847224261</v>
      </c>
      <c r="CJ83" s="63">
        <f t="shared" si="12"/>
        <v>1355373378</v>
      </c>
      <c r="CK83" s="64">
        <f t="shared" si="13"/>
        <v>0</v>
      </c>
      <c r="CL83" s="16"/>
      <c r="CM83" s="16"/>
      <c r="CN83" s="16"/>
    </row>
    <row r="84" spans="1:96" ht="15" customHeight="1" x14ac:dyDescent="0.2">
      <c r="A84" s="1">
        <v>8911801833</v>
      </c>
      <c r="B84" s="1">
        <v>891180183</v>
      </c>
      <c r="C84" s="9">
        <v>217841078</v>
      </c>
      <c r="D84" s="10" t="s">
        <v>598</v>
      </c>
      <c r="E84" s="45" t="s">
        <v>2081</v>
      </c>
      <c r="F84" s="21"/>
      <c r="G84" s="59"/>
      <c r="H84" s="21"/>
      <c r="I84" s="59"/>
      <c r="J84" s="21"/>
      <c r="K84" s="21"/>
      <c r="L84" s="59"/>
      <c r="M84" s="60"/>
      <c r="N84" s="21"/>
      <c r="O84" s="59"/>
      <c r="P84" s="21"/>
      <c r="Q84" s="59"/>
      <c r="R84" s="21"/>
      <c r="S84" s="21"/>
      <c r="T84" s="59"/>
      <c r="U84" s="60">
        <f t="shared" si="8"/>
        <v>0</v>
      </c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>
        <v>18601999</v>
      </c>
      <c r="AN84" s="60">
        <f>SUBTOTAL(9,AC84:AM84)</f>
        <v>18601999</v>
      </c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>
        <f>VLOOKUP(B84,[2]Hoja3!J$3:K$674,2,0)</f>
        <v>82598451</v>
      </c>
      <c r="BB84" s="60"/>
      <c r="BC84" s="61">
        <f t="shared" si="9"/>
        <v>101200450</v>
      </c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>
        <v>0</v>
      </c>
      <c r="BO84" s="60"/>
      <c r="BP84" s="61">
        <v>101200450</v>
      </c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>
        <v>0</v>
      </c>
      <c r="CD84" s="61"/>
      <c r="CE84" s="61"/>
      <c r="CF84" s="61"/>
      <c r="CG84" s="61">
        <f t="shared" si="10"/>
        <v>101200450</v>
      </c>
      <c r="CH84" s="62"/>
      <c r="CI84" s="62">
        <f t="shared" si="11"/>
        <v>101200450</v>
      </c>
      <c r="CJ84" s="63">
        <f t="shared" si="12"/>
        <v>101200450</v>
      </c>
      <c r="CK84" s="64">
        <f t="shared" si="13"/>
        <v>0</v>
      </c>
      <c r="CL84" s="16"/>
      <c r="CM84" s="16"/>
      <c r="CN84" s="16"/>
    </row>
    <row r="85" spans="1:96" ht="15" customHeight="1" x14ac:dyDescent="0.2">
      <c r="A85" s="1">
        <v>8000990617</v>
      </c>
      <c r="B85" s="1">
        <v>800099061</v>
      </c>
      <c r="C85" s="9">
        <v>217952079</v>
      </c>
      <c r="D85" s="10" t="s">
        <v>696</v>
      </c>
      <c r="E85" s="45" t="s">
        <v>1718</v>
      </c>
      <c r="F85" s="21"/>
      <c r="G85" s="59"/>
      <c r="H85" s="21"/>
      <c r="I85" s="59"/>
      <c r="J85" s="21"/>
      <c r="K85" s="21"/>
      <c r="L85" s="59"/>
      <c r="M85" s="60"/>
      <c r="N85" s="21"/>
      <c r="O85" s="59"/>
      <c r="P85" s="21"/>
      <c r="Q85" s="59"/>
      <c r="R85" s="21"/>
      <c r="S85" s="21"/>
      <c r="T85" s="59"/>
      <c r="U85" s="60">
        <f t="shared" si="8"/>
        <v>0</v>
      </c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>
        <v>66278543</v>
      </c>
      <c r="AN85" s="60">
        <f>SUBTOTAL(9,AC85:AM85)</f>
        <v>66278543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>
        <v>638957465</v>
      </c>
      <c r="AZ85" s="60"/>
      <c r="BA85" s="60">
        <f>VLOOKUP(B85,[2]Hoja3!J$3:K$674,2,0)</f>
        <v>646037510</v>
      </c>
      <c r="BB85" s="60"/>
      <c r="BC85" s="61">
        <f t="shared" si="9"/>
        <v>1351273518</v>
      </c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>
        <v>127791493</v>
      </c>
      <c r="BO85" s="60"/>
      <c r="BP85" s="61">
        <v>1479065011</v>
      </c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>
        <v>127791493</v>
      </c>
      <c r="CD85" s="61"/>
      <c r="CE85" s="61"/>
      <c r="CF85" s="61"/>
      <c r="CG85" s="61">
        <f t="shared" si="10"/>
        <v>1606856504</v>
      </c>
      <c r="CH85" s="62">
        <f>VLOOKUP(B85,[1]RPTNCT049_ConsultaSaldosContabl!I$4:K$7987,3,0)</f>
        <v>894540451</v>
      </c>
      <c r="CI85" s="62">
        <f t="shared" si="11"/>
        <v>712316053</v>
      </c>
      <c r="CJ85" s="63">
        <f t="shared" si="12"/>
        <v>1606856504</v>
      </c>
      <c r="CK85" s="64">
        <f t="shared" si="13"/>
        <v>0</v>
      </c>
      <c r="CL85" s="16"/>
      <c r="CM85" s="16"/>
      <c r="CN85" s="16"/>
    </row>
    <row r="86" spans="1:96" ht="15" customHeight="1" x14ac:dyDescent="0.2">
      <c r="A86" s="1">
        <v>8909804457</v>
      </c>
      <c r="B86" s="1">
        <v>890980445</v>
      </c>
      <c r="C86" s="9">
        <v>217905079</v>
      </c>
      <c r="D86" s="10" t="s">
        <v>58</v>
      </c>
      <c r="E86" s="45" t="s">
        <v>1089</v>
      </c>
      <c r="F86" s="21"/>
      <c r="G86" s="59"/>
      <c r="H86" s="21"/>
      <c r="I86" s="59"/>
      <c r="J86" s="21"/>
      <c r="K86" s="21"/>
      <c r="L86" s="59"/>
      <c r="M86" s="60"/>
      <c r="N86" s="21"/>
      <c r="O86" s="59"/>
      <c r="P86" s="21"/>
      <c r="Q86" s="59"/>
      <c r="R86" s="21"/>
      <c r="S86" s="21"/>
      <c r="T86" s="59"/>
      <c r="U86" s="60">
        <f t="shared" si="8"/>
        <v>0</v>
      </c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>
        <v>539182792</v>
      </c>
      <c r="AN86" s="60">
        <f>SUBTOTAL(9,AC86:AM86)</f>
        <v>539182792</v>
      </c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>
        <v>238851220</v>
      </c>
      <c r="AZ86" s="60"/>
      <c r="BA86" s="60"/>
      <c r="BB86" s="60"/>
      <c r="BC86" s="61">
        <f t="shared" si="9"/>
        <v>778034012</v>
      </c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>
        <v>47770244</v>
      </c>
      <c r="BO86" s="60"/>
      <c r="BP86" s="61">
        <v>825804256</v>
      </c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>
        <v>47770244</v>
      </c>
      <c r="CD86" s="61"/>
      <c r="CE86" s="61"/>
      <c r="CF86" s="61"/>
      <c r="CG86" s="61">
        <f t="shared" si="10"/>
        <v>873574500</v>
      </c>
      <c r="CH86" s="62">
        <f>VLOOKUP(B86,[1]RPTNCT049_ConsultaSaldosContabl!I$4:K$7987,3,0)</f>
        <v>334391708</v>
      </c>
      <c r="CI86" s="62">
        <f t="shared" si="11"/>
        <v>539182792</v>
      </c>
      <c r="CJ86" s="63">
        <f t="shared" si="12"/>
        <v>873574500</v>
      </c>
      <c r="CK86" s="64">
        <f t="shared" si="13"/>
        <v>0</v>
      </c>
      <c r="CL86" s="16"/>
      <c r="CM86" s="16"/>
      <c r="CN86" s="16"/>
    </row>
    <row r="87" spans="1:96" ht="15" customHeight="1" x14ac:dyDescent="0.2">
      <c r="A87" s="1">
        <v>8902060338</v>
      </c>
      <c r="B87" s="1">
        <v>890206033</v>
      </c>
      <c r="C87" s="9">
        <v>217768077</v>
      </c>
      <c r="D87" s="10" t="s">
        <v>815</v>
      </c>
      <c r="E87" s="45" t="s">
        <v>1832</v>
      </c>
      <c r="F87" s="21"/>
      <c r="G87" s="59"/>
      <c r="H87" s="21"/>
      <c r="I87" s="59"/>
      <c r="J87" s="21"/>
      <c r="K87" s="21"/>
      <c r="L87" s="59"/>
      <c r="M87" s="60"/>
      <c r="N87" s="21"/>
      <c r="O87" s="59"/>
      <c r="P87" s="21"/>
      <c r="Q87" s="59"/>
      <c r="R87" s="21"/>
      <c r="S87" s="21"/>
      <c r="T87" s="59"/>
      <c r="U87" s="60">
        <f t="shared" si="8"/>
        <v>0</v>
      </c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>
        <v>313192763</v>
      </c>
      <c r="AN87" s="60">
        <f>SUBTOTAL(9,AC87:AM87)</f>
        <v>313192763</v>
      </c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>
        <v>137937655</v>
      </c>
      <c r="AZ87" s="60"/>
      <c r="BA87" s="60"/>
      <c r="BB87" s="60"/>
      <c r="BC87" s="61">
        <f t="shared" si="9"/>
        <v>451130418</v>
      </c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>
        <v>27587531</v>
      </c>
      <c r="BO87" s="60"/>
      <c r="BP87" s="61">
        <v>478717949</v>
      </c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>
        <v>27587531</v>
      </c>
      <c r="CD87" s="61"/>
      <c r="CE87" s="61"/>
      <c r="CF87" s="61"/>
      <c r="CG87" s="61">
        <f t="shared" si="10"/>
        <v>506305480</v>
      </c>
      <c r="CH87" s="62">
        <f>VLOOKUP(B87,[1]RPTNCT049_ConsultaSaldosContabl!I$4:K$7987,3,0)</f>
        <v>193112717</v>
      </c>
      <c r="CI87" s="62">
        <f t="shared" si="11"/>
        <v>313192763</v>
      </c>
      <c r="CJ87" s="63">
        <f t="shared" si="12"/>
        <v>506305480</v>
      </c>
      <c r="CK87" s="64">
        <f t="shared" si="13"/>
        <v>0</v>
      </c>
      <c r="CL87" s="16"/>
      <c r="CM87" s="16"/>
      <c r="CN87" s="8"/>
      <c r="CO87" s="8"/>
      <c r="CP87" s="8"/>
      <c r="CQ87" s="8"/>
      <c r="CR87" s="8"/>
    </row>
    <row r="88" spans="1:96" ht="15" customHeight="1" x14ac:dyDescent="0.2">
      <c r="A88" s="1">
        <v>8902109321</v>
      </c>
      <c r="B88" s="1">
        <v>890210932</v>
      </c>
      <c r="C88" s="9">
        <v>217968079</v>
      </c>
      <c r="D88" s="10" t="s">
        <v>816</v>
      </c>
      <c r="E88" s="45" t="s">
        <v>1833</v>
      </c>
      <c r="F88" s="21"/>
      <c r="G88" s="59"/>
      <c r="H88" s="21"/>
      <c r="I88" s="59"/>
      <c r="J88" s="21"/>
      <c r="K88" s="21"/>
      <c r="L88" s="59"/>
      <c r="M88" s="60"/>
      <c r="N88" s="21"/>
      <c r="O88" s="59"/>
      <c r="P88" s="21"/>
      <c r="Q88" s="59"/>
      <c r="R88" s="21"/>
      <c r="S88" s="21"/>
      <c r="T88" s="59"/>
      <c r="U88" s="60">
        <f t="shared" si="8"/>
        <v>0</v>
      </c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>
        <v>42828160</v>
      </c>
      <c r="AZ88" s="60"/>
      <c r="BA88" s="60">
        <f>VLOOKUP(B88,[2]Hoja3!J$3:K$674,2,0)</f>
        <v>105376446</v>
      </c>
      <c r="BB88" s="60"/>
      <c r="BC88" s="61">
        <f t="shared" si="9"/>
        <v>148204606</v>
      </c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>
        <v>8565632</v>
      </c>
      <c r="BO88" s="60"/>
      <c r="BP88" s="61">
        <v>156770238</v>
      </c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>
        <v>8565632</v>
      </c>
      <c r="CD88" s="61"/>
      <c r="CE88" s="61"/>
      <c r="CF88" s="61"/>
      <c r="CG88" s="61">
        <f t="shared" si="10"/>
        <v>165335870</v>
      </c>
      <c r="CH88" s="62">
        <f>VLOOKUP(B88,[1]RPTNCT049_ConsultaSaldosContabl!I$4:K$7987,3,0)</f>
        <v>59959424</v>
      </c>
      <c r="CI88" s="62">
        <f t="shared" si="11"/>
        <v>105376446</v>
      </c>
      <c r="CJ88" s="63">
        <f t="shared" si="12"/>
        <v>165335870</v>
      </c>
      <c r="CK88" s="64">
        <f t="shared" si="13"/>
        <v>0</v>
      </c>
      <c r="CL88" s="16"/>
      <c r="CM88" s="16"/>
      <c r="CN88" s="16"/>
    </row>
    <row r="89" spans="1:96" ht="15" customHeight="1" x14ac:dyDescent="0.2">
      <c r="A89" s="1">
        <v>8001525771</v>
      </c>
      <c r="B89" s="1">
        <v>800152577</v>
      </c>
      <c r="C89" s="9">
        <v>211050110</v>
      </c>
      <c r="D89" s="10" t="s">
        <v>667</v>
      </c>
      <c r="E89" s="45" t="s">
        <v>1687</v>
      </c>
      <c r="F89" s="21"/>
      <c r="G89" s="59"/>
      <c r="H89" s="21"/>
      <c r="I89" s="59"/>
      <c r="J89" s="21"/>
      <c r="K89" s="21"/>
      <c r="L89" s="59"/>
      <c r="M89" s="60"/>
      <c r="N89" s="21"/>
      <c r="O89" s="59"/>
      <c r="P89" s="21"/>
      <c r="Q89" s="59"/>
      <c r="R89" s="21"/>
      <c r="S89" s="21"/>
      <c r="T89" s="59"/>
      <c r="U89" s="60">
        <f t="shared" si="8"/>
        <v>0</v>
      </c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>
        <v>133112363</v>
      </c>
      <c r="AN89" s="60">
        <f>SUBTOTAL(9,AC89:AM89)</f>
        <v>133112363</v>
      </c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>
        <v>57174740</v>
      </c>
      <c r="AZ89" s="60"/>
      <c r="BA89" s="60"/>
      <c r="BB89" s="60"/>
      <c r="BC89" s="61">
        <f t="shared" si="9"/>
        <v>190287103</v>
      </c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>
        <v>11434948</v>
      </c>
      <c r="BO89" s="60"/>
      <c r="BP89" s="61">
        <v>201722051</v>
      </c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>
        <v>11434948</v>
      </c>
      <c r="CD89" s="61"/>
      <c r="CE89" s="61"/>
      <c r="CF89" s="61"/>
      <c r="CG89" s="61">
        <f t="shared" si="10"/>
        <v>213156999</v>
      </c>
      <c r="CH89" s="62">
        <f>VLOOKUP(B89,[1]RPTNCT049_ConsultaSaldosContabl!I$4:K$7987,3,0)</f>
        <v>80044636</v>
      </c>
      <c r="CI89" s="62">
        <f t="shared" si="11"/>
        <v>133112363</v>
      </c>
      <c r="CJ89" s="63">
        <f t="shared" si="12"/>
        <v>213156999</v>
      </c>
      <c r="CK89" s="64">
        <f t="shared" si="13"/>
        <v>0</v>
      </c>
      <c r="CL89" s="16"/>
      <c r="CM89" s="16"/>
      <c r="CN89" s="16"/>
    </row>
    <row r="90" spans="1:96" ht="15" customHeight="1" x14ac:dyDescent="0.2">
      <c r="A90" s="1">
        <v>8902019006</v>
      </c>
      <c r="B90" s="1">
        <v>890201900</v>
      </c>
      <c r="C90" s="9">
        <v>218168081</v>
      </c>
      <c r="D90" s="10" t="s">
        <v>2142</v>
      </c>
      <c r="E90" s="46" t="s">
        <v>2251</v>
      </c>
      <c r="F90" s="21"/>
      <c r="G90" s="59"/>
      <c r="H90" s="21"/>
      <c r="I90" s="59">
        <f>5411598015+109779614</f>
        <v>5521377629</v>
      </c>
      <c r="J90" s="21">
        <v>358344767</v>
      </c>
      <c r="K90" s="21">
        <v>711926887</v>
      </c>
      <c r="L90" s="59"/>
      <c r="M90" s="61">
        <f>SUM(F90:L90)</f>
        <v>6591649283</v>
      </c>
      <c r="N90" s="21"/>
      <c r="O90" s="59"/>
      <c r="P90" s="21"/>
      <c r="Q90" s="59">
        <f>5143532295+49899825</f>
        <v>5193432120</v>
      </c>
      <c r="R90" s="21">
        <v>358698155</v>
      </c>
      <c r="S90" s="21">
        <f>353582120+358698155</f>
        <v>712280275</v>
      </c>
      <c r="T90" s="59"/>
      <c r="U90" s="60">
        <f t="shared" si="8"/>
        <v>12856059833</v>
      </c>
      <c r="V90" s="60"/>
      <c r="W90" s="60"/>
      <c r="X90" s="60"/>
      <c r="Y90" s="60">
        <v>7523609028</v>
      </c>
      <c r="Z90" s="60">
        <v>356394785</v>
      </c>
      <c r="AA90" s="60">
        <v>828070991</v>
      </c>
      <c r="AB90" s="60"/>
      <c r="AC90" s="60">
        <f t="shared" si="14"/>
        <v>21564134637</v>
      </c>
      <c r="AD90" s="60"/>
      <c r="AE90" s="60"/>
      <c r="AF90" s="60"/>
      <c r="AG90" s="60"/>
      <c r="AH90" s="60">
        <v>5188509549</v>
      </c>
      <c r="AI90" s="60">
        <v>595146905</v>
      </c>
      <c r="AJ90" s="60">
        <v>364787902</v>
      </c>
      <c r="AK90" s="60">
        <v>920562716</v>
      </c>
      <c r="AL90" s="60"/>
      <c r="AM90" s="60">
        <v>2711426618</v>
      </c>
      <c r="AN90" s="60">
        <f>SUBTOTAL(9,AC90:AM90)</f>
        <v>31344568327</v>
      </c>
      <c r="AO90" s="60"/>
      <c r="AP90" s="60"/>
      <c r="AQ90" s="60">
        <v>1049182535</v>
      </c>
      <c r="AR90" s="60"/>
      <c r="AS90" s="60"/>
      <c r="AT90" s="60">
        <v>5188509549</v>
      </c>
      <c r="AU90" s="60"/>
      <c r="AV90" s="60">
        <v>364787902</v>
      </c>
      <c r="AW90" s="60">
        <v>623651210</v>
      </c>
      <c r="AX90" s="60"/>
      <c r="AY90" s="60"/>
      <c r="AZ90" s="60">
        <v>1695630567</v>
      </c>
      <c r="BA90" s="60"/>
      <c r="BB90" s="60"/>
      <c r="BC90" s="61">
        <f t="shared" si="9"/>
        <v>40266330090</v>
      </c>
      <c r="BD90" s="60"/>
      <c r="BE90" s="60"/>
      <c r="BF90" s="60">
        <v>209836507</v>
      </c>
      <c r="BG90" s="60"/>
      <c r="BH90" s="60"/>
      <c r="BI90" s="60">
        <v>6160737358</v>
      </c>
      <c r="BJ90" s="60">
        <v>546789260</v>
      </c>
      <c r="BK90" s="60">
        <v>466782493</v>
      </c>
      <c r="BL90" s="60">
        <v>1093633800</v>
      </c>
      <c r="BM90" s="60"/>
      <c r="BN90" s="60"/>
      <c r="BO90" s="60"/>
      <c r="BP90" s="61">
        <v>48744109508</v>
      </c>
      <c r="BQ90" s="61"/>
      <c r="BR90" s="61"/>
      <c r="BS90" s="61">
        <v>209836507</v>
      </c>
      <c r="BT90" s="61"/>
      <c r="BU90" s="61"/>
      <c r="BV90" s="61"/>
      <c r="BW90" s="61">
        <v>5311122388</v>
      </c>
      <c r="BX90" s="61"/>
      <c r="BY90" s="61">
        <v>2282974208</v>
      </c>
      <c r="BZ90" s="61">
        <v>372731379</v>
      </c>
      <c r="CA90" s="61">
        <v>978724267</v>
      </c>
      <c r="CB90" s="61"/>
      <c r="CC90" s="61"/>
      <c r="CD90" s="61"/>
      <c r="CE90" s="61"/>
      <c r="CF90" s="61"/>
      <c r="CG90" s="61">
        <f t="shared" si="10"/>
        <v>57899498257</v>
      </c>
      <c r="CH90" s="62">
        <f>VLOOKUP(B90,[1]RPTNCT049_ConsultaSaldosContabl!I$4:K$7987,3,0)</f>
        <v>55188071639</v>
      </c>
      <c r="CI90" s="62">
        <f t="shared" si="11"/>
        <v>2711426618</v>
      </c>
      <c r="CJ90" s="63">
        <f t="shared" si="12"/>
        <v>57899498257</v>
      </c>
      <c r="CK90" s="64">
        <f t="shared" si="13"/>
        <v>0</v>
      </c>
      <c r="CL90" s="16"/>
      <c r="CM90" s="16"/>
      <c r="CN90" s="16"/>
    </row>
    <row r="91" spans="1:96" ht="15" customHeight="1" x14ac:dyDescent="0.2">
      <c r="A91" s="1">
        <v>8000992233</v>
      </c>
      <c r="B91" s="1">
        <v>800099223</v>
      </c>
      <c r="C91" s="9">
        <v>217844078</v>
      </c>
      <c r="D91" s="10" t="s">
        <v>631</v>
      </c>
      <c r="E91" s="45" t="s">
        <v>1649</v>
      </c>
      <c r="F91" s="21"/>
      <c r="G91" s="59"/>
      <c r="H91" s="21"/>
      <c r="I91" s="59"/>
      <c r="J91" s="21"/>
      <c r="K91" s="21"/>
      <c r="L91" s="59"/>
      <c r="M91" s="60"/>
      <c r="N91" s="21"/>
      <c r="O91" s="59"/>
      <c r="P91" s="21"/>
      <c r="Q91" s="59"/>
      <c r="R91" s="21"/>
      <c r="S91" s="21"/>
      <c r="T91" s="59"/>
      <c r="U91" s="60">
        <f t="shared" si="8"/>
        <v>0</v>
      </c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>
        <v>469735072</v>
      </c>
      <c r="AN91" s="60">
        <f>SUBTOTAL(9,AC91:AM91)</f>
        <v>469735072</v>
      </c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>
        <v>273693945</v>
      </c>
      <c r="AZ91" s="60"/>
      <c r="BA91" s="60"/>
      <c r="BB91" s="60">
        <f>VLOOKUP(B91,'[3]anuladas en mayo gratuidad}'!K$2:L$55,2,0)</f>
        <v>135086254</v>
      </c>
      <c r="BC91" s="61">
        <f t="shared" si="9"/>
        <v>608342763</v>
      </c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>
        <v>54738789</v>
      </c>
      <c r="BO91" s="60">
        <v>135086254</v>
      </c>
      <c r="BP91" s="61">
        <v>798167806</v>
      </c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>
        <v>54738789</v>
      </c>
      <c r="CD91" s="61"/>
      <c r="CE91" s="61">
        <v>43129884</v>
      </c>
      <c r="CF91" s="61"/>
      <c r="CG91" s="61">
        <f t="shared" si="10"/>
        <v>896036479</v>
      </c>
      <c r="CH91" s="62">
        <f>VLOOKUP(B91,[1]RPTNCT049_ConsultaSaldosContabl!I$4:K$7987,3,0)</f>
        <v>383171523</v>
      </c>
      <c r="CI91" s="62">
        <f t="shared" si="11"/>
        <v>512864956</v>
      </c>
      <c r="CJ91" s="63">
        <f t="shared" si="12"/>
        <v>896036479</v>
      </c>
      <c r="CK91" s="64">
        <f t="shared" si="13"/>
        <v>0</v>
      </c>
      <c r="CL91" s="16"/>
      <c r="CM91" s="16"/>
      <c r="CN91" s="16"/>
    </row>
    <row r="92" spans="1:96" ht="15" customHeight="1" x14ac:dyDescent="0.2">
      <c r="A92" s="1">
        <v>8000159911</v>
      </c>
      <c r="B92" s="1">
        <v>800015991</v>
      </c>
      <c r="C92" s="9">
        <v>217413074</v>
      </c>
      <c r="D92" s="10" t="s">
        <v>185</v>
      </c>
      <c r="E92" s="45" t="s">
        <v>1215</v>
      </c>
      <c r="F92" s="21"/>
      <c r="G92" s="59"/>
      <c r="H92" s="21"/>
      <c r="I92" s="59"/>
      <c r="J92" s="21"/>
      <c r="K92" s="21"/>
      <c r="L92" s="59"/>
      <c r="M92" s="60"/>
      <c r="N92" s="21"/>
      <c r="O92" s="59"/>
      <c r="P92" s="21"/>
      <c r="Q92" s="59"/>
      <c r="R92" s="21"/>
      <c r="S92" s="21"/>
      <c r="T92" s="59"/>
      <c r="U92" s="60">
        <f t="shared" si="8"/>
        <v>0</v>
      </c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>
        <v>198042156</v>
      </c>
      <c r="AN92" s="60">
        <f>SUBTOTAL(9,AC92:AM92)</f>
        <v>198042156</v>
      </c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>
        <f>VLOOKUP(B92,[2]Hoja3!J$3:K$674,2,0)</f>
        <v>142909106</v>
      </c>
      <c r="BB92" s="60"/>
      <c r="BC92" s="61">
        <f t="shared" si="9"/>
        <v>340951262</v>
      </c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>
        <v>0</v>
      </c>
      <c r="BO92" s="60"/>
      <c r="BP92" s="61">
        <v>340951262</v>
      </c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>
        <v>0</v>
      </c>
      <c r="CD92" s="61"/>
      <c r="CE92" s="61">
        <v>32320294</v>
      </c>
      <c r="CF92" s="61"/>
      <c r="CG92" s="61">
        <f t="shared" si="10"/>
        <v>373271556</v>
      </c>
      <c r="CH92" s="62"/>
      <c r="CI92" s="62">
        <f t="shared" si="11"/>
        <v>373271556</v>
      </c>
      <c r="CJ92" s="63">
        <f t="shared" si="12"/>
        <v>373271556</v>
      </c>
      <c r="CK92" s="64">
        <f t="shared" si="13"/>
        <v>0</v>
      </c>
      <c r="CL92" s="16"/>
      <c r="CM92" s="16"/>
      <c r="CN92" s="8"/>
      <c r="CO92" s="8"/>
      <c r="CP92" s="8"/>
      <c r="CQ92" s="8"/>
      <c r="CR92" s="8"/>
    </row>
    <row r="93" spans="1:96" ht="15" customHeight="1" x14ac:dyDescent="0.2">
      <c r="A93" s="1">
        <v>8000965764</v>
      </c>
      <c r="B93" s="1">
        <v>800096576</v>
      </c>
      <c r="C93" s="9">
        <v>214520045</v>
      </c>
      <c r="D93" s="10" t="s">
        <v>416</v>
      </c>
      <c r="E93" s="45" t="s">
        <v>1444</v>
      </c>
      <c r="F93" s="21"/>
      <c r="G93" s="59"/>
      <c r="H93" s="21"/>
      <c r="I93" s="59"/>
      <c r="J93" s="21"/>
      <c r="K93" s="21"/>
      <c r="L93" s="59"/>
      <c r="M93" s="60"/>
      <c r="N93" s="21"/>
      <c r="O93" s="59"/>
      <c r="P93" s="21"/>
      <c r="Q93" s="59"/>
      <c r="R93" s="21"/>
      <c r="S93" s="21"/>
      <c r="T93" s="59"/>
      <c r="U93" s="60">
        <f t="shared" si="8"/>
        <v>0</v>
      </c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>
        <v>206076010</v>
      </c>
      <c r="AZ93" s="60"/>
      <c r="BA93" s="60">
        <f>VLOOKUP(B93,[2]Hoja3!J$3:K$674,2,0)</f>
        <v>397998522</v>
      </c>
      <c r="BB93" s="60"/>
      <c r="BC93" s="61">
        <f t="shared" si="9"/>
        <v>604074532</v>
      </c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>
        <v>41215202</v>
      </c>
      <c r="BO93" s="60"/>
      <c r="BP93" s="61">
        <v>645289734</v>
      </c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>
        <v>41215202</v>
      </c>
      <c r="CD93" s="61"/>
      <c r="CE93" s="61"/>
      <c r="CF93" s="61"/>
      <c r="CG93" s="61">
        <f t="shared" si="10"/>
        <v>686504936</v>
      </c>
      <c r="CH93" s="62">
        <f>VLOOKUP(B93,[1]RPTNCT049_ConsultaSaldosContabl!I$4:K$7987,3,0)</f>
        <v>288506414</v>
      </c>
      <c r="CI93" s="62">
        <f t="shared" si="11"/>
        <v>397998522</v>
      </c>
      <c r="CJ93" s="63">
        <f t="shared" si="12"/>
        <v>686504936</v>
      </c>
      <c r="CK93" s="64">
        <f t="shared" si="13"/>
        <v>0</v>
      </c>
      <c r="CL93" s="16"/>
      <c r="CM93" s="16"/>
      <c r="CN93" s="16"/>
    </row>
    <row r="94" spans="1:96" ht="15" customHeight="1" x14ac:dyDescent="0.2">
      <c r="A94" s="1">
        <v>8908026509</v>
      </c>
      <c r="B94" s="1">
        <v>890802650</v>
      </c>
      <c r="C94" s="9">
        <v>218817088</v>
      </c>
      <c r="D94" s="10" t="s">
        <v>339</v>
      </c>
      <c r="E94" s="45" t="s">
        <v>1370</v>
      </c>
      <c r="F94" s="21"/>
      <c r="G94" s="59"/>
      <c r="H94" s="21"/>
      <c r="I94" s="59"/>
      <c r="J94" s="21"/>
      <c r="K94" s="21"/>
      <c r="L94" s="59"/>
      <c r="M94" s="60"/>
      <c r="N94" s="21"/>
      <c r="O94" s="59"/>
      <c r="P94" s="21"/>
      <c r="Q94" s="59"/>
      <c r="R94" s="21"/>
      <c r="S94" s="21"/>
      <c r="T94" s="59"/>
      <c r="U94" s="60">
        <f t="shared" si="8"/>
        <v>0</v>
      </c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>
        <v>152347637</v>
      </c>
      <c r="AN94" s="60">
        <f>SUBTOTAL(9,AC94:AM94)</f>
        <v>152347637</v>
      </c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>
        <v>74387370</v>
      </c>
      <c r="AZ94" s="60"/>
      <c r="BA94" s="60"/>
      <c r="BB94" s="60">
        <f>VLOOKUP(B94,'[3]anuladas en mayo gratuidad}'!K$2:L$55,2,0)</f>
        <v>35001709</v>
      </c>
      <c r="BC94" s="61">
        <f t="shared" si="9"/>
        <v>191733298</v>
      </c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>
        <v>14877474</v>
      </c>
      <c r="BO94" s="60"/>
      <c r="BP94" s="61">
        <v>206610772</v>
      </c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>
        <v>14877474</v>
      </c>
      <c r="CD94" s="61"/>
      <c r="CE94" s="61"/>
      <c r="CF94" s="61"/>
      <c r="CG94" s="61">
        <f t="shared" si="10"/>
        <v>221488246</v>
      </c>
      <c r="CH94" s="62">
        <f>VLOOKUP(B94,[1]RPTNCT049_ConsultaSaldosContabl!I$4:K$7987,3,0)</f>
        <v>104142318</v>
      </c>
      <c r="CI94" s="62">
        <f t="shared" si="11"/>
        <v>117345928</v>
      </c>
      <c r="CJ94" s="63">
        <f t="shared" si="12"/>
        <v>221488246</v>
      </c>
      <c r="CK94" s="64">
        <f t="shared" si="13"/>
        <v>0</v>
      </c>
      <c r="CL94" s="16"/>
      <c r="CM94" s="16"/>
      <c r="CN94" s="16"/>
    </row>
    <row r="95" spans="1:96" ht="15" customHeight="1" x14ac:dyDescent="0.2">
      <c r="A95" s="1">
        <v>8000957347</v>
      </c>
      <c r="B95" s="1">
        <v>800095734</v>
      </c>
      <c r="C95" s="9">
        <v>219418094</v>
      </c>
      <c r="D95" s="10" t="s">
        <v>2196</v>
      </c>
      <c r="E95" s="45" t="s">
        <v>1392</v>
      </c>
      <c r="F95" s="21"/>
      <c r="G95" s="59"/>
      <c r="H95" s="21"/>
      <c r="I95" s="59"/>
      <c r="J95" s="21"/>
      <c r="K95" s="21"/>
      <c r="L95" s="59"/>
      <c r="M95" s="60"/>
      <c r="N95" s="21"/>
      <c r="O95" s="59"/>
      <c r="P95" s="21"/>
      <c r="Q95" s="59"/>
      <c r="R95" s="21"/>
      <c r="S95" s="21"/>
      <c r="T95" s="59"/>
      <c r="U95" s="60">
        <f t="shared" si="8"/>
        <v>0</v>
      </c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>
        <v>95872655</v>
      </c>
      <c r="AZ95" s="60"/>
      <c r="BA95" s="60">
        <f>VLOOKUP(B95,[2]Hoja3!J$3:K$674,2,0)</f>
        <v>189491410</v>
      </c>
      <c r="BB95" s="60"/>
      <c r="BC95" s="61">
        <f t="shared" si="9"/>
        <v>285364065</v>
      </c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>
        <v>19174531</v>
      </c>
      <c r="BO95" s="60"/>
      <c r="BP95" s="61">
        <v>304538596</v>
      </c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>
        <v>19174531</v>
      </c>
      <c r="CD95" s="61"/>
      <c r="CE95" s="61"/>
      <c r="CF95" s="61"/>
      <c r="CG95" s="61">
        <f t="shared" si="10"/>
        <v>323713127</v>
      </c>
      <c r="CH95" s="62">
        <f>VLOOKUP(B95,[1]RPTNCT049_ConsultaSaldosContabl!I$4:K$7987,3,0)</f>
        <v>134221717</v>
      </c>
      <c r="CI95" s="62">
        <f t="shared" si="11"/>
        <v>189491410</v>
      </c>
      <c r="CJ95" s="63">
        <f t="shared" si="12"/>
        <v>323713127</v>
      </c>
      <c r="CK95" s="64">
        <f t="shared" si="13"/>
        <v>0</v>
      </c>
      <c r="CL95" s="16"/>
      <c r="CM95" s="16"/>
      <c r="CN95" s="16"/>
    </row>
    <row r="96" spans="1:96" ht="15" customHeight="1" x14ac:dyDescent="0.2">
      <c r="A96" s="1">
        <v>8914800248</v>
      </c>
      <c r="B96" s="1">
        <v>891480024</v>
      </c>
      <c r="C96" s="9">
        <v>218866088</v>
      </c>
      <c r="D96" s="10" t="s">
        <v>802</v>
      </c>
      <c r="E96" s="45" t="s">
        <v>1819</v>
      </c>
      <c r="F96" s="21"/>
      <c r="G96" s="59"/>
      <c r="H96" s="21"/>
      <c r="I96" s="59"/>
      <c r="J96" s="21"/>
      <c r="K96" s="21"/>
      <c r="L96" s="59"/>
      <c r="M96" s="60"/>
      <c r="N96" s="21"/>
      <c r="O96" s="59"/>
      <c r="P96" s="21"/>
      <c r="Q96" s="59"/>
      <c r="R96" s="21"/>
      <c r="S96" s="21"/>
      <c r="T96" s="59"/>
      <c r="U96" s="60">
        <f t="shared" si="8"/>
        <v>0</v>
      </c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>
        <v>300431057</v>
      </c>
      <c r="AN96" s="60">
        <f>SUBTOTAL(9,AC96:AM96)</f>
        <v>300431057</v>
      </c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>
        <v>179588295</v>
      </c>
      <c r="AZ96" s="60"/>
      <c r="BA96" s="60">
        <f>VLOOKUP(B96,[2]Hoja3!J$3:K$674,2,0)</f>
        <v>47960209</v>
      </c>
      <c r="BB96" s="60"/>
      <c r="BC96" s="61">
        <f t="shared" si="9"/>
        <v>527979561</v>
      </c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>
        <v>35917659</v>
      </c>
      <c r="BO96" s="60"/>
      <c r="BP96" s="61">
        <v>563897220</v>
      </c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>
        <v>35917659</v>
      </c>
      <c r="CD96" s="61"/>
      <c r="CE96" s="61"/>
      <c r="CF96" s="61"/>
      <c r="CG96" s="61">
        <f t="shared" si="10"/>
        <v>599814879</v>
      </c>
      <c r="CH96" s="62">
        <f>VLOOKUP(B96,[1]RPTNCT049_ConsultaSaldosContabl!I$4:K$7987,3,0)</f>
        <v>251423613</v>
      </c>
      <c r="CI96" s="62">
        <f t="shared" si="11"/>
        <v>348391266</v>
      </c>
      <c r="CJ96" s="63">
        <f t="shared" si="12"/>
        <v>599814879</v>
      </c>
      <c r="CK96" s="64">
        <f t="shared" si="13"/>
        <v>0</v>
      </c>
      <c r="CL96" s="16"/>
      <c r="CM96" s="16"/>
      <c r="CN96" s="16"/>
    </row>
    <row r="97" spans="1:96" ht="15" customHeight="1" x14ac:dyDescent="0.2">
      <c r="A97" s="1">
        <v>8000991994</v>
      </c>
      <c r="B97" s="1">
        <v>800099199</v>
      </c>
      <c r="C97" s="9">
        <v>218715087</v>
      </c>
      <c r="D97" s="10" t="s">
        <v>221</v>
      </c>
      <c r="E97" s="45" t="s">
        <v>1256</v>
      </c>
      <c r="F97" s="21"/>
      <c r="G97" s="59"/>
      <c r="H97" s="21"/>
      <c r="I97" s="59"/>
      <c r="J97" s="21"/>
      <c r="K97" s="21"/>
      <c r="L97" s="59"/>
      <c r="M97" s="60"/>
      <c r="N97" s="21"/>
      <c r="O97" s="59"/>
      <c r="P97" s="21"/>
      <c r="Q97" s="59"/>
      <c r="R97" s="21"/>
      <c r="S97" s="21"/>
      <c r="T97" s="59"/>
      <c r="U97" s="60">
        <f t="shared" si="8"/>
        <v>0</v>
      </c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>
        <v>57328395</v>
      </c>
      <c r="AZ97" s="60"/>
      <c r="BA97" s="60">
        <f>VLOOKUP(B97,[2]Hoja3!J$3:K$674,2,0)</f>
        <v>134506122</v>
      </c>
      <c r="BB97" s="60"/>
      <c r="BC97" s="61">
        <f t="shared" si="9"/>
        <v>191834517</v>
      </c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>
        <v>11465679</v>
      </c>
      <c r="BO97" s="60"/>
      <c r="BP97" s="61">
        <v>203300196</v>
      </c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>
        <v>11465679</v>
      </c>
      <c r="CD97" s="61"/>
      <c r="CE97" s="61"/>
      <c r="CF97" s="61"/>
      <c r="CG97" s="61">
        <f t="shared" si="10"/>
        <v>214765875</v>
      </c>
      <c r="CH97" s="62">
        <f>VLOOKUP(B97,[1]RPTNCT049_ConsultaSaldosContabl!I$4:K$7987,3,0)</f>
        <v>80259753</v>
      </c>
      <c r="CI97" s="62">
        <f t="shared" si="11"/>
        <v>134506122</v>
      </c>
      <c r="CJ97" s="63">
        <f t="shared" si="12"/>
        <v>214765875</v>
      </c>
      <c r="CK97" s="64">
        <f t="shared" si="13"/>
        <v>0</v>
      </c>
      <c r="CL97" s="16"/>
      <c r="CM97" s="16"/>
      <c r="CN97" s="8"/>
      <c r="CO97" s="8"/>
      <c r="CP97" s="8"/>
      <c r="CQ97" s="8"/>
      <c r="CR97" s="8"/>
    </row>
    <row r="98" spans="1:96" ht="15" customHeight="1" x14ac:dyDescent="0.2">
      <c r="A98" s="1">
        <v>8000354821</v>
      </c>
      <c r="B98" s="1">
        <v>800035482</v>
      </c>
      <c r="C98" s="9">
        <v>218352083</v>
      </c>
      <c r="D98" s="10" t="s">
        <v>697</v>
      </c>
      <c r="E98" s="45" t="s">
        <v>1719</v>
      </c>
      <c r="F98" s="21"/>
      <c r="G98" s="59"/>
      <c r="H98" s="21"/>
      <c r="I98" s="59"/>
      <c r="J98" s="21"/>
      <c r="K98" s="21"/>
      <c r="L98" s="59"/>
      <c r="M98" s="60"/>
      <c r="N98" s="21"/>
      <c r="O98" s="59"/>
      <c r="P98" s="21"/>
      <c r="Q98" s="59"/>
      <c r="R98" s="21"/>
      <c r="S98" s="21"/>
      <c r="T98" s="59"/>
      <c r="U98" s="60">
        <f t="shared" si="8"/>
        <v>0</v>
      </c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>
        <v>53437905</v>
      </c>
      <c r="AZ98" s="60"/>
      <c r="BA98" s="60">
        <f>VLOOKUP(B98,[2]Hoja3!J$3:K$674,2,0)</f>
        <v>86353026</v>
      </c>
      <c r="BB98" s="60"/>
      <c r="BC98" s="61">
        <f t="shared" si="9"/>
        <v>139790931</v>
      </c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>
        <v>10687581</v>
      </c>
      <c r="BO98" s="60"/>
      <c r="BP98" s="61">
        <v>150478512</v>
      </c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>
        <v>10687581</v>
      </c>
      <c r="CD98" s="61"/>
      <c r="CE98" s="61"/>
      <c r="CF98" s="61"/>
      <c r="CG98" s="61">
        <f t="shared" si="10"/>
        <v>161166093</v>
      </c>
      <c r="CH98" s="62">
        <f>VLOOKUP(B98,[1]RPTNCT049_ConsultaSaldosContabl!I$4:K$7987,3,0)</f>
        <v>74813067</v>
      </c>
      <c r="CI98" s="62">
        <f t="shared" si="11"/>
        <v>86353026</v>
      </c>
      <c r="CJ98" s="63">
        <f t="shared" si="12"/>
        <v>161166093</v>
      </c>
      <c r="CK98" s="64">
        <f t="shared" si="13"/>
        <v>0</v>
      </c>
      <c r="CL98" s="16"/>
      <c r="CM98" s="16"/>
      <c r="CN98" s="16"/>
    </row>
    <row r="99" spans="1:96" ht="15" customHeight="1" x14ac:dyDescent="0.2">
      <c r="A99" s="1">
        <v>8909801121</v>
      </c>
      <c r="B99" s="1">
        <v>890980112</v>
      </c>
      <c r="C99" s="9">
        <v>218805088</v>
      </c>
      <c r="D99" s="10" t="s">
        <v>2143</v>
      </c>
      <c r="E99" s="47" t="s">
        <v>1050</v>
      </c>
      <c r="F99" s="21"/>
      <c r="G99" s="59"/>
      <c r="H99" s="21"/>
      <c r="I99" s="59">
        <f>6249096014+191262711</f>
        <v>6440358725</v>
      </c>
      <c r="J99" s="21">
        <v>427563890</v>
      </c>
      <c r="K99" s="21">
        <v>847939324</v>
      </c>
      <c r="L99" s="59"/>
      <c r="M99" s="61">
        <f>SUM(F99:L99)</f>
        <v>7715861939</v>
      </c>
      <c r="N99" s="21"/>
      <c r="O99" s="59"/>
      <c r="P99" s="21"/>
      <c r="Q99" s="59">
        <f>6031580244+86937596</f>
        <v>6118517840</v>
      </c>
      <c r="R99" s="21">
        <v>427858461</v>
      </c>
      <c r="S99" s="21">
        <f>420375434+427858461</f>
        <v>848233895</v>
      </c>
      <c r="T99" s="59"/>
      <c r="U99" s="60">
        <f t="shared" si="8"/>
        <v>15110472135</v>
      </c>
      <c r="V99" s="60"/>
      <c r="W99" s="60"/>
      <c r="X99" s="60"/>
      <c r="Y99" s="60">
        <v>9761608392</v>
      </c>
      <c r="Z99" s="60">
        <v>477439030</v>
      </c>
      <c r="AA99" s="60">
        <v>1029965284</v>
      </c>
      <c r="AB99" s="60"/>
      <c r="AC99" s="60">
        <f t="shared" si="14"/>
        <v>26379484841</v>
      </c>
      <c r="AD99" s="60"/>
      <c r="AE99" s="60"/>
      <c r="AF99" s="60"/>
      <c r="AG99" s="60"/>
      <c r="AH99" s="60">
        <v>6602137430</v>
      </c>
      <c r="AI99" s="60">
        <v>4213674499</v>
      </c>
      <c r="AJ99" s="60">
        <v>446291649</v>
      </c>
      <c r="AK99" s="60">
        <v>1124721814</v>
      </c>
      <c r="AL99" s="60"/>
      <c r="AM99" s="60">
        <v>3600406214</v>
      </c>
      <c r="AN99" s="60">
        <f>SUBTOTAL(9,AC99:AM99)</f>
        <v>42366716447</v>
      </c>
      <c r="AO99" s="60"/>
      <c r="AP99" s="60"/>
      <c r="AQ99" s="60">
        <v>1156544985</v>
      </c>
      <c r="AR99" s="60"/>
      <c r="AS99" s="60"/>
      <c r="AT99" s="60">
        <v>6602137430</v>
      </c>
      <c r="AU99" s="60"/>
      <c r="AV99" s="60">
        <v>446291649</v>
      </c>
      <c r="AW99" s="60">
        <v>761995588</v>
      </c>
      <c r="AX99" s="60"/>
      <c r="AY99" s="60"/>
      <c r="AZ99" s="60">
        <v>1504499642</v>
      </c>
      <c r="BA99" s="60">
        <f>VLOOKUP(B99,[2]Hoja3!J$3:K$674,2,0)</f>
        <v>82077315</v>
      </c>
      <c r="BB99" s="60">
        <f>VLOOKUP(B99,'[3]anuladas en mayo gratuidad}'!K$2:L$55,2,0)</f>
        <v>235188823</v>
      </c>
      <c r="BC99" s="61">
        <f t="shared" si="9"/>
        <v>52685074233</v>
      </c>
      <c r="BD99" s="60"/>
      <c r="BE99" s="60"/>
      <c r="BF99" s="60">
        <v>231308997</v>
      </c>
      <c r="BG99" s="60"/>
      <c r="BH99" s="60"/>
      <c r="BI99" s="60">
        <v>6071606068</v>
      </c>
      <c r="BJ99" s="60">
        <v>295414170</v>
      </c>
      <c r="BK99" s="60">
        <v>363732924</v>
      </c>
      <c r="BL99" s="60">
        <v>851534075</v>
      </c>
      <c r="BM99" s="60"/>
      <c r="BN99" s="60"/>
      <c r="BO99" s="60"/>
      <c r="BP99" s="61">
        <v>60498670467</v>
      </c>
      <c r="BQ99" s="61"/>
      <c r="BR99" s="61"/>
      <c r="BS99" s="61">
        <v>231308997</v>
      </c>
      <c r="BT99" s="61"/>
      <c r="BU99" s="61"/>
      <c r="BV99" s="61"/>
      <c r="BW99" s="61">
        <v>6135765728</v>
      </c>
      <c r="BX99" s="61">
        <v>2003548143</v>
      </c>
      <c r="BY99" s="61">
        <v>2825777071</v>
      </c>
      <c r="BZ99" s="61">
        <v>457159276</v>
      </c>
      <c r="CA99" s="61">
        <v>1172209281</v>
      </c>
      <c r="CB99" s="61"/>
      <c r="CC99" s="61"/>
      <c r="CD99" s="61"/>
      <c r="CE99" s="61">
        <v>160590339</v>
      </c>
      <c r="CF99" s="61"/>
      <c r="CG99" s="61">
        <f t="shared" si="10"/>
        <v>73485029302</v>
      </c>
      <c r="CH99" s="62">
        <f>VLOOKUP(B99,[1]RPTNCT049_ConsultaSaldosContabl!I$4:K$7987,3,0)</f>
        <v>69877144257</v>
      </c>
      <c r="CI99" s="62">
        <f t="shared" si="11"/>
        <v>3607885045</v>
      </c>
      <c r="CJ99" s="63">
        <f t="shared" si="12"/>
        <v>73485029302</v>
      </c>
      <c r="CK99" s="64">
        <f t="shared" si="13"/>
        <v>0</v>
      </c>
      <c r="CL99" s="16"/>
      <c r="CM99" s="16"/>
      <c r="CN99" s="16"/>
    </row>
    <row r="100" spans="1:96" ht="15" customHeight="1" x14ac:dyDescent="0.2">
      <c r="A100" s="1">
        <v>8909818802</v>
      </c>
      <c r="B100" s="1">
        <v>890981880</v>
      </c>
      <c r="C100" s="9">
        <v>218605086</v>
      </c>
      <c r="D100" s="10" t="s">
        <v>59</v>
      </c>
      <c r="E100" s="45" t="s">
        <v>1090</v>
      </c>
      <c r="F100" s="21"/>
      <c r="G100" s="59"/>
      <c r="H100" s="21"/>
      <c r="I100" s="59"/>
      <c r="J100" s="21"/>
      <c r="K100" s="21"/>
      <c r="L100" s="59"/>
      <c r="M100" s="60"/>
      <c r="N100" s="21"/>
      <c r="O100" s="59"/>
      <c r="P100" s="21"/>
      <c r="Q100" s="59"/>
      <c r="R100" s="21"/>
      <c r="S100" s="21"/>
      <c r="T100" s="59"/>
      <c r="U100" s="60">
        <f t="shared" si="8"/>
        <v>0</v>
      </c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>
        <v>39748788</v>
      </c>
      <c r="AN100" s="60">
        <f>SUBTOTAL(9,AC100:AM100)</f>
        <v>39748788</v>
      </c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>
        <v>43980605</v>
      </c>
      <c r="AZ100" s="60"/>
      <c r="BA100" s="60">
        <f>VLOOKUP(B100,[2]Hoja3!J$3:K$674,2,0)</f>
        <v>77255401</v>
      </c>
      <c r="BB100" s="60"/>
      <c r="BC100" s="61">
        <f t="shared" si="9"/>
        <v>160984794</v>
      </c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>
        <v>8796121</v>
      </c>
      <c r="BO100" s="60"/>
      <c r="BP100" s="61">
        <v>169780915</v>
      </c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>
        <v>8796121</v>
      </c>
      <c r="CD100" s="61"/>
      <c r="CE100" s="61"/>
      <c r="CF100" s="61"/>
      <c r="CG100" s="61">
        <f t="shared" si="10"/>
        <v>178577036</v>
      </c>
      <c r="CH100" s="62">
        <f>VLOOKUP(B100,[1]RPTNCT049_ConsultaSaldosContabl!I$4:K$7987,3,0)</f>
        <v>61572847</v>
      </c>
      <c r="CI100" s="62">
        <f t="shared" si="11"/>
        <v>117004189</v>
      </c>
      <c r="CJ100" s="63">
        <f t="shared" si="12"/>
        <v>178577036</v>
      </c>
      <c r="CK100" s="64">
        <f t="shared" si="13"/>
        <v>0</v>
      </c>
      <c r="CL100" s="16"/>
      <c r="CM100" s="16"/>
      <c r="CN100" s="16"/>
    </row>
    <row r="101" spans="1:96" ht="15" customHeight="1" x14ac:dyDescent="0.2">
      <c r="A101" s="1">
        <v>8000946240</v>
      </c>
      <c r="B101" s="1">
        <v>800094624</v>
      </c>
      <c r="C101" s="9">
        <v>218625086</v>
      </c>
      <c r="D101" s="10" t="s">
        <v>465</v>
      </c>
      <c r="E101" s="45" t="s">
        <v>1492</v>
      </c>
      <c r="F101" s="21"/>
      <c r="G101" s="59"/>
      <c r="H101" s="21"/>
      <c r="I101" s="59"/>
      <c r="J101" s="21"/>
      <c r="K101" s="21"/>
      <c r="L101" s="59"/>
      <c r="M101" s="60"/>
      <c r="N101" s="21"/>
      <c r="O101" s="59"/>
      <c r="P101" s="21"/>
      <c r="Q101" s="59"/>
      <c r="R101" s="21"/>
      <c r="S101" s="21"/>
      <c r="T101" s="59"/>
      <c r="U101" s="60">
        <f t="shared" si="8"/>
        <v>0</v>
      </c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>
        <v>37868774</v>
      </c>
      <c r="AN101" s="60">
        <f>SUBTOTAL(9,AC101:AM101)</f>
        <v>37868774</v>
      </c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>
        <f t="shared" si="9"/>
        <v>37868774</v>
      </c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>
        <v>0</v>
      </c>
      <c r="BO101" s="60"/>
      <c r="BP101" s="61">
        <v>37868774</v>
      </c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>
        <v>0</v>
      </c>
      <c r="CD101" s="61"/>
      <c r="CE101" s="61"/>
      <c r="CF101" s="61"/>
      <c r="CG101" s="61">
        <f t="shared" si="10"/>
        <v>37868774</v>
      </c>
      <c r="CH101" s="62"/>
      <c r="CI101" s="62">
        <f t="shared" si="11"/>
        <v>37868774</v>
      </c>
      <c r="CJ101" s="63">
        <f t="shared" si="12"/>
        <v>37868774</v>
      </c>
      <c r="CK101" s="64">
        <f t="shared" si="13"/>
        <v>0</v>
      </c>
      <c r="CL101" s="16"/>
      <c r="CM101" s="16"/>
      <c r="CN101" s="16"/>
    </row>
    <row r="102" spans="1:96" ht="15" customHeight="1" x14ac:dyDescent="0.2">
      <c r="A102" s="1">
        <v>8000993905</v>
      </c>
      <c r="B102" s="1">
        <v>800099390</v>
      </c>
      <c r="C102" s="9">
        <v>219015090</v>
      </c>
      <c r="D102" s="10" t="s">
        <v>222</v>
      </c>
      <c r="E102" s="45" t="s">
        <v>1257</v>
      </c>
      <c r="F102" s="21"/>
      <c r="G102" s="59"/>
      <c r="H102" s="21"/>
      <c r="I102" s="59"/>
      <c r="J102" s="21"/>
      <c r="K102" s="21"/>
      <c r="L102" s="59"/>
      <c r="M102" s="60"/>
      <c r="N102" s="21"/>
      <c r="O102" s="59"/>
      <c r="P102" s="21"/>
      <c r="Q102" s="59"/>
      <c r="R102" s="21"/>
      <c r="S102" s="21"/>
      <c r="T102" s="59"/>
      <c r="U102" s="60">
        <f t="shared" si="8"/>
        <v>0</v>
      </c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>
        <v>23403151</v>
      </c>
      <c r="AN102" s="60">
        <f>SUBTOTAL(9,AC102:AM102)</f>
        <v>23403151</v>
      </c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>
        <v>13134570</v>
      </c>
      <c r="AZ102" s="60"/>
      <c r="BA102" s="60"/>
      <c r="BB102" s="60"/>
      <c r="BC102" s="61">
        <f t="shared" si="9"/>
        <v>36537721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>
        <v>2626914</v>
      </c>
      <c r="BO102" s="60"/>
      <c r="BP102" s="61">
        <v>39164635</v>
      </c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>
        <v>2626914</v>
      </c>
      <c r="CD102" s="61"/>
      <c r="CE102" s="61"/>
      <c r="CF102" s="61"/>
      <c r="CG102" s="61">
        <f t="shared" si="10"/>
        <v>41791549</v>
      </c>
      <c r="CH102" s="62">
        <f>VLOOKUP(B102,[1]RPTNCT049_ConsultaSaldosContabl!I$4:K$7987,3,0)</f>
        <v>18388398</v>
      </c>
      <c r="CI102" s="62">
        <f t="shared" si="11"/>
        <v>23403151</v>
      </c>
      <c r="CJ102" s="63">
        <f t="shared" si="12"/>
        <v>41791549</v>
      </c>
      <c r="CK102" s="64">
        <f t="shared" si="13"/>
        <v>0</v>
      </c>
      <c r="CL102" s="16"/>
      <c r="CM102" s="16"/>
      <c r="CN102" s="8"/>
      <c r="CO102" s="8"/>
      <c r="CP102" s="8"/>
      <c r="CQ102" s="8"/>
      <c r="CR102" s="8"/>
    </row>
    <row r="103" spans="1:96" ht="15" customHeight="1" x14ac:dyDescent="0.2">
      <c r="A103" s="1">
        <v>8909808023</v>
      </c>
      <c r="B103" s="1">
        <v>890980802</v>
      </c>
      <c r="C103" s="9">
        <v>219105091</v>
      </c>
      <c r="D103" s="10" t="s">
        <v>60</v>
      </c>
      <c r="E103" s="45" t="s">
        <v>1091</v>
      </c>
      <c r="F103" s="21"/>
      <c r="G103" s="59"/>
      <c r="H103" s="21"/>
      <c r="I103" s="59"/>
      <c r="J103" s="21"/>
      <c r="K103" s="21"/>
      <c r="L103" s="59"/>
      <c r="M103" s="60"/>
      <c r="N103" s="21"/>
      <c r="O103" s="59"/>
      <c r="P103" s="21"/>
      <c r="Q103" s="59"/>
      <c r="R103" s="21"/>
      <c r="S103" s="21"/>
      <c r="T103" s="59"/>
      <c r="U103" s="60">
        <f t="shared" si="8"/>
        <v>0</v>
      </c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>
        <v>57712025</v>
      </c>
      <c r="AZ103" s="60"/>
      <c r="BA103" s="60">
        <f>VLOOKUP(B103,[2]Hoja3!J$3:K$674,2,0)</f>
        <v>132657968</v>
      </c>
      <c r="BB103" s="60"/>
      <c r="BC103" s="61">
        <f t="shared" si="9"/>
        <v>190369993</v>
      </c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>
        <v>11542405</v>
      </c>
      <c r="BO103" s="60"/>
      <c r="BP103" s="61">
        <v>201912398</v>
      </c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>
        <v>11542405</v>
      </c>
      <c r="CD103" s="61"/>
      <c r="CE103" s="61"/>
      <c r="CF103" s="61"/>
      <c r="CG103" s="61">
        <f t="shared" si="10"/>
        <v>213454803</v>
      </c>
      <c r="CH103" s="62">
        <f>VLOOKUP(B103,[1]RPTNCT049_ConsultaSaldosContabl!I$4:K$7987,3,0)</f>
        <v>80796835</v>
      </c>
      <c r="CI103" s="62">
        <f t="shared" si="11"/>
        <v>132657968</v>
      </c>
      <c r="CJ103" s="63">
        <f t="shared" si="12"/>
        <v>213454803</v>
      </c>
      <c r="CK103" s="64">
        <f t="shared" si="13"/>
        <v>0</v>
      </c>
      <c r="CL103" s="16"/>
      <c r="CM103" s="16"/>
      <c r="CN103" s="16"/>
    </row>
    <row r="104" spans="1:96" ht="15" customHeight="1" x14ac:dyDescent="0.2">
      <c r="A104" s="1">
        <v>8000172880</v>
      </c>
      <c r="B104" s="1">
        <v>800017288</v>
      </c>
      <c r="C104" s="9">
        <v>219215092</v>
      </c>
      <c r="D104" s="10" t="s">
        <v>223</v>
      </c>
      <c r="E104" s="45" t="s">
        <v>1258</v>
      </c>
      <c r="F104" s="21"/>
      <c r="G104" s="59"/>
      <c r="H104" s="21"/>
      <c r="I104" s="59"/>
      <c r="J104" s="21"/>
      <c r="K104" s="21"/>
      <c r="L104" s="59"/>
      <c r="M104" s="60"/>
      <c r="N104" s="21"/>
      <c r="O104" s="59"/>
      <c r="P104" s="21"/>
      <c r="Q104" s="59"/>
      <c r="R104" s="21"/>
      <c r="S104" s="21"/>
      <c r="T104" s="59"/>
      <c r="U104" s="60">
        <f t="shared" si="8"/>
        <v>0</v>
      </c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>
        <v>16546735</v>
      </c>
      <c r="AZ104" s="60"/>
      <c r="BA104" s="60">
        <f>VLOOKUP(B104,[2]Hoja3!J$3:K$674,2,0)</f>
        <v>24811259</v>
      </c>
      <c r="BB104" s="60"/>
      <c r="BC104" s="61">
        <f t="shared" si="9"/>
        <v>41357994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>
        <v>3309347</v>
      </c>
      <c r="BO104" s="60"/>
      <c r="BP104" s="61">
        <v>44667341</v>
      </c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>
        <v>3309347</v>
      </c>
      <c r="CD104" s="61"/>
      <c r="CE104" s="61"/>
      <c r="CF104" s="61"/>
      <c r="CG104" s="61">
        <f t="shared" si="10"/>
        <v>47976688</v>
      </c>
      <c r="CH104" s="62">
        <f>VLOOKUP(B104,[1]RPTNCT049_ConsultaSaldosContabl!I$4:K$7987,3,0)</f>
        <v>23165429</v>
      </c>
      <c r="CI104" s="62">
        <f t="shared" si="11"/>
        <v>24811259</v>
      </c>
      <c r="CJ104" s="63">
        <f t="shared" si="12"/>
        <v>47976688</v>
      </c>
      <c r="CK104" s="64">
        <f t="shared" si="13"/>
        <v>0</v>
      </c>
      <c r="CL104" s="16"/>
      <c r="CM104" s="16"/>
      <c r="CN104" s="8"/>
      <c r="CO104" s="8"/>
      <c r="CP104" s="8"/>
      <c r="CQ104" s="8"/>
      <c r="CR104" s="8"/>
    </row>
    <row r="105" spans="1:96" ht="15" customHeight="1" x14ac:dyDescent="0.2">
      <c r="A105" s="1">
        <v>8909823211</v>
      </c>
      <c r="B105" s="1">
        <v>890982321</v>
      </c>
      <c r="C105" s="9">
        <v>219305093</v>
      </c>
      <c r="D105" s="10" t="s">
        <v>61</v>
      </c>
      <c r="E105" s="45" t="s">
        <v>1092</v>
      </c>
      <c r="F105" s="21"/>
      <c r="G105" s="59"/>
      <c r="H105" s="21"/>
      <c r="I105" s="59"/>
      <c r="J105" s="21"/>
      <c r="K105" s="21"/>
      <c r="L105" s="59"/>
      <c r="M105" s="60"/>
      <c r="N105" s="21"/>
      <c r="O105" s="59"/>
      <c r="P105" s="21"/>
      <c r="Q105" s="59"/>
      <c r="R105" s="21"/>
      <c r="S105" s="21"/>
      <c r="T105" s="59"/>
      <c r="U105" s="60">
        <f t="shared" si="8"/>
        <v>0</v>
      </c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>
        <v>184804556</v>
      </c>
      <c r="AN105" s="60">
        <f>SUBTOTAL(9,AC105:AM105)</f>
        <v>184804556</v>
      </c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>
        <v>143928765</v>
      </c>
      <c r="AZ105" s="60"/>
      <c r="BA105" s="60">
        <f>VLOOKUP(B105,[2]Hoja3!J$3:K$674,2,0)</f>
        <v>67534596</v>
      </c>
      <c r="BB105" s="60"/>
      <c r="BC105" s="61">
        <f t="shared" si="9"/>
        <v>396267917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>
        <v>28785753</v>
      </c>
      <c r="BO105" s="60"/>
      <c r="BP105" s="61">
        <v>425053670</v>
      </c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>
        <v>28785753</v>
      </c>
      <c r="CD105" s="61"/>
      <c r="CE105" s="61"/>
      <c r="CF105" s="61"/>
      <c r="CG105" s="61">
        <f t="shared" si="10"/>
        <v>453839423</v>
      </c>
      <c r="CH105" s="62">
        <f>VLOOKUP(B105,[1]RPTNCT049_ConsultaSaldosContabl!I$4:K$7987,3,0)</f>
        <v>201500271</v>
      </c>
      <c r="CI105" s="62">
        <f t="shared" si="11"/>
        <v>252339152</v>
      </c>
      <c r="CJ105" s="63">
        <f t="shared" si="12"/>
        <v>453839423</v>
      </c>
      <c r="CK105" s="64">
        <f t="shared" si="13"/>
        <v>0</v>
      </c>
      <c r="CL105" s="16"/>
      <c r="CM105" s="16"/>
      <c r="CN105" s="16"/>
    </row>
    <row r="106" spans="1:96" ht="15" customHeight="1" x14ac:dyDescent="0.2">
      <c r="A106" s="1">
        <v>8902081191</v>
      </c>
      <c r="B106" s="1">
        <v>890208119</v>
      </c>
      <c r="C106" s="9">
        <v>219268092</v>
      </c>
      <c r="D106" s="10" t="s">
        <v>817</v>
      </c>
      <c r="E106" s="45" t="s">
        <v>1834</v>
      </c>
      <c r="F106" s="21"/>
      <c r="G106" s="59"/>
      <c r="H106" s="21"/>
      <c r="I106" s="59"/>
      <c r="J106" s="21"/>
      <c r="K106" s="21"/>
      <c r="L106" s="59"/>
      <c r="M106" s="60"/>
      <c r="N106" s="21"/>
      <c r="O106" s="59"/>
      <c r="P106" s="21"/>
      <c r="Q106" s="59"/>
      <c r="R106" s="21"/>
      <c r="S106" s="21"/>
      <c r="T106" s="59"/>
      <c r="U106" s="60">
        <f t="shared" si="8"/>
        <v>0</v>
      </c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>
        <v>61664529</v>
      </c>
      <c r="AN106" s="60">
        <f>SUBTOTAL(9,AC106:AM106)</f>
        <v>61664529</v>
      </c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>
        <v>45198085</v>
      </c>
      <c r="AZ106" s="60"/>
      <c r="BA106" s="60">
        <f>VLOOKUP(B106,[2]Hoja3!J$3:K$674,2,0)</f>
        <v>41250308</v>
      </c>
      <c r="BB106" s="60"/>
      <c r="BC106" s="61">
        <f t="shared" si="9"/>
        <v>148112922</v>
      </c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>
        <v>9039617</v>
      </c>
      <c r="BO106" s="60"/>
      <c r="BP106" s="61">
        <v>157152539</v>
      </c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>
        <v>9039617</v>
      </c>
      <c r="CD106" s="61"/>
      <c r="CE106" s="61"/>
      <c r="CF106" s="61"/>
      <c r="CG106" s="61">
        <f t="shared" si="10"/>
        <v>166192156</v>
      </c>
      <c r="CH106" s="62">
        <f>VLOOKUP(B106,[1]RPTNCT049_ConsultaSaldosContabl!I$4:K$7987,3,0)</f>
        <v>63277319</v>
      </c>
      <c r="CI106" s="62">
        <f t="shared" si="11"/>
        <v>102914837</v>
      </c>
      <c r="CJ106" s="63">
        <f t="shared" si="12"/>
        <v>166192156</v>
      </c>
      <c r="CK106" s="64">
        <f t="shared" si="13"/>
        <v>0</v>
      </c>
      <c r="CL106" s="16"/>
      <c r="CM106" s="16"/>
      <c r="CN106" s="8"/>
      <c r="CO106" s="8"/>
      <c r="CP106" s="8"/>
      <c r="CQ106" s="8"/>
      <c r="CR106" s="8"/>
    </row>
    <row r="107" spans="1:96" ht="15" customHeight="1" x14ac:dyDescent="0.2">
      <c r="A107" s="1">
        <v>8999997085</v>
      </c>
      <c r="B107" s="1">
        <v>899999708</v>
      </c>
      <c r="C107" s="9">
        <v>219525095</v>
      </c>
      <c r="D107" s="10" t="s">
        <v>466</v>
      </c>
      <c r="E107" s="45" t="s">
        <v>1493</v>
      </c>
      <c r="F107" s="21"/>
      <c r="G107" s="59"/>
      <c r="H107" s="21"/>
      <c r="I107" s="59"/>
      <c r="J107" s="21"/>
      <c r="K107" s="21"/>
      <c r="L107" s="59"/>
      <c r="M107" s="60"/>
      <c r="N107" s="21"/>
      <c r="O107" s="59"/>
      <c r="P107" s="21"/>
      <c r="Q107" s="59"/>
      <c r="R107" s="21"/>
      <c r="S107" s="21"/>
      <c r="T107" s="59"/>
      <c r="U107" s="60">
        <f t="shared" si="8"/>
        <v>0</v>
      </c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>
        <v>38325872</v>
      </c>
      <c r="AN107" s="60">
        <f>SUBTOTAL(9,AC107:AM107)</f>
        <v>38325872</v>
      </c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>
        <v>17001555</v>
      </c>
      <c r="AZ107" s="60"/>
      <c r="BA107" s="60"/>
      <c r="BB107" s="60"/>
      <c r="BC107" s="61">
        <f t="shared" si="9"/>
        <v>55327427</v>
      </c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>
        <v>3400311</v>
      </c>
      <c r="BO107" s="60"/>
      <c r="BP107" s="61">
        <v>58727738</v>
      </c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>
        <v>3400311</v>
      </c>
      <c r="CD107" s="61"/>
      <c r="CE107" s="61"/>
      <c r="CF107" s="61"/>
      <c r="CG107" s="61">
        <f t="shared" si="10"/>
        <v>62128049</v>
      </c>
      <c r="CH107" s="62">
        <f>VLOOKUP(B107,[1]RPTNCT049_ConsultaSaldosContabl!I$4:K$7987,3,0)</f>
        <v>23802177</v>
      </c>
      <c r="CI107" s="62">
        <f t="shared" si="11"/>
        <v>38325872</v>
      </c>
      <c r="CJ107" s="63">
        <f t="shared" si="12"/>
        <v>62128049</v>
      </c>
      <c r="CK107" s="64">
        <f t="shared" si="13"/>
        <v>0</v>
      </c>
      <c r="CL107" s="16"/>
      <c r="CM107" s="16"/>
      <c r="CN107" s="16"/>
    </row>
    <row r="108" spans="1:96" ht="15" customHeight="1" x14ac:dyDescent="0.2">
      <c r="A108" s="1">
        <v>8918562945</v>
      </c>
      <c r="B108" s="1">
        <v>891856294</v>
      </c>
      <c r="C108" s="9">
        <v>219715097</v>
      </c>
      <c r="D108" s="10" t="s">
        <v>224</v>
      </c>
      <c r="E108" s="45" t="s">
        <v>1259</v>
      </c>
      <c r="F108" s="21"/>
      <c r="G108" s="59"/>
      <c r="H108" s="21"/>
      <c r="I108" s="59"/>
      <c r="J108" s="21"/>
      <c r="K108" s="21"/>
      <c r="L108" s="59"/>
      <c r="M108" s="60"/>
      <c r="N108" s="21"/>
      <c r="O108" s="59"/>
      <c r="P108" s="21"/>
      <c r="Q108" s="59"/>
      <c r="R108" s="21"/>
      <c r="S108" s="21"/>
      <c r="T108" s="59"/>
      <c r="U108" s="60">
        <f t="shared" si="8"/>
        <v>0</v>
      </c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>
        <v>52834765</v>
      </c>
      <c r="AZ108" s="60"/>
      <c r="BA108" s="60">
        <f>VLOOKUP(B108,[2]Hoja3!J$3:K$674,2,0)</f>
        <v>85083265</v>
      </c>
      <c r="BB108" s="60"/>
      <c r="BC108" s="61">
        <f t="shared" si="9"/>
        <v>137918030</v>
      </c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>
        <v>10566953</v>
      </c>
      <c r="BO108" s="60"/>
      <c r="BP108" s="61">
        <v>148484983</v>
      </c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>
        <v>10566953</v>
      </c>
      <c r="CD108" s="61"/>
      <c r="CE108" s="61"/>
      <c r="CF108" s="61"/>
      <c r="CG108" s="61">
        <f t="shared" si="10"/>
        <v>159051936</v>
      </c>
      <c r="CH108" s="62">
        <f>VLOOKUP(B108,[1]RPTNCT049_ConsultaSaldosContabl!I$4:K$7987,3,0)</f>
        <v>73968671</v>
      </c>
      <c r="CI108" s="62">
        <f t="shared" si="11"/>
        <v>85083265</v>
      </c>
      <c r="CJ108" s="63">
        <f t="shared" si="12"/>
        <v>159051936</v>
      </c>
      <c r="CK108" s="64">
        <f t="shared" si="13"/>
        <v>0</v>
      </c>
      <c r="CL108" s="16"/>
      <c r="CM108" s="16"/>
      <c r="CN108" s="8"/>
      <c r="CO108" s="8"/>
      <c r="CP108" s="8"/>
      <c r="CQ108" s="8"/>
      <c r="CR108" s="8"/>
    </row>
    <row r="109" spans="1:96" ht="15" customHeight="1" x14ac:dyDescent="0.2">
      <c r="A109" s="1">
        <v>8905056623</v>
      </c>
      <c r="B109" s="1">
        <v>890505662</v>
      </c>
      <c r="C109" s="9">
        <v>219954099</v>
      </c>
      <c r="D109" s="10" t="s">
        <v>753</v>
      </c>
      <c r="E109" s="45" t="s">
        <v>1773</v>
      </c>
      <c r="F109" s="21"/>
      <c r="G109" s="59"/>
      <c r="H109" s="21"/>
      <c r="I109" s="59"/>
      <c r="J109" s="21"/>
      <c r="K109" s="21"/>
      <c r="L109" s="59"/>
      <c r="M109" s="60"/>
      <c r="N109" s="21"/>
      <c r="O109" s="59"/>
      <c r="P109" s="21"/>
      <c r="Q109" s="59"/>
      <c r="R109" s="21"/>
      <c r="S109" s="21"/>
      <c r="T109" s="59"/>
      <c r="U109" s="60">
        <f t="shared" si="8"/>
        <v>0</v>
      </c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>
        <v>52237415</v>
      </c>
      <c r="AZ109" s="60"/>
      <c r="BA109" s="60">
        <f>VLOOKUP(B109,[2]Hoja3!J$3:K$674,2,0)</f>
        <v>105765204</v>
      </c>
      <c r="BB109" s="60"/>
      <c r="BC109" s="61">
        <f t="shared" si="9"/>
        <v>158002619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>
        <v>10447483</v>
      </c>
      <c r="BO109" s="60"/>
      <c r="BP109" s="61">
        <v>168450102</v>
      </c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>
        <v>10447483</v>
      </c>
      <c r="CD109" s="61"/>
      <c r="CE109" s="61"/>
      <c r="CF109" s="61"/>
      <c r="CG109" s="61">
        <f t="shared" si="10"/>
        <v>178897585</v>
      </c>
      <c r="CH109" s="62">
        <f>VLOOKUP(B109,[1]RPTNCT049_ConsultaSaldosContabl!I$4:K$7987,3,0)</f>
        <v>73132381</v>
      </c>
      <c r="CI109" s="62">
        <f t="shared" si="11"/>
        <v>105765204</v>
      </c>
      <c r="CJ109" s="63">
        <f t="shared" si="12"/>
        <v>178897585</v>
      </c>
      <c r="CK109" s="64">
        <f t="shared" si="13"/>
        <v>0</v>
      </c>
      <c r="CL109" s="16"/>
      <c r="CM109" s="16"/>
      <c r="CN109" s="16"/>
    </row>
    <row r="110" spans="1:96" ht="15" customHeight="1" x14ac:dyDescent="0.2">
      <c r="A110" s="1">
        <v>8999990619</v>
      </c>
      <c r="B110" s="1">
        <v>899999061</v>
      </c>
      <c r="C110" s="9">
        <v>210111001</v>
      </c>
      <c r="D110" s="10" t="s">
        <v>2151</v>
      </c>
      <c r="E110" s="47" t="s">
        <v>1074</v>
      </c>
      <c r="F110" s="21"/>
      <c r="G110" s="59"/>
      <c r="H110" s="21"/>
      <c r="I110" s="59">
        <f>70000000000+33531727997+2041995958</f>
        <v>105573723955</v>
      </c>
      <c r="J110" s="21">
        <v>7437794702</v>
      </c>
      <c r="K110" s="21">
        <v>14741006808</v>
      </c>
      <c r="L110" s="59">
        <v>3721053169</v>
      </c>
      <c r="M110" s="61">
        <f>SUM(F110:L110)</f>
        <v>131473578634</v>
      </c>
      <c r="N110" s="21"/>
      <c r="O110" s="59"/>
      <c r="P110" s="21">
        <f>VLOOKUP(A110,'[4]PENS-CANC'!A$2:B$37,2,0)</f>
        <v>3721053169</v>
      </c>
      <c r="Q110" s="59">
        <f>70000000000+28722668017</f>
        <v>98722668017</v>
      </c>
      <c r="R110" s="21">
        <v>7282101335</v>
      </c>
      <c r="S110" s="21">
        <f>7303212106+7282101335</f>
        <v>14585313441</v>
      </c>
      <c r="T110" s="65"/>
      <c r="U110" s="60">
        <f t="shared" si="8"/>
        <v>255784714596</v>
      </c>
      <c r="V110" s="60"/>
      <c r="W110" s="60"/>
      <c r="X110" s="60"/>
      <c r="Y110" s="60">
        <f>158507372164+15672472000</f>
        <v>174179844164</v>
      </c>
      <c r="Z110" s="60">
        <v>8435242043</v>
      </c>
      <c r="AA110" s="60">
        <v>19542292837</v>
      </c>
      <c r="AB110" s="60">
        <v>3721053169</v>
      </c>
      <c r="AC110" s="60">
        <f t="shared" si="14"/>
        <v>461663146809</v>
      </c>
      <c r="AD110" s="60"/>
      <c r="AE110" s="60"/>
      <c r="AF110" s="60"/>
      <c r="AG110" s="60"/>
      <c r="AH110" s="60">
        <v>106690074683</v>
      </c>
      <c r="AI110" s="60">
        <v>7918991989</v>
      </c>
      <c r="AJ110" s="60">
        <v>8053573942</v>
      </c>
      <c r="AK110" s="60">
        <v>20275062264</v>
      </c>
      <c r="AL110" s="60">
        <v>3721053169</v>
      </c>
      <c r="AM110" s="60">
        <v>49271693614</v>
      </c>
      <c r="AN110" s="60">
        <f t="shared" ref="AN110:AN116" si="15">SUBTOTAL(9,AC110:AM110)</f>
        <v>657593596470</v>
      </c>
      <c r="AO110" s="60"/>
      <c r="AP110" s="60"/>
      <c r="AQ110" s="60">
        <v>13091567575</v>
      </c>
      <c r="AR110" s="60"/>
      <c r="AS110" s="60"/>
      <c r="AT110" s="60">
        <v>100690074683</v>
      </c>
      <c r="AU110" s="60"/>
      <c r="AV110" s="60">
        <v>5053573942</v>
      </c>
      <c r="AW110" s="60">
        <v>0</v>
      </c>
      <c r="AX110" s="60">
        <v>3721053169</v>
      </c>
      <c r="AY110" s="60"/>
      <c r="AZ110" s="60">
        <v>0</v>
      </c>
      <c r="BA110" s="60">
        <f>VLOOKUP(B110,[2]Hoja3!J$3:K$674,2,0)</f>
        <v>352417736</v>
      </c>
      <c r="BB110" s="60">
        <f>VLOOKUP(B110,'[3]anuladas en mayo gratuidad}'!K$2:L$55,2,0)</f>
        <v>1163256937</v>
      </c>
      <c r="BC110" s="61">
        <f t="shared" si="9"/>
        <v>779339026638</v>
      </c>
      <c r="BD110" s="60"/>
      <c r="BE110" s="60"/>
      <c r="BF110" s="60">
        <v>2618313515</v>
      </c>
      <c r="BG110" s="60"/>
      <c r="BH110" s="60"/>
      <c r="BI110" s="60">
        <v>106028871092</v>
      </c>
      <c r="BJ110" s="60">
        <v>702397216</v>
      </c>
      <c r="BK110" s="60">
        <v>9358853859</v>
      </c>
      <c r="BL110" s="60">
        <v>30184888768</v>
      </c>
      <c r="BM110" s="60">
        <v>7442106338</v>
      </c>
      <c r="BN110" s="60"/>
      <c r="BO110" s="60"/>
      <c r="BP110" s="61">
        <v>935674457426</v>
      </c>
      <c r="BQ110" s="61"/>
      <c r="BR110" s="61"/>
      <c r="BS110" s="61">
        <v>2618313515</v>
      </c>
      <c r="BT110" s="61"/>
      <c r="BU110" s="61"/>
      <c r="BV110" s="61"/>
      <c r="BW110" s="61">
        <v>113108175026</v>
      </c>
      <c r="BX110" s="61">
        <v>17878668292</v>
      </c>
      <c r="BY110" s="61">
        <v>53022876885</v>
      </c>
      <c r="BZ110" s="61">
        <v>8434828958</v>
      </c>
      <c r="CA110" s="61">
        <v>21382829440</v>
      </c>
      <c r="CB110" s="74">
        <v>3721053169</v>
      </c>
      <c r="CC110" s="61"/>
      <c r="CD110" s="61"/>
      <c r="CE110" s="61">
        <v>896100250</v>
      </c>
      <c r="CF110" s="61"/>
      <c r="CG110" s="61">
        <f t="shared" si="10"/>
        <v>1156737302961</v>
      </c>
      <c r="CH110" s="62">
        <f>VLOOKUP(B110,[1]RPTNCT049_ConsultaSaldosContabl!I$4:K$7987,3,0)</f>
        <v>1107380348298</v>
      </c>
      <c r="CI110" s="62">
        <f t="shared" si="11"/>
        <v>49356954663</v>
      </c>
      <c r="CJ110" s="63">
        <f t="shared" si="12"/>
        <v>1156737302961</v>
      </c>
      <c r="CK110" s="64">
        <f t="shared" si="13"/>
        <v>0</v>
      </c>
      <c r="CL110" s="16"/>
      <c r="CM110" s="16"/>
      <c r="CN110" s="16"/>
    </row>
    <row r="111" spans="1:96" ht="15" customHeight="1" x14ac:dyDescent="0.2">
      <c r="A111" s="1">
        <v>8000946226</v>
      </c>
      <c r="B111" s="1">
        <v>800094622</v>
      </c>
      <c r="C111" s="9">
        <v>219925099</v>
      </c>
      <c r="D111" s="10" t="s">
        <v>467</v>
      </c>
      <c r="E111" s="45" t="s">
        <v>1494</v>
      </c>
      <c r="F111" s="21"/>
      <c r="G111" s="59"/>
      <c r="H111" s="21"/>
      <c r="I111" s="59"/>
      <c r="J111" s="21"/>
      <c r="K111" s="21"/>
      <c r="L111" s="59"/>
      <c r="M111" s="60"/>
      <c r="N111" s="21"/>
      <c r="O111" s="59"/>
      <c r="P111" s="21"/>
      <c r="Q111" s="59"/>
      <c r="R111" s="21"/>
      <c r="S111" s="21"/>
      <c r="T111" s="59"/>
      <c r="U111" s="60">
        <f t="shared" si="8"/>
        <v>0</v>
      </c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>
        <v>122058995</v>
      </c>
      <c r="AN111" s="60">
        <f t="shared" si="15"/>
        <v>122058995</v>
      </c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>
        <v>49923640</v>
      </c>
      <c r="AZ111" s="60"/>
      <c r="BA111" s="60"/>
      <c r="BB111" s="60"/>
      <c r="BC111" s="61">
        <f t="shared" si="9"/>
        <v>171982635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>
        <v>9984728</v>
      </c>
      <c r="BO111" s="60"/>
      <c r="BP111" s="61">
        <v>181967363</v>
      </c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>
        <v>9984728</v>
      </c>
      <c r="CD111" s="61"/>
      <c r="CE111" s="61"/>
      <c r="CF111" s="61"/>
      <c r="CG111" s="61">
        <f t="shared" si="10"/>
        <v>191952091</v>
      </c>
      <c r="CH111" s="62">
        <f>VLOOKUP(B111,[1]RPTNCT049_ConsultaSaldosContabl!I$4:K$7987,3,0)</f>
        <v>69893096</v>
      </c>
      <c r="CI111" s="62">
        <f t="shared" si="11"/>
        <v>122058995</v>
      </c>
      <c r="CJ111" s="63">
        <f t="shared" si="12"/>
        <v>191952091</v>
      </c>
      <c r="CK111" s="64">
        <f t="shared" si="13"/>
        <v>0</v>
      </c>
      <c r="CL111" s="16"/>
      <c r="CM111" s="16"/>
      <c r="CN111" s="16"/>
    </row>
    <row r="112" spans="1:96" ht="15" customHeight="1" x14ac:dyDescent="0.2">
      <c r="A112" s="1">
        <v>8000703758</v>
      </c>
      <c r="B112" s="1">
        <v>800070375</v>
      </c>
      <c r="C112" s="9">
        <v>219927099</v>
      </c>
      <c r="D112" s="10" t="s">
        <v>573</v>
      </c>
      <c r="E112" s="45" t="s">
        <v>1593</v>
      </c>
      <c r="F112" s="21"/>
      <c r="G112" s="59"/>
      <c r="H112" s="21"/>
      <c r="I112" s="59"/>
      <c r="J112" s="21"/>
      <c r="K112" s="21"/>
      <c r="L112" s="59"/>
      <c r="M112" s="60"/>
      <c r="N112" s="21"/>
      <c r="O112" s="59"/>
      <c r="P112" s="21"/>
      <c r="Q112" s="59"/>
      <c r="R112" s="21"/>
      <c r="S112" s="21"/>
      <c r="T112" s="59"/>
      <c r="U112" s="60">
        <f t="shared" si="8"/>
        <v>0</v>
      </c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>
        <v>136304932</v>
      </c>
      <c r="AN112" s="60">
        <f t="shared" si="15"/>
        <v>136304932</v>
      </c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>
        <v>269048685</v>
      </c>
      <c r="AZ112" s="60"/>
      <c r="BA112" s="60"/>
      <c r="BB112" s="60"/>
      <c r="BC112" s="61">
        <f t="shared" si="9"/>
        <v>405353617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>
        <v>53809737</v>
      </c>
      <c r="BO112" s="60"/>
      <c r="BP112" s="61">
        <v>459163354</v>
      </c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>
        <v>53809737</v>
      </c>
      <c r="CD112" s="61"/>
      <c r="CE112" s="61"/>
      <c r="CF112" s="61"/>
      <c r="CG112" s="61">
        <f t="shared" si="10"/>
        <v>512973091</v>
      </c>
      <c r="CH112" s="62">
        <f>VLOOKUP(B112,[1]RPTNCT049_ConsultaSaldosContabl!I$4:K$7987,3,0)</f>
        <v>376668159</v>
      </c>
      <c r="CI112" s="62">
        <f t="shared" si="11"/>
        <v>136304932</v>
      </c>
      <c r="CJ112" s="63">
        <f t="shared" si="12"/>
        <v>512973091</v>
      </c>
      <c r="CK112" s="64">
        <f t="shared" si="13"/>
        <v>0</v>
      </c>
      <c r="CL112" s="16"/>
      <c r="CM112" s="16"/>
      <c r="CN112" s="16"/>
    </row>
    <row r="113" spans="1:96" ht="15" customHeight="1" x14ac:dyDescent="0.2">
      <c r="A113" s="1">
        <v>8909803309</v>
      </c>
      <c r="B113" s="1">
        <v>890980330</v>
      </c>
      <c r="C113" s="9">
        <v>210105101</v>
      </c>
      <c r="D113" s="10" t="s">
        <v>62</v>
      </c>
      <c r="E113" s="45" t="s">
        <v>1093</v>
      </c>
      <c r="F113" s="21"/>
      <c r="G113" s="59"/>
      <c r="H113" s="21"/>
      <c r="I113" s="59"/>
      <c r="J113" s="21"/>
      <c r="K113" s="21"/>
      <c r="L113" s="59"/>
      <c r="M113" s="60"/>
      <c r="N113" s="21"/>
      <c r="O113" s="59"/>
      <c r="P113" s="21"/>
      <c r="Q113" s="59"/>
      <c r="R113" s="21"/>
      <c r="S113" s="21"/>
      <c r="T113" s="59"/>
      <c r="U113" s="60">
        <f t="shared" si="8"/>
        <v>0</v>
      </c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>
        <v>258616422</v>
      </c>
      <c r="AN113" s="60">
        <f t="shared" si="15"/>
        <v>258616422</v>
      </c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>
        <f>VLOOKUP(B113,[2]Hoja3!J$3:K$674,2,0)</f>
        <v>93472896</v>
      </c>
      <c r="BB113" s="60"/>
      <c r="BC113" s="61">
        <f t="shared" si="9"/>
        <v>352089318</v>
      </c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>
        <v>30514468</v>
      </c>
      <c r="BO113" s="60"/>
      <c r="BP113" s="61">
        <v>382603786</v>
      </c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>
        <v>30514468</v>
      </c>
      <c r="CD113" s="61">
        <v>152572340</v>
      </c>
      <c r="CE113" s="61"/>
      <c r="CF113" s="61"/>
      <c r="CG113" s="61">
        <f t="shared" si="10"/>
        <v>565690594</v>
      </c>
      <c r="CH113" s="62">
        <f>VLOOKUP(B113,[1]RPTNCT049_ConsultaSaldosContabl!I$4:K$7987,3,0)</f>
        <v>213601276</v>
      </c>
      <c r="CI113" s="62">
        <f t="shared" si="11"/>
        <v>352089318</v>
      </c>
      <c r="CJ113" s="63">
        <f t="shared" si="12"/>
        <v>565690594</v>
      </c>
      <c r="CK113" s="64">
        <f t="shared" si="13"/>
        <v>0</v>
      </c>
      <c r="CL113" s="16"/>
      <c r="CM113" s="16"/>
      <c r="CN113" s="16"/>
    </row>
    <row r="114" spans="1:96" ht="15" customHeight="1" x14ac:dyDescent="0.2">
      <c r="A114" s="1">
        <v>8000959612</v>
      </c>
      <c r="B114" s="1">
        <v>800095961</v>
      </c>
      <c r="C114" s="9">
        <v>210019100</v>
      </c>
      <c r="D114" s="10" t="s">
        <v>376</v>
      </c>
      <c r="E114" s="45" t="s">
        <v>1408</v>
      </c>
      <c r="F114" s="21"/>
      <c r="G114" s="59"/>
      <c r="H114" s="21"/>
      <c r="I114" s="59"/>
      <c r="J114" s="21"/>
      <c r="K114" s="21"/>
      <c r="L114" s="59"/>
      <c r="M114" s="60"/>
      <c r="N114" s="21"/>
      <c r="O114" s="59"/>
      <c r="P114" s="21"/>
      <c r="Q114" s="59"/>
      <c r="R114" s="21"/>
      <c r="S114" s="21"/>
      <c r="T114" s="59"/>
      <c r="U114" s="60">
        <f t="shared" si="8"/>
        <v>0</v>
      </c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>
        <v>94866785</v>
      </c>
      <c r="AN114" s="60">
        <f t="shared" si="15"/>
        <v>94866785</v>
      </c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>
        <v>309818060</v>
      </c>
      <c r="AZ114" s="60"/>
      <c r="BA114" s="60">
        <f>VLOOKUP(B114,[2]Hoja3!J$3:K$674,2,0)</f>
        <v>415720118</v>
      </c>
      <c r="BB114" s="60"/>
      <c r="BC114" s="61">
        <f t="shared" si="9"/>
        <v>820404963</v>
      </c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>
        <v>61963612</v>
      </c>
      <c r="BO114" s="60"/>
      <c r="BP114" s="61">
        <v>882368575</v>
      </c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>
        <v>61963612</v>
      </c>
      <c r="CD114" s="61"/>
      <c r="CE114" s="61"/>
      <c r="CF114" s="61"/>
      <c r="CG114" s="61">
        <f t="shared" si="10"/>
        <v>944332187</v>
      </c>
      <c r="CH114" s="62">
        <f>VLOOKUP(B114,[1]RPTNCT049_ConsultaSaldosContabl!I$4:K$7987,3,0)</f>
        <v>433745284</v>
      </c>
      <c r="CI114" s="62">
        <f t="shared" si="11"/>
        <v>510586903</v>
      </c>
      <c r="CJ114" s="63">
        <f t="shared" si="12"/>
        <v>944332187</v>
      </c>
      <c r="CK114" s="64">
        <f t="shared" si="13"/>
        <v>0</v>
      </c>
      <c r="CL114" s="16"/>
      <c r="CM114" s="16"/>
      <c r="CN114" s="16"/>
    </row>
    <row r="115" spans="1:96" ht="15" customHeight="1" x14ac:dyDescent="0.2">
      <c r="A115" s="1">
        <v>8902108909</v>
      </c>
      <c r="B115" s="1">
        <v>890210890</v>
      </c>
      <c r="C115" s="9">
        <v>210168101</v>
      </c>
      <c r="D115" s="10" t="s">
        <v>818</v>
      </c>
      <c r="E115" s="45" t="s">
        <v>1835</v>
      </c>
      <c r="F115" s="21"/>
      <c r="G115" s="59"/>
      <c r="H115" s="21"/>
      <c r="I115" s="59"/>
      <c r="J115" s="21"/>
      <c r="K115" s="21"/>
      <c r="L115" s="59"/>
      <c r="M115" s="60"/>
      <c r="N115" s="21"/>
      <c r="O115" s="59"/>
      <c r="P115" s="21"/>
      <c r="Q115" s="59"/>
      <c r="R115" s="21"/>
      <c r="S115" s="21"/>
      <c r="T115" s="59"/>
      <c r="U115" s="60">
        <f t="shared" si="8"/>
        <v>0</v>
      </c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>
        <v>30504314</v>
      </c>
      <c r="AN115" s="60">
        <f t="shared" si="15"/>
        <v>30504314</v>
      </c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>
        <v>99268380</v>
      </c>
      <c r="AZ115" s="60"/>
      <c r="BA115" s="60">
        <f>VLOOKUP(B115,[2]Hoja3!J$3:K$674,2,0)</f>
        <v>171928055</v>
      </c>
      <c r="BB115" s="60"/>
      <c r="BC115" s="61">
        <f t="shared" si="9"/>
        <v>301700749</v>
      </c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>
        <v>19853676</v>
      </c>
      <c r="BO115" s="60"/>
      <c r="BP115" s="61">
        <v>321554425</v>
      </c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>
        <v>19853676</v>
      </c>
      <c r="CD115" s="61"/>
      <c r="CE115" s="61"/>
      <c r="CF115" s="61"/>
      <c r="CG115" s="61">
        <f t="shared" si="10"/>
        <v>341408101</v>
      </c>
      <c r="CH115" s="62">
        <f>VLOOKUP(B115,[1]RPTNCT049_ConsultaSaldosContabl!I$4:K$7987,3,0)</f>
        <v>138975732</v>
      </c>
      <c r="CI115" s="62">
        <f t="shared" si="11"/>
        <v>202432369</v>
      </c>
      <c r="CJ115" s="63">
        <f t="shared" si="12"/>
        <v>341408101</v>
      </c>
      <c r="CK115" s="64">
        <f t="shared" si="13"/>
        <v>0</v>
      </c>
      <c r="CL115" s="16"/>
      <c r="CM115" s="16"/>
      <c r="CN115" s="16"/>
    </row>
    <row r="116" spans="1:96" ht="15" customHeight="1" x14ac:dyDescent="0.2">
      <c r="A116" s="1">
        <v>8919009451</v>
      </c>
      <c r="B116" s="1">
        <v>891900945</v>
      </c>
      <c r="C116" s="9">
        <v>210076100</v>
      </c>
      <c r="D116" s="10" t="s">
        <v>916</v>
      </c>
      <c r="E116" s="45" t="s">
        <v>1977</v>
      </c>
      <c r="F116" s="21"/>
      <c r="G116" s="59"/>
      <c r="H116" s="21"/>
      <c r="I116" s="59"/>
      <c r="J116" s="21"/>
      <c r="K116" s="21"/>
      <c r="L116" s="59"/>
      <c r="M116" s="60"/>
      <c r="N116" s="21"/>
      <c r="O116" s="59"/>
      <c r="P116" s="21"/>
      <c r="Q116" s="59"/>
      <c r="R116" s="21"/>
      <c r="S116" s="21"/>
      <c r="T116" s="59"/>
      <c r="U116" s="60">
        <f t="shared" si="8"/>
        <v>0</v>
      </c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>
        <v>45238214</v>
      </c>
      <c r="AN116" s="60">
        <f t="shared" si="15"/>
        <v>45238214</v>
      </c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>
        <v>105499730</v>
      </c>
      <c r="AZ116" s="60"/>
      <c r="BA116" s="60">
        <f>VLOOKUP(B116,[2]Hoja3!J$3:K$674,2,0)</f>
        <v>176570369</v>
      </c>
      <c r="BB116" s="60"/>
      <c r="BC116" s="61">
        <f t="shared" si="9"/>
        <v>327308313</v>
      </c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>
        <v>21099946</v>
      </c>
      <c r="BO116" s="60"/>
      <c r="BP116" s="61">
        <v>348408259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>
        <v>21099946</v>
      </c>
      <c r="CD116" s="61"/>
      <c r="CE116" s="61"/>
      <c r="CF116" s="61"/>
      <c r="CG116" s="61">
        <f t="shared" si="10"/>
        <v>369508205</v>
      </c>
      <c r="CH116" s="62">
        <f>VLOOKUP(B116,[1]RPTNCT049_ConsultaSaldosContabl!I$4:K$7987,3,0)</f>
        <v>147699622</v>
      </c>
      <c r="CI116" s="62">
        <f t="shared" si="11"/>
        <v>221808583</v>
      </c>
      <c r="CJ116" s="63">
        <f t="shared" si="12"/>
        <v>369508205</v>
      </c>
      <c r="CK116" s="64">
        <f t="shared" si="13"/>
        <v>0</v>
      </c>
      <c r="CL116" s="16"/>
      <c r="CM116" s="16"/>
      <c r="CN116" s="16"/>
    </row>
    <row r="117" spans="1:96" ht="15" customHeight="1" x14ac:dyDescent="0.2">
      <c r="A117" s="1">
        <v>8923011308</v>
      </c>
      <c r="B117" s="1">
        <v>892301130</v>
      </c>
      <c r="C117" s="9">
        <v>216020060</v>
      </c>
      <c r="D117" s="10" t="s">
        <v>417</v>
      </c>
      <c r="E117" s="45" t="s">
        <v>1445</v>
      </c>
      <c r="F117" s="21"/>
      <c r="G117" s="59"/>
      <c r="H117" s="21"/>
      <c r="I117" s="59"/>
      <c r="J117" s="21"/>
      <c r="K117" s="21"/>
      <c r="L117" s="59"/>
      <c r="M117" s="60"/>
      <c r="N117" s="21"/>
      <c r="O117" s="59"/>
      <c r="P117" s="21"/>
      <c r="Q117" s="59"/>
      <c r="R117" s="21"/>
      <c r="S117" s="21"/>
      <c r="T117" s="59"/>
      <c r="U117" s="60">
        <f t="shared" si="8"/>
        <v>0</v>
      </c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>
        <v>402165935</v>
      </c>
      <c r="AZ117" s="60"/>
      <c r="BA117" s="60">
        <f>VLOOKUP(B117,[2]Hoja3!J$3:K$674,2,0)</f>
        <v>571816969</v>
      </c>
      <c r="BB117" s="60"/>
      <c r="BC117" s="61">
        <f t="shared" si="9"/>
        <v>973982904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>
        <v>80433187</v>
      </c>
      <c r="BO117" s="60"/>
      <c r="BP117" s="61">
        <v>1054416091</v>
      </c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>
        <v>80433187</v>
      </c>
      <c r="CD117" s="61"/>
      <c r="CE117" s="61"/>
      <c r="CF117" s="61"/>
      <c r="CG117" s="61">
        <f t="shared" si="10"/>
        <v>1134849278</v>
      </c>
      <c r="CH117" s="62">
        <f>VLOOKUP(B117,[1]RPTNCT049_ConsultaSaldosContabl!I$4:K$7987,3,0)</f>
        <v>563032309</v>
      </c>
      <c r="CI117" s="62">
        <f t="shared" si="11"/>
        <v>571816969</v>
      </c>
      <c r="CJ117" s="63">
        <f t="shared" si="12"/>
        <v>1134849278</v>
      </c>
      <c r="CK117" s="64">
        <f t="shared" si="13"/>
        <v>0</v>
      </c>
      <c r="CL117" s="16"/>
      <c r="CM117" s="16"/>
      <c r="CN117" s="16"/>
    </row>
    <row r="118" spans="1:96" ht="15" customHeight="1" x14ac:dyDescent="0.2">
      <c r="A118" s="1">
        <v>8000233837</v>
      </c>
      <c r="B118" s="1">
        <v>800023383</v>
      </c>
      <c r="C118" s="9">
        <v>210415104</v>
      </c>
      <c r="D118" s="10" t="s">
        <v>225</v>
      </c>
      <c r="E118" s="45" t="s">
        <v>1260</v>
      </c>
      <c r="F118" s="21"/>
      <c r="G118" s="59"/>
      <c r="H118" s="21"/>
      <c r="I118" s="59"/>
      <c r="J118" s="21"/>
      <c r="K118" s="21"/>
      <c r="L118" s="59"/>
      <c r="M118" s="60"/>
      <c r="N118" s="21"/>
      <c r="O118" s="59"/>
      <c r="P118" s="21"/>
      <c r="Q118" s="59"/>
      <c r="R118" s="21"/>
      <c r="S118" s="21"/>
      <c r="T118" s="59"/>
      <c r="U118" s="60">
        <f t="shared" si="8"/>
        <v>0</v>
      </c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>
        <v>72578405</v>
      </c>
      <c r="AN118" s="60">
        <f t="shared" ref="AN118:AN125" si="16">SUBTOTAL(9,AC118:AM118)</f>
        <v>72578405</v>
      </c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>
        <v>39548360</v>
      </c>
      <c r="AZ118" s="60"/>
      <c r="BA118" s="60"/>
      <c r="BB118" s="60"/>
      <c r="BC118" s="61">
        <f t="shared" si="9"/>
        <v>112126765</v>
      </c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>
        <v>7909672</v>
      </c>
      <c r="BO118" s="60"/>
      <c r="BP118" s="61">
        <v>120036437</v>
      </c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>
        <v>7909672</v>
      </c>
      <c r="CD118" s="61"/>
      <c r="CE118" s="61"/>
      <c r="CF118" s="61"/>
      <c r="CG118" s="61">
        <f t="shared" si="10"/>
        <v>127946109</v>
      </c>
      <c r="CH118" s="62">
        <f>VLOOKUP(B118,[1]RPTNCT049_ConsultaSaldosContabl!I$4:K$7987,3,0)</f>
        <v>55367704</v>
      </c>
      <c r="CI118" s="62">
        <f t="shared" si="11"/>
        <v>72578405</v>
      </c>
      <c r="CJ118" s="63">
        <f t="shared" si="12"/>
        <v>127946109</v>
      </c>
      <c r="CK118" s="64">
        <f t="shared" si="13"/>
        <v>0</v>
      </c>
      <c r="CL118" s="16"/>
      <c r="CM118" s="16"/>
      <c r="CN118" s="8"/>
      <c r="CO118" s="8"/>
      <c r="CP118" s="8"/>
      <c r="CQ118" s="8"/>
      <c r="CR118" s="8"/>
    </row>
    <row r="119" spans="1:96" ht="15" customHeight="1" x14ac:dyDescent="0.2">
      <c r="A119" s="1">
        <v>8000997211</v>
      </c>
      <c r="B119" s="1">
        <v>800099721</v>
      </c>
      <c r="C119" s="9">
        <v>210615106</v>
      </c>
      <c r="D119" s="10" t="s">
        <v>2173</v>
      </c>
      <c r="E119" s="45" t="s">
        <v>1261</v>
      </c>
      <c r="F119" s="21"/>
      <c r="G119" s="59"/>
      <c r="H119" s="21"/>
      <c r="I119" s="59"/>
      <c r="J119" s="21"/>
      <c r="K119" s="21"/>
      <c r="L119" s="59"/>
      <c r="M119" s="60"/>
      <c r="N119" s="21"/>
      <c r="O119" s="59"/>
      <c r="P119" s="21"/>
      <c r="Q119" s="59"/>
      <c r="R119" s="21"/>
      <c r="S119" s="21"/>
      <c r="T119" s="59"/>
      <c r="U119" s="60">
        <f t="shared" si="8"/>
        <v>0</v>
      </c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>
        <v>33111065</v>
      </c>
      <c r="AN119" s="60">
        <f t="shared" si="16"/>
        <v>33111065</v>
      </c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>
        <v>18725645</v>
      </c>
      <c r="AZ119" s="60"/>
      <c r="BA119" s="60"/>
      <c r="BB119" s="60"/>
      <c r="BC119" s="61">
        <f t="shared" si="9"/>
        <v>51836710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>
        <v>3745129</v>
      </c>
      <c r="BO119" s="60"/>
      <c r="BP119" s="61">
        <v>55581839</v>
      </c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>
        <v>3745129</v>
      </c>
      <c r="CD119" s="61"/>
      <c r="CE119" s="61"/>
      <c r="CF119" s="61"/>
      <c r="CG119" s="61">
        <f t="shared" si="10"/>
        <v>59326968</v>
      </c>
      <c r="CH119" s="62">
        <f>VLOOKUP(B119,[1]RPTNCT049_ConsultaSaldosContabl!I$4:K$7987,3,0)</f>
        <v>26215903</v>
      </c>
      <c r="CI119" s="62">
        <f t="shared" si="11"/>
        <v>33111065</v>
      </c>
      <c r="CJ119" s="63">
        <f t="shared" si="12"/>
        <v>59326968</v>
      </c>
      <c r="CK119" s="64">
        <f t="shared" si="13"/>
        <v>0</v>
      </c>
      <c r="CL119" s="16"/>
      <c r="CM119" s="16"/>
      <c r="CN119" s="8"/>
      <c r="CO119" s="8"/>
      <c r="CP119" s="8"/>
      <c r="CQ119" s="8"/>
      <c r="CR119" s="8"/>
    </row>
    <row r="120" spans="1:96" ht="15" customHeight="1" x14ac:dyDescent="0.2">
      <c r="A120" s="1">
        <v>8909844154</v>
      </c>
      <c r="B120" s="1">
        <v>890984415</v>
      </c>
      <c r="C120" s="9">
        <v>210705107</v>
      </c>
      <c r="D120" s="10" t="s">
        <v>63</v>
      </c>
      <c r="E120" s="45" t="s">
        <v>1094</v>
      </c>
      <c r="F120" s="21"/>
      <c r="G120" s="59"/>
      <c r="H120" s="21"/>
      <c r="I120" s="59"/>
      <c r="J120" s="21"/>
      <c r="K120" s="21"/>
      <c r="L120" s="59"/>
      <c r="M120" s="60"/>
      <c r="N120" s="21"/>
      <c r="O120" s="59"/>
      <c r="P120" s="21"/>
      <c r="Q120" s="59"/>
      <c r="R120" s="21"/>
      <c r="S120" s="21"/>
      <c r="T120" s="59"/>
      <c r="U120" s="60">
        <f t="shared" si="8"/>
        <v>0</v>
      </c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>
        <v>133974353</v>
      </c>
      <c r="AN120" s="60">
        <f t="shared" si="16"/>
        <v>133974353</v>
      </c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1">
        <f t="shared" si="9"/>
        <v>133974353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>
        <v>0</v>
      </c>
      <c r="BO120" s="60"/>
      <c r="BP120" s="61">
        <v>133974353</v>
      </c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>
        <v>0</v>
      </c>
      <c r="CD120" s="61"/>
      <c r="CE120" s="61"/>
      <c r="CF120" s="61"/>
      <c r="CG120" s="61">
        <f t="shared" si="10"/>
        <v>133974353</v>
      </c>
      <c r="CH120" s="62"/>
      <c r="CI120" s="62">
        <f t="shared" si="11"/>
        <v>133974353</v>
      </c>
      <c r="CJ120" s="63">
        <f t="shared" si="12"/>
        <v>133974353</v>
      </c>
      <c r="CK120" s="64">
        <f t="shared" si="13"/>
        <v>0</v>
      </c>
      <c r="CL120" s="16"/>
      <c r="CM120" s="16"/>
      <c r="CN120" s="16"/>
    </row>
    <row r="121" spans="1:96" ht="15" customHeight="1" x14ac:dyDescent="0.2">
      <c r="A121" s="1">
        <v>8902012220</v>
      </c>
      <c r="B121" s="1">
        <v>890201222</v>
      </c>
      <c r="C121" s="9">
        <v>210168001</v>
      </c>
      <c r="D121" s="10" t="s">
        <v>2145</v>
      </c>
      <c r="E121" s="47" t="s">
        <v>2067</v>
      </c>
      <c r="F121" s="21"/>
      <c r="G121" s="59"/>
      <c r="H121" s="21"/>
      <c r="I121" s="59">
        <f>10654367133+200269694</f>
        <v>10854636827</v>
      </c>
      <c r="J121" s="21">
        <v>701659015</v>
      </c>
      <c r="K121" s="21">
        <v>1392482434</v>
      </c>
      <c r="L121" s="59"/>
      <c r="M121" s="61">
        <f>SUM(F121:L121)</f>
        <v>12948778276</v>
      </c>
      <c r="N121" s="21"/>
      <c r="O121" s="59"/>
      <c r="P121" s="21"/>
      <c r="Q121" s="59">
        <f>10154100266+91031679</f>
        <v>10245131945</v>
      </c>
      <c r="R121" s="21">
        <v>701789481</v>
      </c>
      <c r="S121" s="21">
        <f>690823419+701789481</f>
        <v>1392612900</v>
      </c>
      <c r="T121" s="59"/>
      <c r="U121" s="60">
        <f t="shared" si="8"/>
        <v>25288312602</v>
      </c>
      <c r="V121" s="60"/>
      <c r="W121" s="60"/>
      <c r="X121" s="60"/>
      <c r="Y121" s="60">
        <v>13492664710</v>
      </c>
      <c r="Z121" s="60">
        <v>729197028</v>
      </c>
      <c r="AA121" s="60">
        <v>1671820937</v>
      </c>
      <c r="AB121" s="60"/>
      <c r="AC121" s="60">
        <f t="shared" si="14"/>
        <v>41181995277</v>
      </c>
      <c r="AD121" s="60"/>
      <c r="AE121" s="60"/>
      <c r="AF121" s="60"/>
      <c r="AG121" s="60"/>
      <c r="AH121" s="60">
        <v>10155711788</v>
      </c>
      <c r="AI121" s="60">
        <v>1022541936</v>
      </c>
      <c r="AJ121" s="60">
        <v>726041310</v>
      </c>
      <c r="AK121" s="60">
        <v>1829351048</v>
      </c>
      <c r="AL121" s="60"/>
      <c r="AM121" s="60">
        <v>4362392096</v>
      </c>
      <c r="AN121" s="60">
        <f t="shared" si="16"/>
        <v>59278033455</v>
      </c>
      <c r="AO121" s="60"/>
      <c r="AP121" s="60"/>
      <c r="AQ121" s="60">
        <v>1779331845</v>
      </c>
      <c r="AR121" s="60"/>
      <c r="AS121" s="60"/>
      <c r="AT121" s="60">
        <v>10155711788</v>
      </c>
      <c r="AU121" s="60"/>
      <c r="AV121" s="60">
        <v>726041310</v>
      </c>
      <c r="AW121" s="60">
        <v>1238921810</v>
      </c>
      <c r="AX121" s="60"/>
      <c r="AY121" s="60"/>
      <c r="AZ121" s="60"/>
      <c r="BA121" s="60"/>
      <c r="BB121" s="60">
        <f>VLOOKUP(B121,'[3]anuladas en mayo gratuidad}'!K$2:L$55,2,0)</f>
        <v>51816572</v>
      </c>
      <c r="BC121" s="61">
        <f t="shared" si="9"/>
        <v>73126223636</v>
      </c>
      <c r="BD121" s="60"/>
      <c r="BE121" s="60"/>
      <c r="BF121" s="60">
        <v>355866369</v>
      </c>
      <c r="BG121" s="60"/>
      <c r="BH121" s="60"/>
      <c r="BI121" s="60">
        <v>10495623579</v>
      </c>
      <c r="BJ121" s="60">
        <v>1255242738</v>
      </c>
      <c r="BK121" s="60">
        <v>820356843</v>
      </c>
      <c r="BL121" s="60">
        <v>2067362376</v>
      </c>
      <c r="BM121" s="60"/>
      <c r="BN121" s="60"/>
      <c r="BO121" s="60"/>
      <c r="BP121" s="61">
        <v>88120675541</v>
      </c>
      <c r="BQ121" s="61"/>
      <c r="BR121" s="61"/>
      <c r="BS121" s="61">
        <v>355866369</v>
      </c>
      <c r="BT121" s="61"/>
      <c r="BU121" s="61"/>
      <c r="BV121" s="61"/>
      <c r="BW121" s="61">
        <v>10595957833</v>
      </c>
      <c r="BX121" s="61"/>
      <c r="BY121" s="61">
        <v>4757687411</v>
      </c>
      <c r="BZ121" s="61">
        <v>790287054</v>
      </c>
      <c r="CA121" s="61">
        <v>1989997782</v>
      </c>
      <c r="CB121" s="61"/>
      <c r="CC121" s="61"/>
      <c r="CD121" s="61"/>
      <c r="CE121" s="61">
        <v>104151463</v>
      </c>
      <c r="CF121" s="61"/>
      <c r="CG121" s="61">
        <f t="shared" si="10"/>
        <v>106714623453</v>
      </c>
      <c r="CH121" s="62">
        <f>VLOOKUP(B121,[1]RPTNCT049_ConsultaSaldosContabl!I$4:K$7987,3,0)</f>
        <v>102299896466</v>
      </c>
      <c r="CI121" s="62">
        <f t="shared" si="11"/>
        <v>4414726987</v>
      </c>
      <c r="CJ121" s="63">
        <f t="shared" si="12"/>
        <v>106714623453</v>
      </c>
      <c r="CK121" s="64">
        <f t="shared" si="13"/>
        <v>0</v>
      </c>
      <c r="CL121" s="16"/>
      <c r="CM121" s="16"/>
      <c r="CN121" s="8"/>
      <c r="CO121" s="8"/>
      <c r="CP121" s="8"/>
      <c r="CQ121" s="8"/>
      <c r="CR121" s="8"/>
    </row>
    <row r="122" spans="1:96" ht="15" customHeight="1" x14ac:dyDescent="0.2">
      <c r="A122" s="1">
        <v>8905034832</v>
      </c>
      <c r="B122" s="1">
        <v>890503483</v>
      </c>
      <c r="C122" s="9">
        <v>210954109</v>
      </c>
      <c r="D122" s="10" t="s">
        <v>754</v>
      </c>
      <c r="E122" s="45" t="s">
        <v>2085</v>
      </c>
      <c r="F122" s="21"/>
      <c r="G122" s="59"/>
      <c r="H122" s="21"/>
      <c r="I122" s="59"/>
      <c r="J122" s="21"/>
      <c r="K122" s="21"/>
      <c r="L122" s="59"/>
      <c r="M122" s="60"/>
      <c r="N122" s="21"/>
      <c r="O122" s="59"/>
      <c r="P122" s="21"/>
      <c r="Q122" s="59"/>
      <c r="R122" s="21"/>
      <c r="S122" s="21"/>
      <c r="T122" s="59"/>
      <c r="U122" s="60">
        <f t="shared" si="8"/>
        <v>0</v>
      </c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>
        <v>48722355</v>
      </c>
      <c r="AN122" s="60">
        <f t="shared" si="16"/>
        <v>48722355</v>
      </c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>
        <v>57171140</v>
      </c>
      <c r="AZ122" s="60"/>
      <c r="BA122" s="60">
        <f>VLOOKUP(B122,[2]Hoja3!J$3:K$674,2,0)</f>
        <v>44841724</v>
      </c>
      <c r="BB122" s="60"/>
      <c r="BC122" s="61">
        <f t="shared" si="9"/>
        <v>150735219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>
        <v>11434228</v>
      </c>
      <c r="BO122" s="60"/>
      <c r="BP122" s="61">
        <v>162169447</v>
      </c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>
        <v>11434228</v>
      </c>
      <c r="CD122" s="61"/>
      <c r="CE122" s="61"/>
      <c r="CF122" s="61"/>
      <c r="CG122" s="61">
        <f t="shared" si="10"/>
        <v>173603675</v>
      </c>
      <c r="CH122" s="62">
        <f>VLOOKUP(B122,[1]RPTNCT049_ConsultaSaldosContabl!I$4:K$7987,3,0)</f>
        <v>80039596</v>
      </c>
      <c r="CI122" s="62">
        <f t="shared" si="11"/>
        <v>93564079</v>
      </c>
      <c r="CJ122" s="63">
        <f t="shared" si="12"/>
        <v>173603675</v>
      </c>
      <c r="CK122" s="64">
        <f t="shared" si="13"/>
        <v>0</v>
      </c>
      <c r="CL122" s="16"/>
      <c r="CM122" s="16"/>
      <c r="CN122" s="16"/>
    </row>
    <row r="123" spans="1:96" ht="15" customHeight="1" x14ac:dyDescent="0.2">
      <c r="A123" s="39">
        <v>8903990453</v>
      </c>
      <c r="B123" s="1">
        <v>890399045</v>
      </c>
      <c r="C123" s="9">
        <v>210976109</v>
      </c>
      <c r="D123" s="10" t="s">
        <v>2146</v>
      </c>
      <c r="E123" s="47" t="s">
        <v>1039</v>
      </c>
      <c r="F123" s="21"/>
      <c r="G123" s="59"/>
      <c r="H123" s="21"/>
      <c r="I123" s="59">
        <f>7317568150+90430638</f>
        <v>7407998788</v>
      </c>
      <c r="J123" s="21">
        <v>524434059</v>
      </c>
      <c r="K123" s="21">
        <v>1060806477</v>
      </c>
      <c r="L123" s="59"/>
      <c r="M123" s="61">
        <f>SUM(F123:L123)</f>
        <v>8993239324</v>
      </c>
      <c r="N123" s="21"/>
      <c r="O123" s="59"/>
      <c r="P123" s="21"/>
      <c r="Q123" s="59">
        <f>7299468112+41104835</f>
        <v>7340572947</v>
      </c>
      <c r="R123" s="21">
        <v>524434059</v>
      </c>
      <c r="S123" s="21">
        <f>536372418+524434059</f>
        <v>1060806477</v>
      </c>
      <c r="T123" s="59"/>
      <c r="U123" s="60">
        <f t="shared" si="8"/>
        <v>17919052807</v>
      </c>
      <c r="V123" s="60"/>
      <c r="W123" s="60"/>
      <c r="X123" s="60"/>
      <c r="Y123" s="60">
        <v>11614882428</v>
      </c>
      <c r="Z123" s="60">
        <v>436599799</v>
      </c>
      <c r="AA123" s="60">
        <v>1022372198</v>
      </c>
      <c r="AB123" s="60"/>
      <c r="AC123" s="60">
        <f t="shared" si="14"/>
        <v>30992907232</v>
      </c>
      <c r="AD123" s="60"/>
      <c r="AE123" s="60"/>
      <c r="AF123" s="60"/>
      <c r="AG123" s="60"/>
      <c r="AH123" s="60">
        <v>8762979020</v>
      </c>
      <c r="AI123" s="60">
        <v>2714132050</v>
      </c>
      <c r="AJ123" s="60">
        <v>511799607</v>
      </c>
      <c r="AK123" s="60">
        <v>1295164196</v>
      </c>
      <c r="AL123" s="60"/>
      <c r="AM123" s="60">
        <v>3585559813</v>
      </c>
      <c r="AN123" s="60">
        <f t="shared" si="16"/>
        <v>47862541918</v>
      </c>
      <c r="AO123" s="60"/>
      <c r="AP123" s="60"/>
      <c r="AQ123" s="60">
        <v>0</v>
      </c>
      <c r="AR123" s="60"/>
      <c r="AS123" s="60"/>
      <c r="AT123" s="60">
        <v>8762979020</v>
      </c>
      <c r="AU123" s="60">
        <v>10679000000</v>
      </c>
      <c r="AV123" s="60">
        <v>511799607</v>
      </c>
      <c r="AW123" s="60">
        <v>878499034</v>
      </c>
      <c r="AX123" s="60"/>
      <c r="AY123" s="60"/>
      <c r="AZ123" s="60"/>
      <c r="BA123" s="60">
        <f>VLOOKUP(B123,[2]Hoja3!J$3:K$674,2,0)</f>
        <v>134256843</v>
      </c>
      <c r="BB123" s="60"/>
      <c r="BC123" s="61">
        <f t="shared" si="9"/>
        <v>68829076422</v>
      </c>
      <c r="BD123" s="60"/>
      <c r="BE123" s="60"/>
      <c r="BF123" s="60">
        <v>0</v>
      </c>
      <c r="BG123" s="60"/>
      <c r="BH123" s="60"/>
      <c r="BI123" s="60">
        <v>8077845805</v>
      </c>
      <c r="BJ123" s="60">
        <v>2784073536</v>
      </c>
      <c r="BK123" s="60">
        <v>574639404</v>
      </c>
      <c r="BL123" s="60">
        <v>1223719050</v>
      </c>
      <c r="BM123" s="60"/>
      <c r="BN123" s="60"/>
      <c r="BO123" s="60"/>
      <c r="BP123" s="61">
        <v>81489354217</v>
      </c>
      <c r="BQ123" s="61"/>
      <c r="BR123" s="61"/>
      <c r="BS123" s="61">
        <v>0</v>
      </c>
      <c r="BT123" s="61"/>
      <c r="BU123" s="61"/>
      <c r="BV123" s="61"/>
      <c r="BW123" s="61">
        <v>7831142673</v>
      </c>
      <c r="BX123" s="61">
        <v>5081146995</v>
      </c>
      <c r="BY123" s="61">
        <v>3289855528</v>
      </c>
      <c r="BZ123" s="61">
        <v>543213638</v>
      </c>
      <c r="CA123" s="61">
        <v>1403645180</v>
      </c>
      <c r="CB123" s="61"/>
      <c r="CC123" s="61"/>
      <c r="CD123" s="61"/>
      <c r="CE123" s="61"/>
      <c r="CF123" s="61"/>
      <c r="CG123" s="61">
        <f t="shared" si="10"/>
        <v>99638358231</v>
      </c>
      <c r="CH123" s="62">
        <f>VLOOKUP(B123,[1]RPTNCT049_ConsultaSaldosContabl!I$4:K$7987,3,0)</f>
        <v>95918541575</v>
      </c>
      <c r="CI123" s="62">
        <f t="shared" si="11"/>
        <v>3719816656</v>
      </c>
      <c r="CJ123" s="63">
        <f t="shared" si="12"/>
        <v>99638358231</v>
      </c>
      <c r="CK123" s="64">
        <f t="shared" si="13"/>
        <v>0</v>
      </c>
      <c r="CL123" s="16"/>
      <c r="CM123" s="16"/>
      <c r="CN123" s="16"/>
    </row>
    <row r="124" spans="1:96" ht="15" customHeight="1" x14ac:dyDescent="0.2">
      <c r="A124" s="1">
        <v>8918082600</v>
      </c>
      <c r="B124" s="1">
        <v>891808260</v>
      </c>
      <c r="C124" s="9">
        <v>210915109</v>
      </c>
      <c r="D124" s="10" t="s">
        <v>226</v>
      </c>
      <c r="E124" s="45" t="s">
        <v>1262</v>
      </c>
      <c r="F124" s="21"/>
      <c r="G124" s="59"/>
      <c r="H124" s="21"/>
      <c r="I124" s="59"/>
      <c r="J124" s="21"/>
      <c r="K124" s="21"/>
      <c r="L124" s="59"/>
      <c r="M124" s="60"/>
      <c r="N124" s="21"/>
      <c r="O124" s="59"/>
      <c r="P124" s="21"/>
      <c r="Q124" s="59"/>
      <c r="R124" s="21"/>
      <c r="S124" s="21"/>
      <c r="T124" s="59"/>
      <c r="U124" s="60">
        <f t="shared" si="8"/>
        <v>0</v>
      </c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>
        <v>75633318</v>
      </c>
      <c r="AN124" s="60">
        <f t="shared" si="16"/>
        <v>75633318</v>
      </c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>
        <v>41004080</v>
      </c>
      <c r="AZ124" s="60"/>
      <c r="BA124" s="60"/>
      <c r="BB124" s="60"/>
      <c r="BC124" s="61">
        <f t="shared" si="9"/>
        <v>116637398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>
        <v>8200816</v>
      </c>
      <c r="BO124" s="60"/>
      <c r="BP124" s="61">
        <v>124838214</v>
      </c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>
        <v>8200816</v>
      </c>
      <c r="CD124" s="61"/>
      <c r="CE124" s="61"/>
      <c r="CF124" s="61"/>
      <c r="CG124" s="61">
        <f t="shared" si="10"/>
        <v>133039030</v>
      </c>
      <c r="CH124" s="62">
        <f>VLOOKUP(B124,[1]RPTNCT049_ConsultaSaldosContabl!I$4:K$7987,3,0)</f>
        <v>57405712</v>
      </c>
      <c r="CI124" s="62">
        <f t="shared" si="11"/>
        <v>75633318</v>
      </c>
      <c r="CJ124" s="63">
        <f t="shared" si="12"/>
        <v>133039030</v>
      </c>
      <c r="CK124" s="64">
        <f t="shared" si="13"/>
        <v>0</v>
      </c>
      <c r="CL124" s="16"/>
      <c r="CM124" s="16"/>
      <c r="CN124" s="16"/>
    </row>
    <row r="125" spans="1:96" ht="15" customHeight="1" x14ac:dyDescent="0.2">
      <c r="A125" s="1">
        <v>8000967398</v>
      </c>
      <c r="B125" s="1">
        <v>800096739</v>
      </c>
      <c r="C125" s="9">
        <v>217923079</v>
      </c>
      <c r="D125" s="10" t="s">
        <v>438</v>
      </c>
      <c r="E125" s="45" t="s">
        <v>1465</v>
      </c>
      <c r="F125" s="21"/>
      <c r="G125" s="59"/>
      <c r="H125" s="21"/>
      <c r="I125" s="59"/>
      <c r="J125" s="21"/>
      <c r="K125" s="21"/>
      <c r="L125" s="59"/>
      <c r="M125" s="60"/>
      <c r="N125" s="21"/>
      <c r="O125" s="59"/>
      <c r="P125" s="21"/>
      <c r="Q125" s="59"/>
      <c r="R125" s="21"/>
      <c r="S125" s="21"/>
      <c r="T125" s="59"/>
      <c r="U125" s="60">
        <f t="shared" si="8"/>
        <v>0</v>
      </c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>
        <v>255521489</v>
      </c>
      <c r="AN125" s="60">
        <f t="shared" si="16"/>
        <v>255521489</v>
      </c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>
        <v>259165470</v>
      </c>
      <c r="AZ125" s="60"/>
      <c r="BA125" s="60"/>
      <c r="BB125" s="60"/>
      <c r="BC125" s="61">
        <f t="shared" si="9"/>
        <v>514686959</v>
      </c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>
        <v>51833094</v>
      </c>
      <c r="BO125" s="60"/>
      <c r="BP125" s="61">
        <v>566520053</v>
      </c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>
        <v>51833094</v>
      </c>
      <c r="CD125" s="61"/>
      <c r="CE125" s="61"/>
      <c r="CF125" s="61"/>
      <c r="CG125" s="61">
        <f t="shared" si="10"/>
        <v>618353147</v>
      </c>
      <c r="CH125" s="62">
        <f>VLOOKUP(B125,[1]RPTNCT049_ConsultaSaldosContabl!I$4:K$7987,3,0)</f>
        <v>362831658</v>
      </c>
      <c r="CI125" s="62">
        <f t="shared" si="11"/>
        <v>255521489</v>
      </c>
      <c r="CJ125" s="63">
        <f t="shared" si="12"/>
        <v>618353147</v>
      </c>
      <c r="CK125" s="64">
        <f t="shared" si="13"/>
        <v>0</v>
      </c>
      <c r="CL125" s="16"/>
      <c r="CM125" s="16"/>
      <c r="CN125" s="16"/>
    </row>
    <row r="126" spans="1:96" ht="15" customHeight="1" x14ac:dyDescent="0.2">
      <c r="A126" s="1">
        <v>8900018790</v>
      </c>
      <c r="B126" s="1">
        <v>890001879</v>
      </c>
      <c r="C126" s="9">
        <v>211163111</v>
      </c>
      <c r="D126" s="10" t="s">
        <v>789</v>
      </c>
      <c r="E126" s="45" t="s">
        <v>1806</v>
      </c>
      <c r="F126" s="21"/>
      <c r="G126" s="59"/>
      <c r="H126" s="21"/>
      <c r="I126" s="59"/>
      <c r="J126" s="21"/>
      <c r="K126" s="21"/>
      <c r="L126" s="59"/>
      <c r="M126" s="60"/>
      <c r="N126" s="21"/>
      <c r="O126" s="59"/>
      <c r="P126" s="21"/>
      <c r="Q126" s="59"/>
      <c r="R126" s="21"/>
      <c r="S126" s="21"/>
      <c r="T126" s="59"/>
      <c r="U126" s="60">
        <f t="shared" si="8"/>
        <v>0</v>
      </c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>
        <v>23594850</v>
      </c>
      <c r="AZ126" s="60"/>
      <c r="BA126" s="60">
        <f>VLOOKUP(B126,[2]Hoja3!J$3:K$674,2,0)</f>
        <v>41945957</v>
      </c>
      <c r="BB126" s="60"/>
      <c r="BC126" s="61">
        <f t="shared" si="9"/>
        <v>65540807</v>
      </c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>
        <v>4718970</v>
      </c>
      <c r="BO126" s="60"/>
      <c r="BP126" s="61">
        <v>70259777</v>
      </c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>
        <v>4718970</v>
      </c>
      <c r="CD126" s="61"/>
      <c r="CE126" s="61"/>
      <c r="CF126" s="61"/>
      <c r="CG126" s="61">
        <f t="shared" si="10"/>
        <v>74978747</v>
      </c>
      <c r="CH126" s="62">
        <f>VLOOKUP(B126,[1]RPTNCT049_ConsultaSaldosContabl!I$4:K$7987,3,0)</f>
        <v>33032790</v>
      </c>
      <c r="CI126" s="62">
        <f t="shared" si="11"/>
        <v>41945957</v>
      </c>
      <c r="CJ126" s="63">
        <f t="shared" si="12"/>
        <v>74978747</v>
      </c>
      <c r="CK126" s="64">
        <f t="shared" si="13"/>
        <v>0</v>
      </c>
      <c r="CL126" s="16"/>
      <c r="CM126" s="16"/>
      <c r="CN126" s="8"/>
      <c r="CO126" s="8"/>
      <c r="CP126" s="8"/>
      <c r="CQ126" s="8"/>
      <c r="CR126" s="8"/>
    </row>
    <row r="127" spans="1:96" ht="15" customHeight="1" x14ac:dyDescent="0.2">
      <c r="A127" s="1">
        <v>8922012869</v>
      </c>
      <c r="B127" s="1">
        <v>892201286</v>
      </c>
      <c r="C127" s="9">
        <v>211070110</v>
      </c>
      <c r="D127" s="10" t="s">
        <v>890</v>
      </c>
      <c r="E127" s="45" t="s">
        <v>1903</v>
      </c>
      <c r="F127" s="21"/>
      <c r="G127" s="59"/>
      <c r="H127" s="21"/>
      <c r="I127" s="59"/>
      <c r="J127" s="21"/>
      <c r="K127" s="21"/>
      <c r="L127" s="59"/>
      <c r="M127" s="60"/>
      <c r="N127" s="21"/>
      <c r="O127" s="59"/>
      <c r="P127" s="21"/>
      <c r="Q127" s="59"/>
      <c r="R127" s="21"/>
      <c r="S127" s="21"/>
      <c r="T127" s="59"/>
      <c r="U127" s="60">
        <f t="shared" si="8"/>
        <v>0</v>
      </c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>
        <f>VLOOKUP(B127,[2]Hoja3!J$3:K$674,2,0)</f>
        <v>147427508</v>
      </c>
      <c r="BB127" s="60"/>
      <c r="BC127" s="61">
        <f t="shared" si="9"/>
        <v>147427508</v>
      </c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>
        <v>18964823</v>
      </c>
      <c r="BO127" s="60"/>
      <c r="BP127" s="61">
        <v>166392331</v>
      </c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>
        <v>18964823</v>
      </c>
      <c r="CD127" s="61">
        <v>94824115</v>
      </c>
      <c r="CE127" s="61"/>
      <c r="CF127" s="61"/>
      <c r="CG127" s="61">
        <f t="shared" si="10"/>
        <v>280181269</v>
      </c>
      <c r="CH127" s="62">
        <f>VLOOKUP(B127,[1]RPTNCT049_ConsultaSaldosContabl!I$4:K$7987,3,0)</f>
        <v>132753761</v>
      </c>
      <c r="CI127" s="62">
        <f t="shared" si="11"/>
        <v>147427508</v>
      </c>
      <c r="CJ127" s="63">
        <f t="shared" si="12"/>
        <v>280181269</v>
      </c>
      <c r="CK127" s="64">
        <f t="shared" si="13"/>
        <v>0</v>
      </c>
      <c r="CL127" s="16"/>
      <c r="CM127" s="16"/>
      <c r="CN127" s="8"/>
      <c r="CO127" s="8"/>
      <c r="CP127" s="8"/>
      <c r="CQ127" s="8"/>
      <c r="CR127" s="8"/>
    </row>
    <row r="128" spans="1:96" ht="15" customHeight="1" x14ac:dyDescent="0.2">
      <c r="A128" s="1">
        <v>8915023073</v>
      </c>
      <c r="B128" s="1">
        <v>891502307</v>
      </c>
      <c r="C128" s="9">
        <v>211019110</v>
      </c>
      <c r="D128" s="10" t="s">
        <v>377</v>
      </c>
      <c r="E128" s="45" t="s">
        <v>1409</v>
      </c>
      <c r="F128" s="21"/>
      <c r="G128" s="59"/>
      <c r="H128" s="21"/>
      <c r="I128" s="59"/>
      <c r="J128" s="21"/>
      <c r="K128" s="21"/>
      <c r="L128" s="59"/>
      <c r="M128" s="60"/>
      <c r="N128" s="21"/>
      <c r="O128" s="59"/>
      <c r="P128" s="21"/>
      <c r="Q128" s="59"/>
      <c r="R128" s="21"/>
      <c r="S128" s="21"/>
      <c r="T128" s="59"/>
      <c r="U128" s="60">
        <f t="shared" si="8"/>
        <v>0</v>
      </c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>
        <v>156127387</v>
      </c>
      <c r="AN128" s="60">
        <f>SUBTOTAL(9,AC128:AM128)</f>
        <v>156127387</v>
      </c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>
        <f>VLOOKUP(B128,[2]Hoja3!J$3:K$674,2,0)</f>
        <v>221410174</v>
      </c>
      <c r="BB128" s="60"/>
      <c r="BC128" s="61">
        <f t="shared" si="9"/>
        <v>377537561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>
        <v>0</v>
      </c>
      <c r="BO128" s="60"/>
      <c r="BP128" s="61">
        <v>377537561</v>
      </c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>
        <v>0</v>
      </c>
      <c r="CD128" s="61"/>
      <c r="CE128" s="61"/>
      <c r="CF128" s="61"/>
      <c r="CG128" s="61">
        <f t="shared" si="10"/>
        <v>377537561</v>
      </c>
      <c r="CH128" s="62"/>
      <c r="CI128" s="62">
        <f t="shared" si="11"/>
        <v>377537561</v>
      </c>
      <c r="CJ128" s="63">
        <f t="shared" si="12"/>
        <v>377537561</v>
      </c>
      <c r="CK128" s="64">
        <f t="shared" si="13"/>
        <v>0</v>
      </c>
      <c r="CL128" s="16"/>
      <c r="CM128" s="16"/>
      <c r="CN128" s="16"/>
    </row>
    <row r="129" spans="1:96" ht="15" customHeight="1" x14ac:dyDescent="0.2">
      <c r="A129" s="1">
        <v>8000990624</v>
      </c>
      <c r="B129" s="1">
        <v>800099062</v>
      </c>
      <c r="C129" s="9">
        <v>211052110</v>
      </c>
      <c r="D129" s="10" t="s">
        <v>698</v>
      </c>
      <c r="E129" s="45" t="s">
        <v>1720</v>
      </c>
      <c r="F129" s="21"/>
      <c r="G129" s="59"/>
      <c r="H129" s="21"/>
      <c r="I129" s="59"/>
      <c r="J129" s="21"/>
      <c r="K129" s="21"/>
      <c r="L129" s="59"/>
      <c r="M129" s="60"/>
      <c r="N129" s="21"/>
      <c r="O129" s="59"/>
      <c r="P129" s="21"/>
      <c r="Q129" s="59"/>
      <c r="R129" s="21"/>
      <c r="S129" s="21"/>
      <c r="T129" s="59"/>
      <c r="U129" s="60">
        <f t="shared" si="8"/>
        <v>0</v>
      </c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>
        <v>65035840</v>
      </c>
      <c r="AN129" s="60">
        <f>SUBTOTAL(9,AC129:AM129)</f>
        <v>65035840</v>
      </c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>
        <v>149116070</v>
      </c>
      <c r="AZ129" s="60"/>
      <c r="BA129" s="60">
        <f>VLOOKUP(B129,[2]Hoja3!J$3:K$674,2,0)</f>
        <v>237667146</v>
      </c>
      <c r="BB129" s="60"/>
      <c r="BC129" s="61">
        <f t="shared" si="9"/>
        <v>451819056</v>
      </c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>
        <v>29823214</v>
      </c>
      <c r="BO129" s="60"/>
      <c r="BP129" s="61">
        <v>481642270</v>
      </c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>
        <v>29823214</v>
      </c>
      <c r="CD129" s="61"/>
      <c r="CE129" s="61"/>
      <c r="CF129" s="61"/>
      <c r="CG129" s="61">
        <f t="shared" si="10"/>
        <v>511465484</v>
      </c>
      <c r="CH129" s="62">
        <f>VLOOKUP(B129,[1]RPTNCT049_ConsultaSaldosContabl!I$4:K$7987,3,0)</f>
        <v>208762498</v>
      </c>
      <c r="CI129" s="62">
        <f t="shared" si="11"/>
        <v>302702986</v>
      </c>
      <c r="CJ129" s="63">
        <f t="shared" si="12"/>
        <v>511465484</v>
      </c>
      <c r="CK129" s="64">
        <f t="shared" si="13"/>
        <v>0</v>
      </c>
      <c r="CL129" s="16"/>
      <c r="CM129" s="16"/>
      <c r="CN129" s="16"/>
    </row>
    <row r="130" spans="1:96" ht="15" customHeight="1" x14ac:dyDescent="0.2">
      <c r="A130" s="1">
        <v>8913800335</v>
      </c>
      <c r="B130" s="1">
        <v>891380033</v>
      </c>
      <c r="C130" s="9">
        <v>211176111</v>
      </c>
      <c r="D130" s="10" t="s">
        <v>2147</v>
      </c>
      <c r="E130" s="47" t="s">
        <v>1055</v>
      </c>
      <c r="F130" s="21"/>
      <c r="G130" s="59"/>
      <c r="H130" s="21"/>
      <c r="I130" s="59">
        <f>2623247421+75628052</f>
        <v>2698875473</v>
      </c>
      <c r="J130" s="21">
        <v>179051312</v>
      </c>
      <c r="K130" s="21">
        <v>356264469</v>
      </c>
      <c r="L130" s="59"/>
      <c r="M130" s="61">
        <f>SUM(F130:L130)</f>
        <v>3234191254</v>
      </c>
      <c r="N130" s="21"/>
      <c r="O130" s="59"/>
      <c r="P130" s="21"/>
      <c r="Q130" s="59">
        <f>2551419325+34376387</f>
        <v>2585795712</v>
      </c>
      <c r="R130" s="21">
        <v>179391809</v>
      </c>
      <c r="S130" s="21">
        <f>177213157+179391809</f>
        <v>356604966</v>
      </c>
      <c r="T130" s="59"/>
      <c r="U130" s="60">
        <f t="shared" si="8"/>
        <v>6355983741</v>
      </c>
      <c r="V130" s="60"/>
      <c r="W130" s="60"/>
      <c r="X130" s="60"/>
      <c r="Y130" s="60">
        <v>3426216899</v>
      </c>
      <c r="Z130" s="60">
        <v>167210941</v>
      </c>
      <c r="AA130" s="60">
        <v>392281442</v>
      </c>
      <c r="AB130" s="60"/>
      <c r="AC130" s="60">
        <f t="shared" si="14"/>
        <v>10341693023</v>
      </c>
      <c r="AD130" s="60"/>
      <c r="AE130" s="60"/>
      <c r="AF130" s="60"/>
      <c r="AG130" s="60"/>
      <c r="AH130" s="60">
        <v>2819567575</v>
      </c>
      <c r="AI130" s="60">
        <v>404658018</v>
      </c>
      <c r="AJ130" s="60">
        <v>181239943</v>
      </c>
      <c r="AK130" s="60">
        <v>457047735</v>
      </c>
      <c r="AL130" s="60"/>
      <c r="AM130" s="60">
        <v>1247103985</v>
      </c>
      <c r="AN130" s="60">
        <f>SUBTOTAL(9,AC130:AM130)</f>
        <v>15451310279</v>
      </c>
      <c r="AO130" s="60"/>
      <c r="AP130" s="60"/>
      <c r="AQ130" s="60">
        <v>418264415</v>
      </c>
      <c r="AR130" s="60"/>
      <c r="AS130" s="60"/>
      <c r="AT130" s="60">
        <v>2819567575</v>
      </c>
      <c r="AU130" s="60"/>
      <c r="AV130" s="60">
        <v>181239943</v>
      </c>
      <c r="AW130" s="60">
        <v>309696427</v>
      </c>
      <c r="AX130" s="60"/>
      <c r="AY130" s="60"/>
      <c r="AZ130" s="60">
        <v>430270668</v>
      </c>
      <c r="BA130" s="60"/>
      <c r="BB130" s="60"/>
      <c r="BC130" s="61">
        <f t="shared" si="9"/>
        <v>19610349307</v>
      </c>
      <c r="BD130" s="60"/>
      <c r="BE130" s="60"/>
      <c r="BF130" s="60">
        <v>83652883</v>
      </c>
      <c r="BG130" s="60"/>
      <c r="BH130" s="60"/>
      <c r="BI130" s="60">
        <v>2745162043</v>
      </c>
      <c r="BJ130" s="60">
        <v>125897860</v>
      </c>
      <c r="BK130" s="60">
        <v>181090473</v>
      </c>
      <c r="BL130" s="60">
        <v>465972189</v>
      </c>
      <c r="BM130" s="60"/>
      <c r="BN130" s="60"/>
      <c r="BO130" s="60"/>
      <c r="BP130" s="61">
        <v>23212124755</v>
      </c>
      <c r="BQ130" s="61"/>
      <c r="BR130" s="61"/>
      <c r="BS130" s="61">
        <v>83652883</v>
      </c>
      <c r="BT130" s="61"/>
      <c r="BU130" s="61"/>
      <c r="BV130" s="61"/>
      <c r="BW130" s="61">
        <v>2787116726</v>
      </c>
      <c r="BX130" s="61"/>
      <c r="BY130" s="61">
        <v>1255801647</v>
      </c>
      <c r="BZ130" s="61">
        <v>185770464</v>
      </c>
      <c r="CA130" s="61">
        <v>479903435</v>
      </c>
      <c r="CB130" s="61"/>
      <c r="CC130" s="61"/>
      <c r="CD130" s="61"/>
      <c r="CE130" s="61"/>
      <c r="CF130" s="61"/>
      <c r="CG130" s="61">
        <f t="shared" si="10"/>
        <v>28004369910</v>
      </c>
      <c r="CH130" s="62">
        <f>VLOOKUP(B130,[1]RPTNCT049_ConsultaSaldosContabl!I$4:K$7987,3,0)</f>
        <v>26757265925</v>
      </c>
      <c r="CI130" s="62">
        <f t="shared" si="11"/>
        <v>1247103985</v>
      </c>
      <c r="CJ130" s="63">
        <f t="shared" si="12"/>
        <v>28004369910</v>
      </c>
      <c r="CK130" s="64">
        <f t="shared" si="13"/>
        <v>0</v>
      </c>
      <c r="CL130" s="16"/>
      <c r="CM130" s="16"/>
      <c r="CN130" s="16"/>
    </row>
    <row r="131" spans="1:96" ht="15" customHeight="1" x14ac:dyDescent="0.2">
      <c r="A131" s="1">
        <v>8919003531</v>
      </c>
      <c r="B131" s="1">
        <v>891900353</v>
      </c>
      <c r="C131" s="9">
        <v>211376113</v>
      </c>
      <c r="D131" s="10" t="s">
        <v>917</v>
      </c>
      <c r="E131" s="45" t="s">
        <v>1978</v>
      </c>
      <c r="F131" s="21"/>
      <c r="G131" s="59"/>
      <c r="H131" s="21"/>
      <c r="I131" s="59"/>
      <c r="J131" s="21"/>
      <c r="K131" s="21"/>
      <c r="L131" s="59"/>
      <c r="M131" s="60"/>
      <c r="N131" s="21"/>
      <c r="O131" s="59"/>
      <c r="P131" s="21"/>
      <c r="Q131" s="59"/>
      <c r="R131" s="21"/>
      <c r="S131" s="21"/>
      <c r="T131" s="59"/>
      <c r="U131" s="60">
        <f t="shared" ref="U131:U194" si="17">SUM(M131:T131)</f>
        <v>0</v>
      </c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>
        <v>298455705</v>
      </c>
      <c r="AN131" s="60">
        <f>SUBTOTAL(9,AC131:AM131)</f>
        <v>298455705</v>
      </c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>
        <v>99023135</v>
      </c>
      <c r="AZ131" s="60"/>
      <c r="BA131" s="60"/>
      <c r="BB131" s="60"/>
      <c r="BC131" s="61">
        <f t="shared" si="9"/>
        <v>397478840</v>
      </c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>
        <v>19804627</v>
      </c>
      <c r="BO131" s="60"/>
      <c r="BP131" s="61">
        <v>417283467</v>
      </c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>
        <v>19804627</v>
      </c>
      <c r="CD131" s="61"/>
      <c r="CE131" s="61"/>
      <c r="CF131" s="61"/>
      <c r="CG131" s="61">
        <f t="shared" si="10"/>
        <v>437088094</v>
      </c>
      <c r="CH131" s="62">
        <f>VLOOKUP(B131,[1]RPTNCT049_ConsultaSaldosContabl!I$4:K$7987,3,0)</f>
        <v>138632389</v>
      </c>
      <c r="CI131" s="62">
        <f t="shared" si="11"/>
        <v>298455705</v>
      </c>
      <c r="CJ131" s="63">
        <f t="shared" si="12"/>
        <v>437088094</v>
      </c>
      <c r="CK131" s="64">
        <f t="shared" si="13"/>
        <v>0</v>
      </c>
      <c r="CL131" s="16"/>
      <c r="CM131" s="16"/>
      <c r="CN131" s="16"/>
    </row>
    <row r="132" spans="1:96" ht="15" customHeight="1" x14ac:dyDescent="0.2">
      <c r="A132" s="1">
        <v>8909838080</v>
      </c>
      <c r="B132" s="1">
        <v>890983808</v>
      </c>
      <c r="C132" s="9">
        <v>211305113</v>
      </c>
      <c r="D132" s="10" t="s">
        <v>64</v>
      </c>
      <c r="E132" s="45" t="s">
        <v>1095</v>
      </c>
      <c r="F132" s="21"/>
      <c r="G132" s="59"/>
      <c r="H132" s="21"/>
      <c r="I132" s="59"/>
      <c r="J132" s="21"/>
      <c r="K132" s="21"/>
      <c r="L132" s="59"/>
      <c r="M132" s="60"/>
      <c r="N132" s="21"/>
      <c r="O132" s="59"/>
      <c r="P132" s="21"/>
      <c r="Q132" s="59"/>
      <c r="R132" s="21"/>
      <c r="S132" s="21"/>
      <c r="T132" s="59"/>
      <c r="U132" s="60">
        <f t="shared" si="17"/>
        <v>0</v>
      </c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>
        <v>73408860</v>
      </c>
      <c r="AZ132" s="60"/>
      <c r="BA132" s="60">
        <f>VLOOKUP(B132,[2]Hoja3!J$3:K$674,2,0)</f>
        <v>117767683</v>
      </c>
      <c r="BB132" s="60"/>
      <c r="BC132" s="61">
        <f t="shared" ref="BC132:BC195" si="18">SUM(AN132:BA132)-BB132</f>
        <v>191176543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>
        <v>14681772</v>
      </c>
      <c r="BO132" s="60"/>
      <c r="BP132" s="61">
        <v>205858315</v>
      </c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>
        <v>14681772</v>
      </c>
      <c r="CD132" s="61"/>
      <c r="CE132" s="61"/>
      <c r="CF132" s="61"/>
      <c r="CG132" s="61">
        <f t="shared" ref="CG132:CG195" si="19">SUM(BP132:CF132)</f>
        <v>220540087</v>
      </c>
      <c r="CH132" s="62">
        <f>VLOOKUP(B132,[1]RPTNCT049_ConsultaSaldosContabl!I$4:K$7987,3,0)</f>
        <v>102772404</v>
      </c>
      <c r="CI132" s="62">
        <f t="shared" ref="CI132:CI195" si="20">+AM132+BA132-BB132+BO132+CE132+CF132</f>
        <v>117767683</v>
      </c>
      <c r="CJ132" s="63">
        <f t="shared" ref="CJ132:CJ195" si="21">+CH132+CI132</f>
        <v>220540087</v>
      </c>
      <c r="CK132" s="64">
        <f t="shared" ref="CK132:CK195" si="22">+CG132-CJ132</f>
        <v>0</v>
      </c>
      <c r="CL132" s="16"/>
      <c r="CM132" s="16"/>
      <c r="CN132" s="8"/>
      <c r="CO132" s="8"/>
      <c r="CP132" s="8"/>
      <c r="CQ132" s="8"/>
      <c r="CR132" s="8"/>
    </row>
    <row r="133" spans="1:96" ht="15" customHeight="1" x14ac:dyDescent="0.2">
      <c r="A133" s="1">
        <v>8000997148</v>
      </c>
      <c r="B133" s="1">
        <v>800099714</v>
      </c>
      <c r="C133" s="9">
        <v>211415114</v>
      </c>
      <c r="D133" s="10" t="s">
        <v>227</v>
      </c>
      <c r="E133" s="45" t="s">
        <v>1263</v>
      </c>
      <c r="F133" s="21"/>
      <c r="G133" s="59"/>
      <c r="H133" s="21"/>
      <c r="I133" s="59"/>
      <c r="J133" s="21"/>
      <c r="K133" s="21"/>
      <c r="L133" s="59"/>
      <c r="M133" s="60"/>
      <c r="N133" s="21"/>
      <c r="O133" s="59"/>
      <c r="P133" s="21"/>
      <c r="Q133" s="59"/>
      <c r="R133" s="21"/>
      <c r="S133" s="21"/>
      <c r="T133" s="59"/>
      <c r="U133" s="60">
        <f t="shared" si="17"/>
        <v>0</v>
      </c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>
        <v>4343140</v>
      </c>
      <c r="AZ133" s="60"/>
      <c r="BA133" s="60">
        <f>VLOOKUP(B133,[2]Hoja3!J$3:K$674,2,0)</f>
        <v>7530659</v>
      </c>
      <c r="BB133" s="60"/>
      <c r="BC133" s="61">
        <f t="shared" si="18"/>
        <v>11873799</v>
      </c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>
        <v>868628</v>
      </c>
      <c r="BO133" s="60"/>
      <c r="BP133" s="61">
        <v>12742427</v>
      </c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>
        <v>868628</v>
      </c>
      <c r="CD133" s="61"/>
      <c r="CE133" s="61"/>
      <c r="CF133" s="61"/>
      <c r="CG133" s="61">
        <f t="shared" si="19"/>
        <v>13611055</v>
      </c>
      <c r="CH133" s="62">
        <f>VLOOKUP(B133,[1]RPTNCT049_ConsultaSaldosContabl!I$4:K$7987,3,0)</f>
        <v>6080396</v>
      </c>
      <c r="CI133" s="62">
        <f t="shared" si="20"/>
        <v>7530659</v>
      </c>
      <c r="CJ133" s="63">
        <f t="shared" si="21"/>
        <v>13611055</v>
      </c>
      <c r="CK133" s="64">
        <f t="shared" si="22"/>
        <v>0</v>
      </c>
      <c r="CL133" s="16"/>
      <c r="CM133" s="16"/>
      <c r="CN133" s="8"/>
      <c r="CO133" s="8"/>
      <c r="CP133" s="8"/>
      <c r="CQ133" s="8"/>
      <c r="CR133" s="8"/>
    </row>
    <row r="134" spans="1:96" ht="15" customHeight="1" x14ac:dyDescent="0.2">
      <c r="A134" s="1">
        <v>8906801075</v>
      </c>
      <c r="B134" s="1">
        <v>890680107</v>
      </c>
      <c r="C134" s="9">
        <v>212025120</v>
      </c>
      <c r="D134" s="10" t="s">
        <v>468</v>
      </c>
      <c r="E134" s="45" t="s">
        <v>1495</v>
      </c>
      <c r="F134" s="21"/>
      <c r="G134" s="59"/>
      <c r="H134" s="21"/>
      <c r="I134" s="59"/>
      <c r="J134" s="21"/>
      <c r="K134" s="21"/>
      <c r="L134" s="59"/>
      <c r="M134" s="60"/>
      <c r="N134" s="21"/>
      <c r="O134" s="59"/>
      <c r="P134" s="21"/>
      <c r="Q134" s="59"/>
      <c r="R134" s="21"/>
      <c r="S134" s="21"/>
      <c r="T134" s="59"/>
      <c r="U134" s="60">
        <f t="shared" si="17"/>
        <v>0</v>
      </c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>
        <v>72464686</v>
      </c>
      <c r="AN134" s="60">
        <f t="shared" ref="AN134:AN140" si="23">SUBTOTAL(9,AC134:AM134)</f>
        <v>72464686</v>
      </c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>
        <v>34612500</v>
      </c>
      <c r="AZ134" s="60"/>
      <c r="BA134" s="60"/>
      <c r="BB134" s="60"/>
      <c r="BC134" s="61">
        <f t="shared" si="18"/>
        <v>107077186</v>
      </c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>
        <v>6922500</v>
      </c>
      <c r="BO134" s="60"/>
      <c r="BP134" s="61">
        <v>113999686</v>
      </c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>
        <v>6922500</v>
      </c>
      <c r="CD134" s="61"/>
      <c r="CE134" s="61"/>
      <c r="CF134" s="61"/>
      <c r="CG134" s="61">
        <f t="shared" si="19"/>
        <v>120922186</v>
      </c>
      <c r="CH134" s="62">
        <f>VLOOKUP(B134,[1]RPTNCT049_ConsultaSaldosContabl!I$4:K$7987,3,0)</f>
        <v>48457500</v>
      </c>
      <c r="CI134" s="62">
        <f t="shared" si="20"/>
        <v>72464686</v>
      </c>
      <c r="CJ134" s="63">
        <f t="shared" si="21"/>
        <v>120922186</v>
      </c>
      <c r="CK134" s="64">
        <f t="shared" si="22"/>
        <v>0</v>
      </c>
      <c r="CL134" s="16"/>
      <c r="CM134" s="16"/>
      <c r="CN134" s="16"/>
    </row>
    <row r="135" spans="1:96" ht="15" customHeight="1" x14ac:dyDescent="0.2">
      <c r="A135" s="1">
        <v>8902055753</v>
      </c>
      <c r="B135" s="1">
        <v>890205575</v>
      </c>
      <c r="C135" s="9">
        <v>212168121</v>
      </c>
      <c r="D135" s="10" t="s">
        <v>819</v>
      </c>
      <c r="E135" s="45" t="s">
        <v>1836</v>
      </c>
      <c r="F135" s="21"/>
      <c r="G135" s="59"/>
      <c r="H135" s="21"/>
      <c r="I135" s="59"/>
      <c r="J135" s="21"/>
      <c r="K135" s="21"/>
      <c r="L135" s="59"/>
      <c r="M135" s="60"/>
      <c r="N135" s="21"/>
      <c r="O135" s="59"/>
      <c r="P135" s="21"/>
      <c r="Q135" s="59"/>
      <c r="R135" s="21"/>
      <c r="S135" s="21"/>
      <c r="T135" s="59"/>
      <c r="U135" s="60">
        <f t="shared" si="17"/>
        <v>0</v>
      </c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>
        <v>22184644</v>
      </c>
      <c r="AN135" s="60">
        <f t="shared" si="23"/>
        <v>22184644</v>
      </c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>
        <v>10902305</v>
      </c>
      <c r="AZ135" s="60"/>
      <c r="BA135" s="60"/>
      <c r="BB135" s="60"/>
      <c r="BC135" s="61">
        <f t="shared" si="18"/>
        <v>33086949</v>
      </c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>
        <v>2180461</v>
      </c>
      <c r="BO135" s="60"/>
      <c r="BP135" s="61">
        <v>35267410</v>
      </c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>
        <v>2180461</v>
      </c>
      <c r="CD135" s="61"/>
      <c r="CE135" s="61"/>
      <c r="CF135" s="61"/>
      <c r="CG135" s="61">
        <f t="shared" si="19"/>
        <v>37447871</v>
      </c>
      <c r="CH135" s="62">
        <f>VLOOKUP(B135,[1]RPTNCT049_ConsultaSaldosContabl!I$4:K$7987,3,0)</f>
        <v>15263227</v>
      </c>
      <c r="CI135" s="62">
        <f t="shared" si="20"/>
        <v>22184644</v>
      </c>
      <c r="CJ135" s="63">
        <f t="shared" si="21"/>
        <v>37447871</v>
      </c>
      <c r="CK135" s="64">
        <f t="shared" si="22"/>
        <v>0</v>
      </c>
      <c r="CL135" s="16"/>
      <c r="CM135" s="16"/>
      <c r="CN135" s="8"/>
      <c r="CO135" s="8"/>
      <c r="CP135" s="8"/>
      <c r="CQ135" s="8"/>
      <c r="CR135" s="8"/>
    </row>
    <row r="136" spans="1:96" ht="15" customHeight="1" x14ac:dyDescent="0.2">
      <c r="A136" s="1">
        <v>8920992324</v>
      </c>
      <c r="B136" s="1">
        <v>892099232</v>
      </c>
      <c r="C136" s="9">
        <v>212450124</v>
      </c>
      <c r="D136" s="10" t="s">
        <v>668</v>
      </c>
      <c r="E136" s="45" t="s">
        <v>1688</v>
      </c>
      <c r="F136" s="21"/>
      <c r="G136" s="59"/>
      <c r="H136" s="21"/>
      <c r="I136" s="59"/>
      <c r="J136" s="21"/>
      <c r="K136" s="21"/>
      <c r="L136" s="59"/>
      <c r="M136" s="60"/>
      <c r="N136" s="21"/>
      <c r="O136" s="59"/>
      <c r="P136" s="21"/>
      <c r="Q136" s="59"/>
      <c r="R136" s="21"/>
      <c r="S136" s="21"/>
      <c r="T136" s="59"/>
      <c r="U136" s="60">
        <f t="shared" si="17"/>
        <v>0</v>
      </c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>
        <v>89421062</v>
      </c>
      <c r="AN136" s="60">
        <f t="shared" si="23"/>
        <v>89421062</v>
      </c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>
        <v>41110240</v>
      </c>
      <c r="AZ136" s="60"/>
      <c r="BA136" s="60"/>
      <c r="BB136" s="60"/>
      <c r="BC136" s="61">
        <f t="shared" si="18"/>
        <v>130531302</v>
      </c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>
        <v>8222048</v>
      </c>
      <c r="BO136" s="60"/>
      <c r="BP136" s="61">
        <v>138753350</v>
      </c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>
        <v>8222048</v>
      </c>
      <c r="CD136" s="61"/>
      <c r="CE136" s="61"/>
      <c r="CF136" s="61"/>
      <c r="CG136" s="61">
        <f t="shared" si="19"/>
        <v>146975398</v>
      </c>
      <c r="CH136" s="62">
        <f>VLOOKUP(B136,[1]RPTNCT049_ConsultaSaldosContabl!I$4:K$7987,3,0)</f>
        <v>57554336</v>
      </c>
      <c r="CI136" s="62">
        <f t="shared" si="20"/>
        <v>89421062</v>
      </c>
      <c r="CJ136" s="63">
        <f t="shared" si="21"/>
        <v>146975398</v>
      </c>
      <c r="CK136" s="64">
        <f t="shared" si="22"/>
        <v>0</v>
      </c>
      <c r="CL136" s="16"/>
      <c r="CM136" s="16"/>
      <c r="CN136" s="16"/>
    </row>
    <row r="137" spans="1:96" ht="15" customHeight="1" x14ac:dyDescent="0.2">
      <c r="A137" s="1">
        <v>8909815671</v>
      </c>
      <c r="B137" s="1">
        <v>890981567</v>
      </c>
      <c r="C137" s="9">
        <v>212005120</v>
      </c>
      <c r="D137" s="10" t="s">
        <v>65</v>
      </c>
      <c r="E137" s="45" t="s">
        <v>1096</v>
      </c>
      <c r="F137" s="21"/>
      <c r="G137" s="59"/>
      <c r="H137" s="21"/>
      <c r="I137" s="59"/>
      <c r="J137" s="21"/>
      <c r="K137" s="21"/>
      <c r="L137" s="59"/>
      <c r="M137" s="60"/>
      <c r="N137" s="21"/>
      <c r="O137" s="59"/>
      <c r="P137" s="21"/>
      <c r="Q137" s="59"/>
      <c r="R137" s="21"/>
      <c r="S137" s="21"/>
      <c r="T137" s="59"/>
      <c r="U137" s="60">
        <f t="shared" si="17"/>
        <v>0</v>
      </c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>
        <v>497006981</v>
      </c>
      <c r="AN137" s="60">
        <f t="shared" si="23"/>
        <v>497006981</v>
      </c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>
        <v>367115805</v>
      </c>
      <c r="AZ137" s="60"/>
      <c r="BA137" s="60"/>
      <c r="BB137" s="60">
        <f>VLOOKUP(B137,'[3]anuladas en mayo gratuidad}'!K$2:L$55,2,0)</f>
        <v>16823104</v>
      </c>
      <c r="BC137" s="61">
        <f t="shared" si="18"/>
        <v>847299682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>
        <v>73423161</v>
      </c>
      <c r="BO137" s="60"/>
      <c r="BP137" s="61">
        <v>920722843</v>
      </c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>
        <v>73423161</v>
      </c>
      <c r="CD137" s="61"/>
      <c r="CE137" s="61"/>
      <c r="CF137" s="61"/>
      <c r="CG137" s="61">
        <f t="shared" si="19"/>
        <v>994146004</v>
      </c>
      <c r="CH137" s="62">
        <f>VLOOKUP(B137,[1]RPTNCT049_ConsultaSaldosContabl!I$4:K$7987,3,0)</f>
        <v>513962127</v>
      </c>
      <c r="CI137" s="62">
        <f t="shared" si="20"/>
        <v>480183877</v>
      </c>
      <c r="CJ137" s="63">
        <f t="shared" si="21"/>
        <v>994146004</v>
      </c>
      <c r="CK137" s="64">
        <f t="shared" si="22"/>
        <v>0</v>
      </c>
      <c r="CL137" s="16"/>
      <c r="CM137" s="16"/>
      <c r="CN137" s="16"/>
    </row>
    <row r="138" spans="1:96" ht="15" customHeight="1" x14ac:dyDescent="0.2">
      <c r="A138" s="1">
        <v>8000810919</v>
      </c>
      <c r="B138" s="1">
        <v>800081091</v>
      </c>
      <c r="C138" s="9">
        <v>212325123</v>
      </c>
      <c r="D138" s="10" t="s">
        <v>469</v>
      </c>
      <c r="E138" s="45" t="s">
        <v>1496</v>
      </c>
      <c r="F138" s="21"/>
      <c r="G138" s="59"/>
      <c r="H138" s="21"/>
      <c r="I138" s="59"/>
      <c r="J138" s="21"/>
      <c r="K138" s="21"/>
      <c r="L138" s="59"/>
      <c r="M138" s="60"/>
      <c r="N138" s="21"/>
      <c r="O138" s="59"/>
      <c r="P138" s="21"/>
      <c r="Q138" s="59"/>
      <c r="R138" s="21"/>
      <c r="S138" s="21"/>
      <c r="T138" s="59"/>
      <c r="U138" s="60">
        <f t="shared" si="17"/>
        <v>0</v>
      </c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>
        <v>94553148</v>
      </c>
      <c r="AN138" s="60">
        <f t="shared" si="23"/>
        <v>94553148</v>
      </c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1">
        <f t="shared" si="18"/>
        <v>94553148</v>
      </c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>
        <v>0</v>
      </c>
      <c r="BO138" s="60"/>
      <c r="BP138" s="61">
        <v>94553148</v>
      </c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>
        <v>0</v>
      </c>
      <c r="CD138" s="61"/>
      <c r="CE138" s="61"/>
      <c r="CF138" s="61"/>
      <c r="CG138" s="61">
        <f t="shared" si="19"/>
        <v>94553148</v>
      </c>
      <c r="CH138" s="62"/>
      <c r="CI138" s="62">
        <f t="shared" si="20"/>
        <v>94553148</v>
      </c>
      <c r="CJ138" s="63">
        <f t="shared" si="21"/>
        <v>94553148</v>
      </c>
      <c r="CK138" s="64">
        <f t="shared" si="22"/>
        <v>0</v>
      </c>
      <c r="CL138" s="16"/>
      <c r="CM138" s="16"/>
      <c r="CN138" s="16"/>
    </row>
    <row r="139" spans="1:96" ht="15" customHeight="1" x14ac:dyDescent="0.2">
      <c r="A139" s="1">
        <v>8905017766</v>
      </c>
      <c r="B139" s="1">
        <v>890501776</v>
      </c>
      <c r="C139" s="9">
        <v>212854128</v>
      </c>
      <c r="D139" s="10" t="s">
        <v>756</v>
      </c>
      <c r="E139" s="48" t="s">
        <v>2110</v>
      </c>
      <c r="F139" s="21"/>
      <c r="G139" s="59"/>
      <c r="H139" s="21"/>
      <c r="I139" s="59"/>
      <c r="J139" s="21"/>
      <c r="K139" s="21"/>
      <c r="L139" s="59"/>
      <c r="M139" s="60"/>
      <c r="N139" s="21"/>
      <c r="O139" s="59"/>
      <c r="P139" s="21"/>
      <c r="Q139" s="59"/>
      <c r="R139" s="21"/>
      <c r="S139" s="21"/>
      <c r="T139" s="59"/>
      <c r="U139" s="60">
        <f t="shared" si="17"/>
        <v>0</v>
      </c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>
        <v>62158734</v>
      </c>
      <c r="AN139" s="60">
        <f t="shared" si="23"/>
        <v>62158734</v>
      </c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>
        <v>82271570</v>
      </c>
      <c r="AZ139" s="60"/>
      <c r="BA139" s="60">
        <f>VLOOKUP(B139,[2]Hoja3!J$3:K$674,2,0)</f>
        <v>107388518</v>
      </c>
      <c r="BB139" s="60"/>
      <c r="BC139" s="61">
        <f t="shared" si="18"/>
        <v>251818822</v>
      </c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>
        <v>16454314</v>
      </c>
      <c r="BO139" s="60"/>
      <c r="BP139" s="61">
        <v>268273136</v>
      </c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>
        <v>16454314</v>
      </c>
      <c r="CD139" s="61"/>
      <c r="CE139" s="61"/>
      <c r="CF139" s="61"/>
      <c r="CG139" s="61">
        <f t="shared" si="19"/>
        <v>284727450</v>
      </c>
      <c r="CH139" s="62">
        <f>VLOOKUP(B139,[1]RPTNCT049_ConsultaSaldosContabl!I$4:K$7987,3,0)</f>
        <v>115180198</v>
      </c>
      <c r="CI139" s="62">
        <f t="shared" si="20"/>
        <v>169547252</v>
      </c>
      <c r="CJ139" s="63">
        <f t="shared" si="21"/>
        <v>284727450</v>
      </c>
      <c r="CK139" s="64">
        <f t="shared" si="22"/>
        <v>0</v>
      </c>
      <c r="CL139" s="16"/>
      <c r="CM139" s="16"/>
      <c r="CN139" s="16"/>
    </row>
    <row r="140" spans="1:96" ht="15" customHeight="1" x14ac:dyDescent="0.2">
      <c r="A140" s="1">
        <v>8000992344</v>
      </c>
      <c r="B140" s="1">
        <v>800099234</v>
      </c>
      <c r="C140" s="9">
        <v>212554125</v>
      </c>
      <c r="D140" s="10" t="s">
        <v>755</v>
      </c>
      <c r="E140" s="45" t="s">
        <v>1774</v>
      </c>
      <c r="F140" s="21"/>
      <c r="G140" s="59"/>
      <c r="H140" s="21"/>
      <c r="I140" s="59"/>
      <c r="J140" s="21"/>
      <c r="K140" s="21"/>
      <c r="L140" s="59"/>
      <c r="M140" s="60"/>
      <c r="N140" s="21"/>
      <c r="O140" s="59"/>
      <c r="P140" s="21"/>
      <c r="Q140" s="59"/>
      <c r="R140" s="21"/>
      <c r="S140" s="21"/>
      <c r="T140" s="59"/>
      <c r="U140" s="60">
        <f t="shared" si="17"/>
        <v>0</v>
      </c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>
        <v>17274233</v>
      </c>
      <c r="AN140" s="60">
        <f t="shared" si="23"/>
        <v>17274233</v>
      </c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>
        <f>VLOOKUP(B140,[2]Hoja3!J$3:K$674,2,0)</f>
        <v>21832227</v>
      </c>
      <c r="BB140" s="60"/>
      <c r="BC140" s="61">
        <f t="shared" si="18"/>
        <v>39106460</v>
      </c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>
        <v>0</v>
      </c>
      <c r="BO140" s="60"/>
      <c r="BP140" s="61">
        <v>39106460</v>
      </c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>
        <v>27173160</v>
      </c>
      <c r="CD140" s="61"/>
      <c r="CE140" s="61"/>
      <c r="CF140" s="61"/>
      <c r="CG140" s="61">
        <f t="shared" si="19"/>
        <v>66279620</v>
      </c>
      <c r="CH140" s="62">
        <f>VLOOKUP(B140,[1]RPTNCT049_ConsultaSaldosContabl!I$4:K$7987,3,0)</f>
        <v>27173160</v>
      </c>
      <c r="CI140" s="62">
        <f t="shared" si="20"/>
        <v>39106460</v>
      </c>
      <c r="CJ140" s="63">
        <f t="shared" si="21"/>
        <v>66279620</v>
      </c>
      <c r="CK140" s="64">
        <f t="shared" si="22"/>
        <v>0</v>
      </c>
      <c r="CL140" s="16"/>
      <c r="CM140" s="16"/>
      <c r="CN140" s="16"/>
    </row>
    <row r="141" spans="1:96" ht="15" customHeight="1" x14ac:dyDescent="0.2">
      <c r="A141" s="1">
        <v>8909842244</v>
      </c>
      <c r="B141" s="1">
        <v>890984224</v>
      </c>
      <c r="C141" s="9">
        <v>212505125</v>
      </c>
      <c r="D141" s="10" t="s">
        <v>66</v>
      </c>
      <c r="E141" s="45" t="s">
        <v>1097</v>
      </c>
      <c r="F141" s="21"/>
      <c r="G141" s="59"/>
      <c r="H141" s="21"/>
      <c r="I141" s="59"/>
      <c r="J141" s="21"/>
      <c r="K141" s="21"/>
      <c r="L141" s="59"/>
      <c r="M141" s="60"/>
      <c r="N141" s="21"/>
      <c r="O141" s="59"/>
      <c r="P141" s="21"/>
      <c r="Q141" s="59"/>
      <c r="R141" s="21"/>
      <c r="S141" s="21"/>
      <c r="T141" s="59"/>
      <c r="U141" s="60">
        <f t="shared" si="17"/>
        <v>0</v>
      </c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>
        <v>71716215</v>
      </c>
      <c r="AZ141" s="60"/>
      <c r="BA141" s="60">
        <f>VLOOKUP(B141,[2]Hoja3!J$3:K$674,2,0)</f>
        <v>113387085</v>
      </c>
      <c r="BB141" s="60"/>
      <c r="BC141" s="61">
        <f t="shared" si="18"/>
        <v>185103300</v>
      </c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>
        <v>14343243</v>
      </c>
      <c r="BO141" s="60"/>
      <c r="BP141" s="61">
        <v>199446543</v>
      </c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>
        <v>14343243</v>
      </c>
      <c r="CD141" s="61"/>
      <c r="CE141" s="61"/>
      <c r="CF141" s="61"/>
      <c r="CG141" s="61">
        <f t="shared" si="19"/>
        <v>213789786</v>
      </c>
      <c r="CH141" s="62">
        <f>VLOOKUP(B141,[1]RPTNCT049_ConsultaSaldosContabl!I$4:K$7987,3,0)</f>
        <v>100402701</v>
      </c>
      <c r="CI141" s="62">
        <f t="shared" si="20"/>
        <v>113387085</v>
      </c>
      <c r="CJ141" s="63">
        <f t="shared" si="21"/>
        <v>213789786</v>
      </c>
      <c r="CK141" s="64">
        <f t="shared" si="22"/>
        <v>0</v>
      </c>
      <c r="CL141" s="16"/>
      <c r="CM141" s="16"/>
      <c r="CN141" s="16"/>
    </row>
    <row r="142" spans="1:96" ht="15" customHeight="1" x14ac:dyDescent="0.2">
      <c r="A142" s="1">
        <v>8919006606</v>
      </c>
      <c r="B142" s="1">
        <v>891900660</v>
      </c>
      <c r="C142" s="9">
        <v>212276122</v>
      </c>
      <c r="D142" s="10" t="s">
        <v>918</v>
      </c>
      <c r="E142" s="45" t="s">
        <v>1979</v>
      </c>
      <c r="F142" s="21"/>
      <c r="G142" s="59"/>
      <c r="H142" s="21"/>
      <c r="I142" s="59"/>
      <c r="J142" s="21"/>
      <c r="K142" s="21"/>
      <c r="L142" s="59"/>
      <c r="M142" s="60"/>
      <c r="N142" s="21"/>
      <c r="O142" s="59"/>
      <c r="P142" s="21"/>
      <c r="Q142" s="59"/>
      <c r="R142" s="21"/>
      <c r="S142" s="21"/>
      <c r="T142" s="59"/>
      <c r="U142" s="60">
        <f t="shared" si="17"/>
        <v>0</v>
      </c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>
        <v>306133676</v>
      </c>
      <c r="AN142" s="60">
        <f>SUBTOTAL(9,AC142:AM142)</f>
        <v>306133676</v>
      </c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>
        <v>193040465</v>
      </c>
      <c r="AZ142" s="60"/>
      <c r="BA142" s="60"/>
      <c r="BB142" s="60"/>
      <c r="BC142" s="61">
        <f t="shared" si="18"/>
        <v>499174141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>
        <v>38608093</v>
      </c>
      <c r="BO142" s="60"/>
      <c r="BP142" s="61">
        <v>537782234</v>
      </c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>
        <v>38608093</v>
      </c>
      <c r="CD142" s="61"/>
      <c r="CE142" s="61"/>
      <c r="CF142" s="61"/>
      <c r="CG142" s="61">
        <f t="shared" si="19"/>
        <v>576390327</v>
      </c>
      <c r="CH142" s="62">
        <f>VLOOKUP(B142,[1]RPTNCT049_ConsultaSaldosContabl!I$4:K$7987,3,0)</f>
        <v>270256651</v>
      </c>
      <c r="CI142" s="62">
        <f t="shared" si="20"/>
        <v>306133676</v>
      </c>
      <c r="CJ142" s="63">
        <f t="shared" si="21"/>
        <v>576390327</v>
      </c>
      <c r="CK142" s="64">
        <f t="shared" si="22"/>
        <v>0</v>
      </c>
      <c r="CL142" s="16"/>
      <c r="CM142" s="16"/>
      <c r="CN142" s="16"/>
    </row>
    <row r="143" spans="1:96" ht="15" customHeight="1" x14ac:dyDescent="0.2">
      <c r="A143" s="1">
        <v>8922000581</v>
      </c>
      <c r="B143" s="1">
        <v>892200058</v>
      </c>
      <c r="C143" s="9">
        <v>212470124</v>
      </c>
      <c r="D143" s="10" t="s">
        <v>891</v>
      </c>
      <c r="E143" s="45" t="s">
        <v>1904</v>
      </c>
      <c r="F143" s="21"/>
      <c r="G143" s="59"/>
      <c r="H143" s="21"/>
      <c r="I143" s="59"/>
      <c r="J143" s="21"/>
      <c r="K143" s="21"/>
      <c r="L143" s="59"/>
      <c r="M143" s="60"/>
      <c r="N143" s="21"/>
      <c r="O143" s="59"/>
      <c r="P143" s="21"/>
      <c r="Q143" s="59"/>
      <c r="R143" s="21"/>
      <c r="S143" s="21"/>
      <c r="T143" s="59"/>
      <c r="U143" s="60">
        <f t="shared" si="17"/>
        <v>0</v>
      </c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>
        <f>VLOOKUP(B143,[2]Hoja3!J$3:K$674,2,0)</f>
        <v>252421205</v>
      </c>
      <c r="BB143" s="60"/>
      <c r="BC143" s="61">
        <f t="shared" si="18"/>
        <v>252421205</v>
      </c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>
        <v>0</v>
      </c>
      <c r="BO143" s="60"/>
      <c r="BP143" s="61">
        <v>252421205</v>
      </c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>
        <v>200096351</v>
      </c>
      <c r="CD143" s="61"/>
      <c r="CE143" s="61"/>
      <c r="CF143" s="61"/>
      <c r="CG143" s="61">
        <f t="shared" si="19"/>
        <v>452517556</v>
      </c>
      <c r="CH143" s="62">
        <f>VLOOKUP(B143,[1]RPTNCT049_ConsultaSaldosContabl!I$4:K$7987,3,0)</f>
        <v>200096351</v>
      </c>
      <c r="CI143" s="62">
        <f t="shared" si="20"/>
        <v>252421205</v>
      </c>
      <c r="CJ143" s="63">
        <f t="shared" si="21"/>
        <v>452517556</v>
      </c>
      <c r="CK143" s="64">
        <f t="shared" si="22"/>
        <v>0</v>
      </c>
      <c r="CL143" s="16"/>
      <c r="CM143" s="16"/>
      <c r="CN143" s="16"/>
    </row>
    <row r="144" spans="1:96" ht="15" customHeight="1" x14ac:dyDescent="0.2">
      <c r="A144" s="1">
        <v>8907008592</v>
      </c>
      <c r="B144" s="1">
        <v>890700859</v>
      </c>
      <c r="C144" s="9">
        <v>212473124</v>
      </c>
      <c r="D144" s="10" t="s">
        <v>2208</v>
      </c>
      <c r="E144" s="45" t="s">
        <v>1934</v>
      </c>
      <c r="F144" s="21"/>
      <c r="G144" s="59"/>
      <c r="H144" s="21"/>
      <c r="I144" s="59"/>
      <c r="J144" s="21"/>
      <c r="K144" s="21"/>
      <c r="L144" s="59"/>
      <c r="M144" s="60"/>
      <c r="N144" s="21"/>
      <c r="O144" s="59"/>
      <c r="P144" s="21"/>
      <c r="Q144" s="59"/>
      <c r="R144" s="21"/>
      <c r="S144" s="21"/>
      <c r="T144" s="59"/>
      <c r="U144" s="60">
        <f t="shared" si="17"/>
        <v>0</v>
      </c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>
        <v>120920205</v>
      </c>
      <c r="AZ144" s="60"/>
      <c r="BA144" s="60">
        <f>VLOOKUP(B144,[2]Hoja3!J$3:K$674,2,0)</f>
        <v>305175770</v>
      </c>
      <c r="BB144" s="60"/>
      <c r="BC144" s="61">
        <f t="shared" si="18"/>
        <v>426095975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>
        <v>24184041</v>
      </c>
      <c r="BO144" s="60"/>
      <c r="BP144" s="61">
        <v>450280016</v>
      </c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>
        <v>24184041</v>
      </c>
      <c r="CD144" s="61"/>
      <c r="CE144" s="61"/>
      <c r="CF144" s="61"/>
      <c r="CG144" s="61">
        <f t="shared" si="19"/>
        <v>474464057</v>
      </c>
      <c r="CH144" s="62">
        <f>VLOOKUP(B144,[1]RPTNCT049_ConsultaSaldosContabl!I$4:K$7987,3,0)</f>
        <v>169288287</v>
      </c>
      <c r="CI144" s="62">
        <f t="shared" si="20"/>
        <v>305175770</v>
      </c>
      <c r="CJ144" s="63">
        <f t="shared" si="21"/>
        <v>474464057</v>
      </c>
      <c r="CK144" s="64">
        <f t="shared" si="22"/>
        <v>0</v>
      </c>
      <c r="CL144" s="16"/>
      <c r="CM144" s="16"/>
      <c r="CN144" s="16"/>
    </row>
    <row r="145" spans="1:96" ht="15" customHeight="1" x14ac:dyDescent="0.2">
      <c r="A145" s="1">
        <v>8915008645</v>
      </c>
      <c r="B145" s="1">
        <v>891500864</v>
      </c>
      <c r="C145" s="9">
        <v>213019130</v>
      </c>
      <c r="D145" s="10" t="s">
        <v>378</v>
      </c>
      <c r="E145" s="45" t="s">
        <v>1410</v>
      </c>
      <c r="F145" s="21"/>
      <c r="G145" s="59"/>
      <c r="H145" s="21"/>
      <c r="I145" s="59"/>
      <c r="J145" s="21"/>
      <c r="K145" s="21"/>
      <c r="L145" s="59"/>
      <c r="M145" s="60"/>
      <c r="N145" s="21"/>
      <c r="O145" s="59"/>
      <c r="P145" s="21"/>
      <c r="Q145" s="59"/>
      <c r="R145" s="21"/>
      <c r="S145" s="21"/>
      <c r="T145" s="59"/>
      <c r="U145" s="60">
        <f t="shared" si="17"/>
        <v>0</v>
      </c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>
        <v>390596232</v>
      </c>
      <c r="AN145" s="60">
        <f>SUBTOTAL(9,AC145:AM145)</f>
        <v>390596232</v>
      </c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>
        <v>335963795</v>
      </c>
      <c r="AZ145" s="60"/>
      <c r="BA145" s="60">
        <f>VLOOKUP(B145,[2]Hoja3!J$3:K$674,2,0)</f>
        <v>95250546</v>
      </c>
      <c r="BB145" s="60"/>
      <c r="BC145" s="61">
        <f t="shared" si="18"/>
        <v>821810573</v>
      </c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>
        <v>67192759</v>
      </c>
      <c r="BO145" s="60"/>
      <c r="BP145" s="61">
        <v>889003332</v>
      </c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>
        <v>67192759</v>
      </c>
      <c r="CD145" s="61"/>
      <c r="CE145" s="61"/>
      <c r="CF145" s="61"/>
      <c r="CG145" s="61">
        <f t="shared" si="19"/>
        <v>956196091</v>
      </c>
      <c r="CH145" s="62">
        <f>VLOOKUP(B145,[1]RPTNCT049_ConsultaSaldosContabl!I$4:K$7987,3,0)</f>
        <v>470349313</v>
      </c>
      <c r="CI145" s="62">
        <f t="shared" si="20"/>
        <v>485846778</v>
      </c>
      <c r="CJ145" s="63">
        <f t="shared" si="21"/>
        <v>956196091</v>
      </c>
      <c r="CK145" s="64">
        <f t="shared" si="22"/>
        <v>0</v>
      </c>
      <c r="CL145" s="16"/>
      <c r="CM145" s="16"/>
      <c r="CN145" s="16"/>
    </row>
    <row r="146" spans="1:96" ht="15" customHeight="1" x14ac:dyDescent="0.2">
      <c r="A146" s="1">
        <v>8999994650</v>
      </c>
      <c r="B146" s="1">
        <v>899999465</v>
      </c>
      <c r="C146" s="9">
        <v>212625126</v>
      </c>
      <c r="D146" s="10" t="s">
        <v>470</v>
      </c>
      <c r="E146" s="45" t="s">
        <v>2100</v>
      </c>
      <c r="F146" s="21"/>
      <c r="G146" s="59"/>
      <c r="H146" s="21"/>
      <c r="I146" s="59"/>
      <c r="J146" s="21"/>
      <c r="K146" s="21"/>
      <c r="L146" s="59"/>
      <c r="M146" s="60"/>
      <c r="N146" s="21"/>
      <c r="O146" s="59"/>
      <c r="P146" s="21"/>
      <c r="Q146" s="59"/>
      <c r="R146" s="21"/>
      <c r="S146" s="21"/>
      <c r="T146" s="59"/>
      <c r="U146" s="60">
        <f t="shared" si="17"/>
        <v>0</v>
      </c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>
        <v>729941917</v>
      </c>
      <c r="AN146" s="60">
        <f>SUBTOTAL(9,AC146:AM146)</f>
        <v>729941917</v>
      </c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>
        <v>250492780</v>
      </c>
      <c r="AZ146" s="60"/>
      <c r="BA146" s="60"/>
      <c r="BB146" s="60"/>
      <c r="BC146" s="61">
        <f t="shared" si="18"/>
        <v>980434697</v>
      </c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>
        <v>50098556</v>
      </c>
      <c r="BO146" s="60"/>
      <c r="BP146" s="61">
        <v>1030533253</v>
      </c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>
        <v>50098556</v>
      </c>
      <c r="CD146" s="61"/>
      <c r="CE146" s="61"/>
      <c r="CF146" s="61"/>
      <c r="CG146" s="61">
        <f t="shared" si="19"/>
        <v>1080631809</v>
      </c>
      <c r="CH146" s="62">
        <f>VLOOKUP(B146,[1]RPTNCT049_ConsultaSaldosContabl!I$4:K$7987,3,0)</f>
        <v>350689892</v>
      </c>
      <c r="CI146" s="62">
        <f t="shared" si="20"/>
        <v>729941917</v>
      </c>
      <c r="CJ146" s="63">
        <f t="shared" si="21"/>
        <v>1080631809</v>
      </c>
      <c r="CK146" s="64">
        <f t="shared" si="22"/>
        <v>0</v>
      </c>
      <c r="CL146" s="16"/>
      <c r="CM146" s="16"/>
      <c r="CN146" s="16"/>
    </row>
    <row r="147" spans="1:96" ht="15" customHeight="1" x14ac:dyDescent="0.2">
      <c r="A147" s="1">
        <v>8904813623</v>
      </c>
      <c r="B147" s="1">
        <v>890481362</v>
      </c>
      <c r="C147" s="9">
        <v>214013140</v>
      </c>
      <c r="D147" s="10" t="s">
        <v>186</v>
      </c>
      <c r="E147" s="45" t="s">
        <v>1216</v>
      </c>
      <c r="F147" s="21"/>
      <c r="G147" s="59"/>
      <c r="H147" s="21"/>
      <c r="I147" s="59"/>
      <c r="J147" s="21"/>
      <c r="K147" s="21"/>
      <c r="L147" s="59"/>
      <c r="M147" s="60"/>
      <c r="N147" s="21"/>
      <c r="O147" s="59"/>
      <c r="P147" s="21"/>
      <c r="Q147" s="59"/>
      <c r="R147" s="21"/>
      <c r="S147" s="21"/>
      <c r="T147" s="59"/>
      <c r="U147" s="60">
        <f t="shared" si="17"/>
        <v>0</v>
      </c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>
        <v>289833335</v>
      </c>
      <c r="AZ147" s="60"/>
      <c r="BA147" s="60">
        <f>VLOOKUP(B147,[2]Hoja3!J$3:K$674,2,0)</f>
        <v>448342459</v>
      </c>
      <c r="BB147" s="60"/>
      <c r="BC147" s="61">
        <f t="shared" si="18"/>
        <v>738175794</v>
      </c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>
        <v>57966667</v>
      </c>
      <c r="BO147" s="60"/>
      <c r="BP147" s="61">
        <v>796142461</v>
      </c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>
        <v>57966667</v>
      </c>
      <c r="CD147" s="61"/>
      <c r="CE147" s="61"/>
      <c r="CF147" s="61"/>
      <c r="CG147" s="61">
        <f t="shared" si="19"/>
        <v>854109128</v>
      </c>
      <c r="CH147" s="62">
        <f>VLOOKUP(B147,[1]RPTNCT049_ConsultaSaldosContabl!I$4:K$7987,3,0)</f>
        <v>405766669</v>
      </c>
      <c r="CI147" s="62">
        <f t="shared" si="20"/>
        <v>448342459</v>
      </c>
      <c r="CJ147" s="63">
        <f t="shared" si="21"/>
        <v>854109128</v>
      </c>
      <c r="CK147" s="64">
        <f t="shared" si="22"/>
        <v>0</v>
      </c>
      <c r="CL147" s="16"/>
      <c r="CM147" s="16"/>
      <c r="CN147" s="16"/>
    </row>
    <row r="148" spans="1:96" ht="15" customHeight="1" x14ac:dyDescent="0.2">
      <c r="A148" s="1">
        <v>8001914311</v>
      </c>
      <c r="B148" s="1">
        <v>800191431</v>
      </c>
      <c r="C148" s="9">
        <v>211595015</v>
      </c>
      <c r="D148" s="10" t="s">
        <v>991</v>
      </c>
      <c r="E148" s="45" t="s">
        <v>2048</v>
      </c>
      <c r="F148" s="21"/>
      <c r="G148" s="59"/>
      <c r="H148" s="21"/>
      <c r="I148" s="59"/>
      <c r="J148" s="21"/>
      <c r="K148" s="21"/>
      <c r="L148" s="59"/>
      <c r="M148" s="60"/>
      <c r="N148" s="21"/>
      <c r="O148" s="59"/>
      <c r="P148" s="21"/>
      <c r="Q148" s="59"/>
      <c r="R148" s="21"/>
      <c r="S148" s="21"/>
      <c r="T148" s="59"/>
      <c r="U148" s="60">
        <f t="shared" si="17"/>
        <v>0</v>
      </c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>
        <v>97457809</v>
      </c>
      <c r="AN148" s="60">
        <f t="shared" ref="AN148:AN154" si="24">SUBTOTAL(9,AC148:AM148)</f>
        <v>97457809</v>
      </c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1">
        <f t="shared" si="18"/>
        <v>97457809</v>
      </c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>
        <v>0</v>
      </c>
      <c r="BO148" s="60"/>
      <c r="BP148" s="61">
        <v>97457809</v>
      </c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>
        <v>0</v>
      </c>
      <c r="CD148" s="61"/>
      <c r="CE148" s="61"/>
      <c r="CF148" s="61"/>
      <c r="CG148" s="61">
        <f t="shared" si="19"/>
        <v>97457809</v>
      </c>
      <c r="CH148" s="62"/>
      <c r="CI148" s="62">
        <f t="shared" si="20"/>
        <v>97457809</v>
      </c>
      <c r="CJ148" s="63">
        <f t="shared" si="21"/>
        <v>97457809</v>
      </c>
      <c r="CK148" s="64">
        <f t="shared" si="22"/>
        <v>0</v>
      </c>
      <c r="CL148" s="16"/>
      <c r="CM148" s="16"/>
      <c r="CN148" s="8"/>
      <c r="CO148" s="8"/>
      <c r="CP148" s="8"/>
      <c r="CQ148" s="8"/>
      <c r="CR148" s="8"/>
    </row>
    <row r="149" spans="1:96" ht="15" customHeight="1" x14ac:dyDescent="0.2">
      <c r="A149" s="1">
        <v>8900004414</v>
      </c>
      <c r="B149" s="1">
        <v>890000441</v>
      </c>
      <c r="C149" s="9">
        <v>213063130</v>
      </c>
      <c r="D149" s="10" t="s">
        <v>790</v>
      </c>
      <c r="E149" s="45" t="s">
        <v>1807</v>
      </c>
      <c r="F149" s="21"/>
      <c r="G149" s="59"/>
      <c r="H149" s="21"/>
      <c r="I149" s="59"/>
      <c r="J149" s="21"/>
      <c r="K149" s="21"/>
      <c r="L149" s="59"/>
      <c r="M149" s="60"/>
      <c r="N149" s="21"/>
      <c r="O149" s="59"/>
      <c r="P149" s="21"/>
      <c r="Q149" s="59"/>
      <c r="R149" s="21"/>
      <c r="S149" s="21"/>
      <c r="T149" s="59"/>
      <c r="U149" s="60">
        <f t="shared" si="17"/>
        <v>0</v>
      </c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>
        <v>750902508</v>
      </c>
      <c r="AN149" s="60">
        <f t="shared" si="24"/>
        <v>750902508</v>
      </c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>
        <v>478330090</v>
      </c>
      <c r="AZ149" s="60"/>
      <c r="BA149" s="60">
        <f>VLOOKUP(B149,[2]Hoja3!J$3:K$674,2,0)</f>
        <v>170742574</v>
      </c>
      <c r="BB149" s="60"/>
      <c r="BC149" s="61">
        <f t="shared" si="18"/>
        <v>1399975172</v>
      </c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>
        <v>95666018</v>
      </c>
      <c r="BO149" s="60"/>
      <c r="BP149" s="61">
        <v>1495641190</v>
      </c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>
        <v>95666018</v>
      </c>
      <c r="CD149" s="61"/>
      <c r="CE149" s="61"/>
      <c r="CF149" s="61"/>
      <c r="CG149" s="61">
        <f t="shared" si="19"/>
        <v>1591307208</v>
      </c>
      <c r="CH149" s="62">
        <f>VLOOKUP(B149,[1]RPTNCT049_ConsultaSaldosContabl!I$4:K$7987,3,0)</f>
        <v>669662126</v>
      </c>
      <c r="CI149" s="62">
        <f t="shared" si="20"/>
        <v>921645082</v>
      </c>
      <c r="CJ149" s="63">
        <f t="shared" si="21"/>
        <v>1591307208</v>
      </c>
      <c r="CK149" s="64">
        <f t="shared" si="22"/>
        <v>0</v>
      </c>
      <c r="CL149" s="16"/>
      <c r="CM149" s="16"/>
      <c r="CN149" s="16"/>
    </row>
    <row r="150" spans="1:96" ht="15" customHeight="1" x14ac:dyDescent="0.2">
      <c r="A150" s="1">
        <v>8909804471</v>
      </c>
      <c r="B150" s="1">
        <v>890980447</v>
      </c>
      <c r="C150" s="9">
        <v>212905129</v>
      </c>
      <c r="D150" s="10" t="s">
        <v>67</v>
      </c>
      <c r="E150" s="45" t="s">
        <v>1098</v>
      </c>
      <c r="F150" s="21"/>
      <c r="G150" s="59"/>
      <c r="H150" s="21"/>
      <c r="I150" s="59"/>
      <c r="J150" s="21"/>
      <c r="K150" s="21"/>
      <c r="L150" s="59"/>
      <c r="M150" s="60"/>
      <c r="N150" s="21"/>
      <c r="O150" s="59"/>
      <c r="P150" s="21"/>
      <c r="Q150" s="59"/>
      <c r="R150" s="21"/>
      <c r="S150" s="21"/>
      <c r="T150" s="59"/>
      <c r="U150" s="60">
        <f t="shared" si="17"/>
        <v>0</v>
      </c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>
        <v>299657319</v>
      </c>
      <c r="AN150" s="60">
        <f t="shared" si="24"/>
        <v>299657319</v>
      </c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>
        <f>VLOOKUP(B150,[2]Hoja3!J$3:K$674,2,0)</f>
        <v>471966572</v>
      </c>
      <c r="BB150" s="60"/>
      <c r="BC150" s="61">
        <f t="shared" si="18"/>
        <v>771623891</v>
      </c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>
        <v>0</v>
      </c>
      <c r="BO150" s="60"/>
      <c r="BP150" s="61">
        <v>771623891</v>
      </c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>
        <v>0</v>
      </c>
      <c r="CD150" s="61"/>
      <c r="CE150" s="61"/>
      <c r="CF150" s="61"/>
      <c r="CG150" s="61">
        <f t="shared" si="19"/>
        <v>771623891</v>
      </c>
      <c r="CH150" s="62"/>
      <c r="CI150" s="62">
        <f t="shared" si="20"/>
        <v>771623891</v>
      </c>
      <c r="CJ150" s="63">
        <f t="shared" si="21"/>
        <v>771623891</v>
      </c>
      <c r="CK150" s="64">
        <f t="shared" si="22"/>
        <v>0</v>
      </c>
      <c r="CL150" s="16"/>
      <c r="CM150" s="16"/>
      <c r="CN150" s="16"/>
    </row>
    <row r="151" spans="1:96" ht="15" customHeight="1" x14ac:dyDescent="0.2">
      <c r="A151" s="1">
        <v>8918017964</v>
      </c>
      <c r="B151" s="1">
        <v>891801796</v>
      </c>
      <c r="C151" s="9">
        <v>213115131</v>
      </c>
      <c r="D151" s="10" t="s">
        <v>228</v>
      </c>
      <c r="E151" s="45" t="s">
        <v>1264</v>
      </c>
      <c r="F151" s="21"/>
      <c r="G151" s="59"/>
      <c r="H151" s="21"/>
      <c r="I151" s="59"/>
      <c r="J151" s="21"/>
      <c r="K151" s="21"/>
      <c r="L151" s="59"/>
      <c r="M151" s="60"/>
      <c r="N151" s="21"/>
      <c r="O151" s="59"/>
      <c r="P151" s="21"/>
      <c r="Q151" s="59"/>
      <c r="R151" s="21"/>
      <c r="S151" s="21"/>
      <c r="T151" s="59"/>
      <c r="U151" s="60">
        <f t="shared" si="17"/>
        <v>0</v>
      </c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>
        <v>24718604</v>
      </c>
      <c r="AN151" s="60">
        <f t="shared" si="24"/>
        <v>24718604</v>
      </c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>
        <v>25526775</v>
      </c>
      <c r="AZ151" s="60"/>
      <c r="BA151" s="60">
        <f>VLOOKUP(B151,[2]Hoja3!J$3:K$674,2,0)</f>
        <v>24245043</v>
      </c>
      <c r="BB151" s="60"/>
      <c r="BC151" s="61">
        <f t="shared" si="18"/>
        <v>74490422</v>
      </c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>
        <v>5105355</v>
      </c>
      <c r="BO151" s="60"/>
      <c r="BP151" s="61">
        <v>79595777</v>
      </c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>
        <v>5105355</v>
      </c>
      <c r="CD151" s="61"/>
      <c r="CE151" s="61"/>
      <c r="CF151" s="61"/>
      <c r="CG151" s="61">
        <f t="shared" si="19"/>
        <v>84701132</v>
      </c>
      <c r="CH151" s="62">
        <f>VLOOKUP(B151,[1]RPTNCT049_ConsultaSaldosContabl!I$4:K$7987,3,0)</f>
        <v>35737485</v>
      </c>
      <c r="CI151" s="62">
        <f t="shared" si="20"/>
        <v>48963647</v>
      </c>
      <c r="CJ151" s="63">
        <f t="shared" si="21"/>
        <v>84701132</v>
      </c>
      <c r="CK151" s="64">
        <f t="shared" si="22"/>
        <v>0</v>
      </c>
      <c r="CL151" s="16"/>
      <c r="CM151" s="16"/>
      <c r="CN151" s="8"/>
      <c r="CO151" s="8"/>
      <c r="CP151" s="8"/>
      <c r="CQ151" s="8"/>
      <c r="CR151" s="8"/>
    </row>
    <row r="152" spans="1:96" ht="15" customHeight="1" x14ac:dyDescent="0.2">
      <c r="A152" s="1">
        <v>8915017231</v>
      </c>
      <c r="B152" s="1">
        <v>891501723</v>
      </c>
      <c r="C152" s="9">
        <v>213719137</v>
      </c>
      <c r="D152" s="10" t="s">
        <v>379</v>
      </c>
      <c r="E152" s="45" t="s">
        <v>1411</v>
      </c>
      <c r="F152" s="21"/>
      <c r="G152" s="59"/>
      <c r="H152" s="21"/>
      <c r="I152" s="59"/>
      <c r="J152" s="21"/>
      <c r="K152" s="21"/>
      <c r="L152" s="59"/>
      <c r="M152" s="60"/>
      <c r="N152" s="21"/>
      <c r="O152" s="59"/>
      <c r="P152" s="21"/>
      <c r="Q152" s="59"/>
      <c r="R152" s="21"/>
      <c r="S152" s="21"/>
      <c r="T152" s="59"/>
      <c r="U152" s="60">
        <f t="shared" si="17"/>
        <v>0</v>
      </c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>
        <v>100481033</v>
      </c>
      <c r="AN152" s="60">
        <f t="shared" si="24"/>
        <v>100481033</v>
      </c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>
        <f>VLOOKUP(B152,[2]Hoja3!J$3:K$674,2,0)</f>
        <v>226219772</v>
      </c>
      <c r="BB152" s="60"/>
      <c r="BC152" s="61">
        <f t="shared" si="18"/>
        <v>326700805</v>
      </c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>
        <v>0</v>
      </c>
      <c r="BO152" s="60"/>
      <c r="BP152" s="61">
        <v>326700805</v>
      </c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>
        <v>0</v>
      </c>
      <c r="CD152" s="61"/>
      <c r="CE152" s="61"/>
      <c r="CF152" s="61"/>
      <c r="CG152" s="61">
        <f t="shared" si="19"/>
        <v>326700805</v>
      </c>
      <c r="CH152" s="62"/>
      <c r="CI152" s="62">
        <f t="shared" si="20"/>
        <v>326700805</v>
      </c>
      <c r="CJ152" s="63">
        <f t="shared" si="21"/>
        <v>326700805</v>
      </c>
      <c r="CK152" s="64">
        <f t="shared" si="22"/>
        <v>0</v>
      </c>
      <c r="CL152" s="16"/>
      <c r="CM152" s="16"/>
      <c r="CN152" s="16"/>
    </row>
    <row r="153" spans="1:96" ht="15" customHeight="1" x14ac:dyDescent="0.2">
      <c r="A153" s="1">
        <v>8903990113</v>
      </c>
      <c r="B153" s="1">
        <v>890399011</v>
      </c>
      <c r="C153" s="9">
        <v>210176001</v>
      </c>
      <c r="D153" s="10" t="s">
        <v>2148</v>
      </c>
      <c r="E153" s="49" t="s">
        <v>2258</v>
      </c>
      <c r="F153" s="21"/>
      <c r="G153" s="59"/>
      <c r="H153" s="21"/>
      <c r="I153" s="59">
        <f>24564113568+469702187</f>
        <v>25033815755</v>
      </c>
      <c r="J153" s="21">
        <v>1627504974</v>
      </c>
      <c r="K153" s="21">
        <v>3236497477</v>
      </c>
      <c r="L153" s="59"/>
      <c r="M153" s="61">
        <f>SUM(F153:L153)</f>
        <v>29897818206</v>
      </c>
      <c r="N153" s="21"/>
      <c r="O153" s="59"/>
      <c r="P153" s="21"/>
      <c r="Q153" s="59">
        <f>23723928665+28371563449</f>
        <v>52095492114</v>
      </c>
      <c r="R153" s="21">
        <v>1627504974</v>
      </c>
      <c r="S153" s="21">
        <f>1608992503+1627504974</f>
        <v>3236497477</v>
      </c>
      <c r="T153" s="59"/>
      <c r="U153" s="60">
        <f t="shared" si="17"/>
        <v>86857312771</v>
      </c>
      <c r="V153" s="60"/>
      <c r="W153" s="60"/>
      <c r="X153" s="60"/>
      <c r="Y153" s="60">
        <v>53016883049</v>
      </c>
      <c r="Z153" s="60">
        <v>1455878663</v>
      </c>
      <c r="AA153" s="60">
        <v>3461975791</v>
      </c>
      <c r="AB153" s="60"/>
      <c r="AC153" s="60">
        <f t="shared" ref="AC132:AC195" si="25">SUM(U153:AB153)</f>
        <v>144792050274</v>
      </c>
      <c r="AD153" s="60"/>
      <c r="AE153" s="60"/>
      <c r="AF153" s="60"/>
      <c r="AG153" s="60"/>
      <c r="AH153" s="60">
        <v>26127432540</v>
      </c>
      <c r="AI153" s="60">
        <v>2471634286</v>
      </c>
      <c r="AJ153" s="60">
        <v>1651295015</v>
      </c>
      <c r="AK153" s="60">
        <v>4161663703</v>
      </c>
      <c r="AL153" s="60"/>
      <c r="AM153" s="60">
        <v>12011171933</v>
      </c>
      <c r="AN153" s="60">
        <f t="shared" si="24"/>
        <v>191215247751</v>
      </c>
      <c r="AO153" s="60"/>
      <c r="AP153" s="60"/>
      <c r="AQ153" s="60">
        <v>4038989965</v>
      </c>
      <c r="AR153" s="60"/>
      <c r="AS153" s="60"/>
      <c r="AT153" s="60">
        <v>24627432540</v>
      </c>
      <c r="AU153" s="60"/>
      <c r="AV153" s="60">
        <v>1651295015</v>
      </c>
      <c r="AW153" s="60">
        <v>2819187669</v>
      </c>
      <c r="AX153" s="60"/>
      <c r="AY153" s="60"/>
      <c r="AZ153" s="60">
        <v>8180635250</v>
      </c>
      <c r="BA153" s="60"/>
      <c r="BB153" s="60">
        <f>VLOOKUP(B153,'[3]anuladas en mayo gratuidad}'!K$2:L$55,2,0)</f>
        <v>171408432</v>
      </c>
      <c r="BC153" s="61">
        <f t="shared" si="18"/>
        <v>232361379758</v>
      </c>
      <c r="BD153" s="60"/>
      <c r="BE153" s="60"/>
      <c r="BF153" s="60">
        <v>807797993</v>
      </c>
      <c r="BG153" s="60"/>
      <c r="BH153" s="60"/>
      <c r="BI153" s="60">
        <v>24456941051</v>
      </c>
      <c r="BJ153" s="60">
        <v>924185286</v>
      </c>
      <c r="BK153" s="60">
        <v>1462717336</v>
      </c>
      <c r="BL153" s="60">
        <v>3086941544</v>
      </c>
      <c r="BM153" s="60"/>
      <c r="BN153" s="60"/>
      <c r="BO153" s="60"/>
      <c r="BP153" s="61">
        <v>263099962968</v>
      </c>
      <c r="BQ153" s="61"/>
      <c r="BR153" s="61"/>
      <c r="BS153" s="61">
        <v>807797993</v>
      </c>
      <c r="BT153" s="61"/>
      <c r="BU153" s="61"/>
      <c r="BV153" s="61"/>
      <c r="BW153" s="61">
        <v>24272612722</v>
      </c>
      <c r="BX153" s="61"/>
      <c r="BY153" s="61">
        <v>11028228041</v>
      </c>
      <c r="BZ153" s="61">
        <v>1623840772</v>
      </c>
      <c r="CA153" s="61">
        <v>4219163731</v>
      </c>
      <c r="CB153" s="61"/>
      <c r="CC153" s="61"/>
      <c r="CD153" s="61"/>
      <c r="CE153" s="61">
        <v>171408432</v>
      </c>
      <c r="CF153" s="61"/>
      <c r="CG153" s="61">
        <f t="shared" si="19"/>
        <v>305223014659</v>
      </c>
      <c r="CH153" s="62">
        <f>VLOOKUP(B153,[1]RPTNCT049_ConsultaSaldosContabl!I$4:K$7987,3,0)</f>
        <v>293211842726</v>
      </c>
      <c r="CI153" s="62">
        <f t="shared" si="20"/>
        <v>12011171933</v>
      </c>
      <c r="CJ153" s="63">
        <f t="shared" si="21"/>
        <v>305223014659</v>
      </c>
      <c r="CK153" s="64">
        <f t="shared" si="22"/>
        <v>0</v>
      </c>
      <c r="CL153" s="16"/>
      <c r="CM153" s="16"/>
      <c r="CN153" s="16"/>
    </row>
    <row r="154" spans="1:96" ht="15" customHeight="1" x14ac:dyDescent="0.2">
      <c r="A154" s="1">
        <v>8902109677</v>
      </c>
      <c r="B154" s="1">
        <v>890210967</v>
      </c>
      <c r="C154" s="9">
        <v>213268132</v>
      </c>
      <c r="D154" s="10" t="s">
        <v>820</v>
      </c>
      <c r="E154" s="45" t="s">
        <v>1837</v>
      </c>
      <c r="F154" s="21"/>
      <c r="G154" s="59"/>
      <c r="H154" s="21"/>
      <c r="I154" s="59"/>
      <c r="J154" s="21"/>
      <c r="K154" s="21"/>
      <c r="L154" s="59"/>
      <c r="M154" s="60"/>
      <c r="N154" s="21"/>
      <c r="O154" s="59"/>
      <c r="P154" s="21"/>
      <c r="Q154" s="59"/>
      <c r="R154" s="21"/>
      <c r="S154" s="21"/>
      <c r="T154" s="59"/>
      <c r="U154" s="60">
        <f t="shared" si="17"/>
        <v>0</v>
      </c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>
        <v>22708531</v>
      </c>
      <c r="AN154" s="60">
        <f t="shared" si="24"/>
        <v>22708531</v>
      </c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1">
        <f t="shared" si="18"/>
        <v>22708531</v>
      </c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>
        <v>0</v>
      </c>
      <c r="BO154" s="60"/>
      <c r="BP154" s="61">
        <v>22708531</v>
      </c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>
        <v>0</v>
      </c>
      <c r="CD154" s="61"/>
      <c r="CE154" s="61"/>
      <c r="CF154" s="61"/>
      <c r="CG154" s="61">
        <f t="shared" si="19"/>
        <v>22708531</v>
      </c>
      <c r="CH154" s="62"/>
      <c r="CI154" s="62">
        <f t="shared" si="20"/>
        <v>22708531</v>
      </c>
      <c r="CJ154" s="63">
        <f t="shared" si="21"/>
        <v>22708531</v>
      </c>
      <c r="CK154" s="64">
        <f t="shared" si="22"/>
        <v>0</v>
      </c>
      <c r="CL154" s="16"/>
      <c r="CM154" s="16"/>
      <c r="CN154" s="16"/>
    </row>
    <row r="155" spans="1:96" ht="15" customHeight="1" x14ac:dyDescent="0.2">
      <c r="A155" s="1">
        <v>8903096118</v>
      </c>
      <c r="B155" s="1">
        <v>890309611</v>
      </c>
      <c r="C155" s="9">
        <v>212676126</v>
      </c>
      <c r="D155" s="10" t="s">
        <v>919</v>
      </c>
      <c r="E155" s="45" t="s">
        <v>1980</v>
      </c>
      <c r="F155" s="21"/>
      <c r="G155" s="59"/>
      <c r="H155" s="21"/>
      <c r="I155" s="59"/>
      <c r="J155" s="21"/>
      <c r="K155" s="21"/>
      <c r="L155" s="59"/>
      <c r="M155" s="60"/>
      <c r="N155" s="21"/>
      <c r="O155" s="59"/>
      <c r="P155" s="21"/>
      <c r="Q155" s="59"/>
      <c r="R155" s="21"/>
      <c r="S155" s="21"/>
      <c r="T155" s="59"/>
      <c r="U155" s="60">
        <f t="shared" si="17"/>
        <v>0</v>
      </c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>
        <f>VLOOKUP(B155,[2]Hoja3!J$3:K$674,2,0)</f>
        <v>223741001</v>
      </c>
      <c r="BB155" s="60"/>
      <c r="BC155" s="61">
        <f t="shared" si="18"/>
        <v>223741001</v>
      </c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>
        <v>0</v>
      </c>
      <c r="BO155" s="60"/>
      <c r="BP155" s="61">
        <v>223741001</v>
      </c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>
        <v>0</v>
      </c>
      <c r="CD155" s="61"/>
      <c r="CE155" s="61"/>
      <c r="CF155" s="61"/>
      <c r="CG155" s="61">
        <f t="shared" si="19"/>
        <v>223741001</v>
      </c>
      <c r="CH155" s="62"/>
      <c r="CI155" s="62">
        <f t="shared" si="20"/>
        <v>223741001</v>
      </c>
      <c r="CJ155" s="63">
        <f t="shared" si="21"/>
        <v>223741001</v>
      </c>
      <c r="CK155" s="64">
        <f t="shared" si="22"/>
        <v>0</v>
      </c>
      <c r="CL155" s="16"/>
      <c r="CM155" s="16"/>
      <c r="CN155" s="16"/>
    </row>
    <row r="156" spans="1:96" ht="15" customHeight="1" x14ac:dyDescent="0.2">
      <c r="A156" s="1">
        <v>8915012927</v>
      </c>
      <c r="B156" s="1">
        <v>891501292</v>
      </c>
      <c r="C156" s="9">
        <v>214219142</v>
      </c>
      <c r="D156" s="10" t="s">
        <v>380</v>
      </c>
      <c r="E156" s="45" t="s">
        <v>1412</v>
      </c>
      <c r="F156" s="21"/>
      <c r="G156" s="59"/>
      <c r="H156" s="21"/>
      <c r="I156" s="59"/>
      <c r="J156" s="21"/>
      <c r="K156" s="21"/>
      <c r="L156" s="59"/>
      <c r="M156" s="60"/>
      <c r="N156" s="21"/>
      <c r="O156" s="59"/>
      <c r="P156" s="21"/>
      <c r="Q156" s="59"/>
      <c r="R156" s="21"/>
      <c r="S156" s="21"/>
      <c r="T156" s="59"/>
      <c r="U156" s="60">
        <f t="shared" si="17"/>
        <v>0</v>
      </c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>
        <f>VLOOKUP(B156,[2]Hoja3!J$3:K$674,2,0)</f>
        <v>367219037</v>
      </c>
      <c r="BB156" s="60"/>
      <c r="BC156" s="61">
        <f t="shared" si="18"/>
        <v>367219037</v>
      </c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>
        <v>0</v>
      </c>
      <c r="BO156" s="60"/>
      <c r="BP156" s="61">
        <v>367219037</v>
      </c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>
        <v>0</v>
      </c>
      <c r="CD156" s="61"/>
      <c r="CE156" s="61"/>
      <c r="CF156" s="61"/>
      <c r="CG156" s="61">
        <f t="shared" si="19"/>
        <v>367219037</v>
      </c>
      <c r="CH156" s="62"/>
      <c r="CI156" s="62">
        <f t="shared" si="20"/>
        <v>367219037</v>
      </c>
      <c r="CJ156" s="63">
        <f t="shared" si="21"/>
        <v>367219037</v>
      </c>
      <c r="CK156" s="64">
        <f t="shared" si="22"/>
        <v>0</v>
      </c>
      <c r="CL156" s="16"/>
      <c r="CM156" s="16"/>
      <c r="CN156" s="16"/>
    </row>
    <row r="157" spans="1:96" ht="15" customHeight="1" x14ac:dyDescent="0.2">
      <c r="A157" s="1">
        <v>8909821476</v>
      </c>
      <c r="B157" s="1">
        <v>890982147</v>
      </c>
      <c r="C157" s="9">
        <v>213405134</v>
      </c>
      <c r="D157" s="10" t="s">
        <v>68</v>
      </c>
      <c r="E157" s="45" t="s">
        <v>1099</v>
      </c>
      <c r="F157" s="21"/>
      <c r="G157" s="59"/>
      <c r="H157" s="21"/>
      <c r="I157" s="59"/>
      <c r="J157" s="21"/>
      <c r="K157" s="21"/>
      <c r="L157" s="59"/>
      <c r="M157" s="60"/>
      <c r="N157" s="21"/>
      <c r="O157" s="59"/>
      <c r="P157" s="21"/>
      <c r="Q157" s="59"/>
      <c r="R157" s="21"/>
      <c r="S157" s="21"/>
      <c r="T157" s="59"/>
      <c r="U157" s="60">
        <f t="shared" si="17"/>
        <v>0</v>
      </c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>
        <v>106404650</v>
      </c>
      <c r="AZ157" s="60"/>
      <c r="BA157" s="60">
        <f>VLOOKUP(B157,[2]Hoja3!J$3:K$674,2,0)</f>
        <v>129878524</v>
      </c>
      <c r="BB157" s="60"/>
      <c r="BC157" s="61">
        <f t="shared" si="18"/>
        <v>236283174</v>
      </c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>
        <v>21280930</v>
      </c>
      <c r="BO157" s="60"/>
      <c r="BP157" s="61">
        <v>257564104</v>
      </c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>
        <v>21280930</v>
      </c>
      <c r="CD157" s="61"/>
      <c r="CE157" s="61"/>
      <c r="CF157" s="61"/>
      <c r="CG157" s="61">
        <f t="shared" si="19"/>
        <v>278845034</v>
      </c>
      <c r="CH157" s="62">
        <f>VLOOKUP(B157,[1]RPTNCT049_ConsultaSaldosContabl!I$4:K$7987,3,0)</f>
        <v>148966510</v>
      </c>
      <c r="CI157" s="62">
        <f t="shared" si="20"/>
        <v>129878524</v>
      </c>
      <c r="CJ157" s="63">
        <f t="shared" si="21"/>
        <v>278845034</v>
      </c>
      <c r="CK157" s="64">
        <f t="shared" si="22"/>
        <v>0</v>
      </c>
      <c r="CL157" s="16"/>
      <c r="CM157" s="16"/>
      <c r="CN157" s="16"/>
    </row>
    <row r="158" spans="1:96" ht="15" customHeight="1" x14ac:dyDescent="0.2">
      <c r="A158" s="1">
        <v>8000944624</v>
      </c>
      <c r="B158" s="1">
        <v>800094462</v>
      </c>
      <c r="C158" s="9">
        <v>213708137</v>
      </c>
      <c r="D158" s="10" t="s">
        <v>162</v>
      </c>
      <c r="E158" s="45" t="s">
        <v>1190</v>
      </c>
      <c r="F158" s="21"/>
      <c r="G158" s="59"/>
      <c r="H158" s="21"/>
      <c r="I158" s="59"/>
      <c r="J158" s="21"/>
      <c r="K158" s="21"/>
      <c r="L158" s="59"/>
      <c r="M158" s="60"/>
      <c r="N158" s="21"/>
      <c r="O158" s="59"/>
      <c r="P158" s="21"/>
      <c r="Q158" s="59"/>
      <c r="R158" s="21"/>
      <c r="S158" s="21"/>
      <c r="T158" s="59"/>
      <c r="U158" s="60">
        <f t="shared" si="17"/>
        <v>0</v>
      </c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>
        <v>230848555</v>
      </c>
      <c r="AZ158" s="60"/>
      <c r="BA158" s="60">
        <f>VLOOKUP(B158,[2]Hoja3!J$3:K$674,2,0)</f>
        <v>409990608</v>
      </c>
      <c r="BB158" s="60"/>
      <c r="BC158" s="61">
        <f t="shared" si="18"/>
        <v>640839163</v>
      </c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>
        <v>46169711</v>
      </c>
      <c r="BO158" s="60"/>
      <c r="BP158" s="61">
        <v>687008874</v>
      </c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>
        <v>46169711</v>
      </c>
      <c r="CD158" s="61"/>
      <c r="CE158" s="61"/>
      <c r="CF158" s="61"/>
      <c r="CG158" s="61">
        <f t="shared" si="19"/>
        <v>733178585</v>
      </c>
      <c r="CH158" s="62">
        <f>VLOOKUP(B158,[1]RPTNCT049_ConsultaSaldosContabl!I$4:K$7987,3,0)</f>
        <v>323187977</v>
      </c>
      <c r="CI158" s="62">
        <f t="shared" si="20"/>
        <v>409990608</v>
      </c>
      <c r="CJ158" s="63">
        <f t="shared" si="21"/>
        <v>733178585</v>
      </c>
      <c r="CK158" s="64">
        <f t="shared" si="22"/>
        <v>0</v>
      </c>
      <c r="CL158" s="16"/>
      <c r="CM158" s="16"/>
      <c r="CN158" s="16"/>
    </row>
    <row r="159" spans="1:96" ht="15" customHeight="1" x14ac:dyDescent="0.2">
      <c r="A159" s="1">
        <v>8911181199</v>
      </c>
      <c r="B159" s="1">
        <v>891118119</v>
      </c>
      <c r="C159" s="9">
        <v>213241132</v>
      </c>
      <c r="D159" s="10" t="s">
        <v>599</v>
      </c>
      <c r="E159" s="45" t="s">
        <v>1618</v>
      </c>
      <c r="F159" s="21"/>
      <c r="G159" s="59"/>
      <c r="H159" s="21"/>
      <c r="I159" s="59"/>
      <c r="J159" s="21"/>
      <c r="K159" s="21"/>
      <c r="L159" s="59"/>
      <c r="M159" s="60"/>
      <c r="N159" s="21"/>
      <c r="O159" s="59"/>
      <c r="P159" s="21"/>
      <c r="Q159" s="59"/>
      <c r="R159" s="21"/>
      <c r="S159" s="21"/>
      <c r="T159" s="59"/>
      <c r="U159" s="60">
        <f t="shared" si="17"/>
        <v>0</v>
      </c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>
        <v>387416700</v>
      </c>
      <c r="AN159" s="60">
        <f>SUBTOTAL(9,AC159:AM159)</f>
        <v>387416700</v>
      </c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>
        <v>207600155</v>
      </c>
      <c r="AZ159" s="60"/>
      <c r="BA159" s="60"/>
      <c r="BB159" s="60"/>
      <c r="BC159" s="61">
        <f t="shared" si="18"/>
        <v>595016855</v>
      </c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>
        <v>41520031</v>
      </c>
      <c r="BO159" s="60"/>
      <c r="BP159" s="61">
        <v>636536886</v>
      </c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>
        <v>41520031</v>
      </c>
      <c r="CD159" s="61"/>
      <c r="CE159" s="61"/>
      <c r="CF159" s="61"/>
      <c r="CG159" s="61">
        <f t="shared" si="19"/>
        <v>678056917</v>
      </c>
      <c r="CH159" s="62">
        <f>VLOOKUP(B159,[1]RPTNCT049_ConsultaSaldosContabl!I$4:K$7987,3,0)</f>
        <v>290640217</v>
      </c>
      <c r="CI159" s="62">
        <f t="shared" si="20"/>
        <v>387416700</v>
      </c>
      <c r="CJ159" s="63">
        <f t="shared" si="21"/>
        <v>678056917</v>
      </c>
      <c r="CK159" s="64">
        <f t="shared" si="22"/>
        <v>0</v>
      </c>
      <c r="CL159" s="16"/>
      <c r="CM159" s="16"/>
      <c r="CN159" s="16"/>
    </row>
    <row r="160" spans="1:96" ht="15" customHeight="1" x14ac:dyDescent="0.2">
      <c r="A160" s="1">
        <v>8000283933</v>
      </c>
      <c r="B160" s="1">
        <v>800028393</v>
      </c>
      <c r="C160" s="9">
        <v>213515135</v>
      </c>
      <c r="D160" s="10" t="s">
        <v>229</v>
      </c>
      <c r="E160" s="45" t="s">
        <v>1265</v>
      </c>
      <c r="F160" s="21"/>
      <c r="G160" s="59"/>
      <c r="H160" s="21"/>
      <c r="I160" s="59"/>
      <c r="J160" s="21"/>
      <c r="K160" s="21"/>
      <c r="L160" s="59"/>
      <c r="M160" s="60"/>
      <c r="N160" s="21"/>
      <c r="O160" s="59"/>
      <c r="P160" s="21"/>
      <c r="Q160" s="59"/>
      <c r="R160" s="21"/>
      <c r="S160" s="21"/>
      <c r="T160" s="59"/>
      <c r="U160" s="60">
        <f t="shared" si="17"/>
        <v>0</v>
      </c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>
        <v>24742295</v>
      </c>
      <c r="AZ160" s="60"/>
      <c r="BA160" s="60">
        <f>VLOOKUP(B160,[2]Hoja3!J$3:K$674,2,0)</f>
        <v>42103318</v>
      </c>
      <c r="BB160" s="60"/>
      <c r="BC160" s="61">
        <f t="shared" si="18"/>
        <v>66845613</v>
      </c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>
        <v>4948459</v>
      </c>
      <c r="BO160" s="60"/>
      <c r="BP160" s="61">
        <v>71794072</v>
      </c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>
        <v>4948459</v>
      </c>
      <c r="CD160" s="61"/>
      <c r="CE160" s="61"/>
      <c r="CF160" s="61"/>
      <c r="CG160" s="61">
        <f t="shared" si="19"/>
        <v>76742531</v>
      </c>
      <c r="CH160" s="62">
        <f>VLOOKUP(B160,[1]RPTNCT049_ConsultaSaldosContabl!I$4:K$7987,3,0)</f>
        <v>34639213</v>
      </c>
      <c r="CI160" s="62">
        <f t="shared" si="20"/>
        <v>42103318</v>
      </c>
      <c r="CJ160" s="63">
        <f t="shared" si="21"/>
        <v>76742531</v>
      </c>
      <c r="CK160" s="64">
        <f t="shared" si="22"/>
        <v>0</v>
      </c>
      <c r="CL160" s="16"/>
      <c r="CM160" s="16"/>
      <c r="CN160" s="8"/>
      <c r="CO160" s="8"/>
      <c r="CP160" s="8"/>
      <c r="CQ160" s="8"/>
      <c r="CR160" s="8"/>
    </row>
    <row r="161" spans="1:96" ht="15" customHeight="1" x14ac:dyDescent="0.2">
      <c r="A161" s="1">
        <v>8000967406</v>
      </c>
      <c r="B161" s="1">
        <v>800096740</v>
      </c>
      <c r="C161" s="9">
        <v>219023090</v>
      </c>
      <c r="D161" s="10" t="s">
        <v>439</v>
      </c>
      <c r="E161" s="27" t="s">
        <v>1466</v>
      </c>
      <c r="F161" s="21"/>
      <c r="G161" s="59"/>
      <c r="H161" s="21"/>
      <c r="I161" s="59"/>
      <c r="J161" s="21"/>
      <c r="K161" s="21"/>
      <c r="L161" s="59"/>
      <c r="M161" s="60"/>
      <c r="N161" s="21"/>
      <c r="O161" s="59"/>
      <c r="P161" s="21"/>
      <c r="Q161" s="59"/>
      <c r="R161" s="21"/>
      <c r="S161" s="21"/>
      <c r="T161" s="59"/>
      <c r="U161" s="60">
        <f t="shared" si="17"/>
        <v>0</v>
      </c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>
        <v>104166149</v>
      </c>
      <c r="AN161" s="60">
        <f>SUBTOTAL(9,AC161:AM161)</f>
        <v>104166149</v>
      </c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>
        <f>VLOOKUP(B161,'[3]anuladas en mayo gratuidad}'!K$2:L$55,2,0)</f>
        <v>104166149</v>
      </c>
      <c r="BC161" s="61">
        <f t="shared" si="18"/>
        <v>0</v>
      </c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>
        <v>0</v>
      </c>
      <c r="BO161" s="60"/>
      <c r="BP161" s="60">
        <v>0</v>
      </c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>
        <v>406983325</v>
      </c>
      <c r="CD161" s="61"/>
      <c r="CE161" s="61"/>
      <c r="CF161" s="61"/>
      <c r="CG161" s="61">
        <f t="shared" si="19"/>
        <v>406983325</v>
      </c>
      <c r="CH161" s="62">
        <f>VLOOKUP(B161,[1]RPTNCT049_ConsultaSaldosContabl!I$4:K$7987,3,0)</f>
        <v>406983325</v>
      </c>
      <c r="CI161" s="62">
        <f t="shared" si="20"/>
        <v>0</v>
      </c>
      <c r="CJ161" s="63">
        <f t="shared" si="21"/>
        <v>406983325</v>
      </c>
      <c r="CK161" s="64">
        <f t="shared" si="22"/>
        <v>0</v>
      </c>
      <c r="CL161" s="16"/>
      <c r="CM161" s="16"/>
      <c r="CN161" s="16"/>
    </row>
    <row r="162" spans="1:96" ht="15" customHeight="1" x14ac:dyDescent="0.2">
      <c r="A162" s="1">
        <v>8909822388</v>
      </c>
      <c r="B162" s="1">
        <v>890982238</v>
      </c>
      <c r="C162" s="9">
        <v>213805138</v>
      </c>
      <c r="D162" s="10" t="s">
        <v>69</v>
      </c>
      <c r="E162" s="45" t="s">
        <v>1100</v>
      </c>
      <c r="F162" s="21"/>
      <c r="G162" s="59"/>
      <c r="H162" s="21"/>
      <c r="I162" s="59"/>
      <c r="J162" s="21"/>
      <c r="K162" s="21"/>
      <c r="L162" s="59"/>
      <c r="M162" s="60"/>
      <c r="N162" s="21"/>
      <c r="O162" s="59"/>
      <c r="P162" s="21"/>
      <c r="Q162" s="59"/>
      <c r="R162" s="21"/>
      <c r="S162" s="21"/>
      <c r="T162" s="59"/>
      <c r="U162" s="60">
        <f t="shared" si="17"/>
        <v>0</v>
      </c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>
        <v>24474371</v>
      </c>
      <c r="AN162" s="60">
        <f>SUBTOTAL(9,AC162:AM162)</f>
        <v>24474371</v>
      </c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>
        <v>125484560</v>
      </c>
      <c r="AZ162" s="60"/>
      <c r="BA162" s="60">
        <f>VLOOKUP(B162,[2]Hoja3!J$3:K$674,2,0)</f>
        <v>221475872</v>
      </c>
      <c r="BB162" s="60"/>
      <c r="BC162" s="61">
        <f t="shared" si="18"/>
        <v>371434803</v>
      </c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>
        <v>25096912</v>
      </c>
      <c r="BO162" s="60"/>
      <c r="BP162" s="61">
        <v>396531715</v>
      </c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>
        <v>25096912</v>
      </c>
      <c r="CD162" s="61"/>
      <c r="CE162" s="61"/>
      <c r="CF162" s="61"/>
      <c r="CG162" s="61">
        <f t="shared" si="19"/>
        <v>421628627</v>
      </c>
      <c r="CH162" s="62">
        <f>VLOOKUP(B162,[1]RPTNCT049_ConsultaSaldosContabl!I$4:K$7987,3,0)</f>
        <v>175678384</v>
      </c>
      <c r="CI162" s="62">
        <f t="shared" si="20"/>
        <v>245950243</v>
      </c>
      <c r="CJ162" s="63">
        <f t="shared" si="21"/>
        <v>421628627</v>
      </c>
      <c r="CK162" s="64">
        <f t="shared" si="22"/>
        <v>0</v>
      </c>
      <c r="CL162" s="16"/>
      <c r="CM162" s="16"/>
      <c r="CN162" s="16"/>
    </row>
    <row r="163" spans="1:96" ht="15" customHeight="1" x14ac:dyDescent="0.2">
      <c r="A163" s="1">
        <v>8000944663</v>
      </c>
      <c r="B163" s="1">
        <v>800094466</v>
      </c>
      <c r="C163" s="9">
        <v>214108141</v>
      </c>
      <c r="D163" s="10" t="s">
        <v>163</v>
      </c>
      <c r="E163" s="45" t="s">
        <v>1191</v>
      </c>
      <c r="F163" s="21"/>
      <c r="G163" s="59"/>
      <c r="H163" s="21"/>
      <c r="I163" s="59"/>
      <c r="J163" s="21"/>
      <c r="K163" s="21"/>
      <c r="L163" s="59"/>
      <c r="M163" s="60"/>
      <c r="N163" s="21"/>
      <c r="O163" s="59"/>
      <c r="P163" s="21"/>
      <c r="Q163" s="59"/>
      <c r="R163" s="21"/>
      <c r="S163" s="21"/>
      <c r="T163" s="59"/>
      <c r="U163" s="60">
        <f t="shared" si="17"/>
        <v>0</v>
      </c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>
        <v>51693028</v>
      </c>
      <c r="AN163" s="60">
        <f>SUBTOTAL(9,AC163:AM163)</f>
        <v>51693028</v>
      </c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>
        <v>177701795</v>
      </c>
      <c r="AZ163" s="60"/>
      <c r="BA163" s="60">
        <f>VLOOKUP(B163,[2]Hoja3!J$3:K$674,2,0)</f>
        <v>187374069</v>
      </c>
      <c r="BB163" s="60"/>
      <c r="BC163" s="61">
        <f t="shared" si="18"/>
        <v>416768892</v>
      </c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>
        <v>35540359</v>
      </c>
      <c r="BO163" s="60"/>
      <c r="BP163" s="61">
        <v>452309251</v>
      </c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>
        <v>35540359</v>
      </c>
      <c r="CD163" s="61"/>
      <c r="CE163" s="61"/>
      <c r="CF163" s="61"/>
      <c r="CG163" s="61">
        <f t="shared" si="19"/>
        <v>487849610</v>
      </c>
      <c r="CH163" s="62">
        <f>VLOOKUP(B163,[1]RPTNCT049_ConsultaSaldosContabl!I$4:K$7987,3,0)</f>
        <v>248782513</v>
      </c>
      <c r="CI163" s="62">
        <f t="shared" si="20"/>
        <v>239067097</v>
      </c>
      <c r="CJ163" s="63">
        <f t="shared" si="21"/>
        <v>487849610</v>
      </c>
      <c r="CK163" s="64">
        <f t="shared" si="22"/>
        <v>0</v>
      </c>
      <c r="CL163" s="16"/>
      <c r="CM163" s="16"/>
      <c r="CN163" s="16"/>
    </row>
    <row r="164" spans="1:96" ht="15" customHeight="1" x14ac:dyDescent="0.2">
      <c r="A164" s="1">
        <v>8913800381</v>
      </c>
      <c r="B164" s="1">
        <v>891380038</v>
      </c>
      <c r="C164" s="9">
        <v>213076130</v>
      </c>
      <c r="D164" s="10" t="s">
        <v>920</v>
      </c>
      <c r="E164" s="45" t="s">
        <v>2091</v>
      </c>
      <c r="F164" s="21"/>
      <c r="G164" s="59"/>
      <c r="H164" s="21"/>
      <c r="I164" s="59"/>
      <c r="J164" s="21"/>
      <c r="K164" s="21"/>
      <c r="L164" s="59"/>
      <c r="M164" s="60"/>
      <c r="N164" s="21"/>
      <c r="O164" s="59"/>
      <c r="P164" s="21"/>
      <c r="Q164" s="59"/>
      <c r="R164" s="21"/>
      <c r="S164" s="21"/>
      <c r="T164" s="59"/>
      <c r="U164" s="60">
        <f t="shared" si="17"/>
        <v>0</v>
      </c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>
        <v>770889314</v>
      </c>
      <c r="AN164" s="60">
        <f>SUBTOTAL(9,AC164:AM164)</f>
        <v>770889314</v>
      </c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>
        <v>378969340</v>
      </c>
      <c r="AZ164" s="60"/>
      <c r="BA164" s="60">
        <f>VLOOKUP(B164,[2]Hoja3!J$3:K$674,2,0)</f>
        <v>206399806</v>
      </c>
      <c r="BB164" s="60"/>
      <c r="BC164" s="61">
        <f t="shared" si="18"/>
        <v>1356258460</v>
      </c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>
        <v>75793868</v>
      </c>
      <c r="BO164" s="60"/>
      <c r="BP164" s="61">
        <v>1432052328</v>
      </c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>
        <v>75793868</v>
      </c>
      <c r="CD164" s="61"/>
      <c r="CE164" s="61"/>
      <c r="CF164" s="61"/>
      <c r="CG164" s="61">
        <f t="shared" si="19"/>
        <v>1507846196</v>
      </c>
      <c r="CH164" s="62">
        <f>VLOOKUP(B164,[1]RPTNCT049_ConsultaSaldosContabl!I$4:K$7987,3,0)</f>
        <v>530557076</v>
      </c>
      <c r="CI164" s="62">
        <f t="shared" si="20"/>
        <v>977289120</v>
      </c>
      <c r="CJ164" s="63">
        <f t="shared" si="21"/>
        <v>1507846196</v>
      </c>
      <c r="CK164" s="64">
        <f t="shared" si="22"/>
        <v>0</v>
      </c>
      <c r="CL164" s="16"/>
      <c r="CM164" s="16"/>
      <c r="CN164" s="8"/>
      <c r="CO164" s="8"/>
      <c r="CP164" s="8"/>
      <c r="CQ164" s="8"/>
      <c r="CR164" s="8"/>
    </row>
    <row r="165" spans="1:96" ht="15" customHeight="1" x14ac:dyDescent="0.2">
      <c r="A165" s="1">
        <v>8002535261</v>
      </c>
      <c r="B165" s="1">
        <v>800253526</v>
      </c>
      <c r="C165" s="9">
        <v>216013160</v>
      </c>
      <c r="D165" s="10" t="s">
        <v>187</v>
      </c>
      <c r="E165" s="45" t="s">
        <v>1217</v>
      </c>
      <c r="F165" s="21"/>
      <c r="G165" s="59"/>
      <c r="H165" s="21"/>
      <c r="I165" s="59"/>
      <c r="J165" s="21"/>
      <c r="K165" s="21"/>
      <c r="L165" s="59"/>
      <c r="M165" s="60"/>
      <c r="N165" s="21"/>
      <c r="O165" s="59"/>
      <c r="P165" s="21"/>
      <c r="Q165" s="59"/>
      <c r="R165" s="21"/>
      <c r="S165" s="21"/>
      <c r="T165" s="59"/>
      <c r="U165" s="60">
        <f t="shared" si="17"/>
        <v>0</v>
      </c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>
        <v>100282730</v>
      </c>
      <c r="AZ165" s="60"/>
      <c r="BA165" s="60">
        <f>VLOOKUP(B165,[2]Hoja3!J$3:K$674,2,0)</f>
        <v>103286409</v>
      </c>
      <c r="BB165" s="60"/>
      <c r="BC165" s="61">
        <f t="shared" si="18"/>
        <v>203569139</v>
      </c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>
        <v>20056546</v>
      </c>
      <c r="BO165" s="60"/>
      <c r="BP165" s="61">
        <v>223625685</v>
      </c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>
        <v>20056546</v>
      </c>
      <c r="CD165" s="61"/>
      <c r="CE165" s="61">
        <v>59992746</v>
      </c>
      <c r="CF165" s="61"/>
      <c r="CG165" s="61">
        <f t="shared" si="19"/>
        <v>303674977</v>
      </c>
      <c r="CH165" s="62">
        <f>VLOOKUP(B165,[1]RPTNCT049_ConsultaSaldosContabl!I$4:K$7987,3,0)</f>
        <v>140395822</v>
      </c>
      <c r="CI165" s="62">
        <f t="shared" si="20"/>
        <v>163279155</v>
      </c>
      <c r="CJ165" s="63">
        <f t="shared" si="21"/>
        <v>303674977</v>
      </c>
      <c r="CK165" s="64">
        <f t="shared" si="22"/>
        <v>0</v>
      </c>
      <c r="CL165" s="16"/>
      <c r="CM165" s="16"/>
      <c r="CN165" s="8"/>
      <c r="CO165" s="8"/>
      <c r="CP165" s="8"/>
      <c r="CQ165" s="8"/>
      <c r="CR165" s="8"/>
    </row>
    <row r="166" spans="1:96" ht="15" customHeight="1" x14ac:dyDescent="0.2">
      <c r="A166" s="1">
        <v>8002394145</v>
      </c>
      <c r="B166" s="1">
        <v>800239414</v>
      </c>
      <c r="C166" s="9">
        <v>213527135</v>
      </c>
      <c r="D166" s="10" t="s">
        <v>574</v>
      </c>
      <c r="E166" s="45" t="s">
        <v>1594</v>
      </c>
      <c r="F166" s="21"/>
      <c r="G166" s="59"/>
      <c r="H166" s="21"/>
      <c r="I166" s="59"/>
      <c r="J166" s="21"/>
      <c r="K166" s="21"/>
      <c r="L166" s="59"/>
      <c r="M166" s="60"/>
      <c r="N166" s="21"/>
      <c r="O166" s="59"/>
      <c r="P166" s="21"/>
      <c r="Q166" s="59"/>
      <c r="R166" s="21"/>
      <c r="S166" s="21"/>
      <c r="T166" s="59"/>
      <c r="U166" s="60">
        <f t="shared" si="17"/>
        <v>0</v>
      </c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>
        <v>113439136</v>
      </c>
      <c r="AN166" s="60">
        <f>SUBTOTAL(9,AC166:AM166)</f>
        <v>113439136</v>
      </c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>
        <v>67523330</v>
      </c>
      <c r="AZ166" s="60"/>
      <c r="BA166" s="60"/>
      <c r="BB166" s="60"/>
      <c r="BC166" s="61">
        <f t="shared" si="18"/>
        <v>180962466</v>
      </c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>
        <v>13504666</v>
      </c>
      <c r="BO166" s="60"/>
      <c r="BP166" s="61">
        <v>194467132</v>
      </c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>
        <v>13504666</v>
      </c>
      <c r="CD166" s="61"/>
      <c r="CE166" s="61"/>
      <c r="CF166" s="61"/>
      <c r="CG166" s="61">
        <f t="shared" si="19"/>
        <v>207971798</v>
      </c>
      <c r="CH166" s="62">
        <f>VLOOKUP(B166,[1]RPTNCT049_ConsultaSaldosContabl!I$4:K$7987,3,0)</f>
        <v>94532662</v>
      </c>
      <c r="CI166" s="62">
        <f t="shared" si="20"/>
        <v>113439136</v>
      </c>
      <c r="CJ166" s="63">
        <f t="shared" si="21"/>
        <v>207971798</v>
      </c>
      <c r="CK166" s="64">
        <f t="shared" si="22"/>
        <v>0</v>
      </c>
      <c r="CL166" s="16"/>
      <c r="CM166" s="16"/>
      <c r="CN166" s="16"/>
    </row>
    <row r="167" spans="1:96" ht="15" customHeight="1" x14ac:dyDescent="0.2">
      <c r="A167" s="1">
        <v>8999997100</v>
      </c>
      <c r="B167" s="1">
        <v>899999710</v>
      </c>
      <c r="C167" s="9">
        <v>214825148</v>
      </c>
      <c r="D167" s="10" t="s">
        <v>471</v>
      </c>
      <c r="E167" s="45" t="s">
        <v>1497</v>
      </c>
      <c r="F167" s="21"/>
      <c r="G167" s="59"/>
      <c r="H167" s="21"/>
      <c r="I167" s="59"/>
      <c r="J167" s="21"/>
      <c r="K167" s="21"/>
      <c r="L167" s="59"/>
      <c r="M167" s="60"/>
      <c r="N167" s="21"/>
      <c r="O167" s="59"/>
      <c r="P167" s="21"/>
      <c r="Q167" s="59"/>
      <c r="R167" s="21"/>
      <c r="S167" s="21"/>
      <c r="T167" s="59"/>
      <c r="U167" s="60">
        <f t="shared" si="17"/>
        <v>0</v>
      </c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>
        <v>175048135</v>
      </c>
      <c r="AN167" s="60">
        <f>SUBTOTAL(9,AC167:AM167)</f>
        <v>175048135</v>
      </c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1">
        <f t="shared" si="18"/>
        <v>175048135</v>
      </c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>
        <v>0</v>
      </c>
      <c r="BO167" s="60"/>
      <c r="BP167" s="61">
        <v>175048135</v>
      </c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>
        <v>0</v>
      </c>
      <c r="CD167" s="61"/>
      <c r="CE167" s="61"/>
      <c r="CF167" s="61"/>
      <c r="CG167" s="61">
        <f t="shared" si="19"/>
        <v>175048135</v>
      </c>
      <c r="CH167" s="62"/>
      <c r="CI167" s="62">
        <f t="shared" si="20"/>
        <v>175048135</v>
      </c>
      <c r="CJ167" s="63">
        <f t="shared" si="21"/>
        <v>175048135</v>
      </c>
      <c r="CK167" s="64">
        <f t="shared" si="22"/>
        <v>0</v>
      </c>
      <c r="CL167" s="16"/>
      <c r="CM167" s="16"/>
      <c r="CN167" s="16"/>
    </row>
    <row r="168" spans="1:96" ht="15" customHeight="1" x14ac:dyDescent="0.2">
      <c r="A168" s="1">
        <v>8902051198</v>
      </c>
      <c r="B168" s="1">
        <v>890205119</v>
      </c>
      <c r="C168" s="9">
        <v>214768147</v>
      </c>
      <c r="D168" s="10" t="s">
        <v>821</v>
      </c>
      <c r="E168" s="51" t="s">
        <v>2278</v>
      </c>
      <c r="F168" s="21"/>
      <c r="G168" s="59"/>
      <c r="H168" s="21"/>
      <c r="I168" s="59"/>
      <c r="J168" s="21"/>
      <c r="K168" s="21"/>
      <c r="L168" s="59"/>
      <c r="M168" s="60"/>
      <c r="N168" s="21"/>
      <c r="O168" s="59"/>
      <c r="P168" s="21"/>
      <c r="Q168" s="59"/>
      <c r="R168" s="21"/>
      <c r="S168" s="21"/>
      <c r="T168" s="59"/>
      <c r="U168" s="60">
        <f t="shared" si="17"/>
        <v>0</v>
      </c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>
        <v>43093370</v>
      </c>
      <c r="AZ168" s="60"/>
      <c r="BA168" s="60">
        <f>VLOOKUP(B168,[2]Hoja3!J$3:K$674,2,0)</f>
        <v>75217651</v>
      </c>
      <c r="BB168" s="60"/>
      <c r="BC168" s="61">
        <f t="shared" si="18"/>
        <v>118311021</v>
      </c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>
        <v>8618674</v>
      </c>
      <c r="BO168" s="60"/>
      <c r="BP168" s="61">
        <v>126929695</v>
      </c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>
        <v>8618674</v>
      </c>
      <c r="CD168" s="61"/>
      <c r="CE168" s="61"/>
      <c r="CF168" s="61"/>
      <c r="CG168" s="61">
        <f t="shared" si="19"/>
        <v>135548369</v>
      </c>
      <c r="CH168" s="62">
        <f>VLOOKUP(B168,[1]RPTNCT049_ConsultaSaldosContabl!I$4:K$7987,3,0)</f>
        <v>60330718</v>
      </c>
      <c r="CI168" s="62">
        <f t="shared" si="20"/>
        <v>75217651</v>
      </c>
      <c r="CJ168" s="63">
        <f t="shared" si="21"/>
        <v>135548369</v>
      </c>
      <c r="CK168" s="64">
        <f t="shared" si="22"/>
        <v>0</v>
      </c>
      <c r="CL168" s="16"/>
      <c r="CM168" s="16"/>
      <c r="CN168" s="16"/>
    </row>
    <row r="169" spans="1:96" ht="15" customHeight="1" x14ac:dyDescent="0.2">
      <c r="A169" s="1">
        <v>8999994629</v>
      </c>
      <c r="B169" s="1">
        <v>899999462</v>
      </c>
      <c r="C169" s="9">
        <v>215125151</v>
      </c>
      <c r="D169" s="10" t="s">
        <v>472</v>
      </c>
      <c r="E169" s="45" t="s">
        <v>1498</v>
      </c>
      <c r="F169" s="21"/>
      <c r="G169" s="59"/>
      <c r="H169" s="21"/>
      <c r="I169" s="59"/>
      <c r="J169" s="21"/>
      <c r="K169" s="21"/>
      <c r="L169" s="59"/>
      <c r="M169" s="60"/>
      <c r="N169" s="21"/>
      <c r="O169" s="59"/>
      <c r="P169" s="21"/>
      <c r="Q169" s="59"/>
      <c r="R169" s="21"/>
      <c r="S169" s="21"/>
      <c r="T169" s="59"/>
      <c r="U169" s="60">
        <f t="shared" si="17"/>
        <v>0</v>
      </c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>
        <v>114631388</v>
      </c>
      <c r="AN169" s="60">
        <f>SUBTOTAL(9,AC169:AM169)</f>
        <v>114631388</v>
      </c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>
        <v>108099630</v>
      </c>
      <c r="AZ169" s="60"/>
      <c r="BA169" s="60">
        <f>VLOOKUP(B169,[2]Hoja3!J$3:K$674,2,0)</f>
        <v>122808416</v>
      </c>
      <c r="BB169" s="60"/>
      <c r="BC169" s="61">
        <f t="shared" si="18"/>
        <v>345539434</v>
      </c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>
        <v>21619926</v>
      </c>
      <c r="BO169" s="60"/>
      <c r="BP169" s="61">
        <v>367159360</v>
      </c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>
        <v>21619926</v>
      </c>
      <c r="CD169" s="61"/>
      <c r="CE169" s="61"/>
      <c r="CF169" s="61"/>
      <c r="CG169" s="61">
        <f t="shared" si="19"/>
        <v>388779286</v>
      </c>
      <c r="CH169" s="62">
        <f>VLOOKUP(B169,[1]RPTNCT049_ConsultaSaldosContabl!I$4:K$7987,3,0)</f>
        <v>151339482</v>
      </c>
      <c r="CI169" s="62">
        <f t="shared" si="20"/>
        <v>237439804</v>
      </c>
      <c r="CJ169" s="63">
        <f t="shared" si="21"/>
        <v>388779286</v>
      </c>
      <c r="CK169" s="64">
        <f t="shared" si="22"/>
        <v>0</v>
      </c>
      <c r="CL169" s="16"/>
      <c r="CM169" s="16"/>
      <c r="CN169" s="16"/>
    </row>
    <row r="170" spans="1:96" ht="15" customHeight="1" x14ac:dyDescent="0.2">
      <c r="A170" s="1">
        <v>8909811077</v>
      </c>
      <c r="B170" s="1">
        <v>890981107</v>
      </c>
      <c r="C170" s="9">
        <v>214205142</v>
      </c>
      <c r="D170" s="10" t="s">
        <v>70</v>
      </c>
      <c r="E170" s="45" t="s">
        <v>1101</v>
      </c>
      <c r="F170" s="21"/>
      <c r="G170" s="59"/>
      <c r="H170" s="21"/>
      <c r="I170" s="59"/>
      <c r="J170" s="21"/>
      <c r="K170" s="21"/>
      <c r="L170" s="59"/>
      <c r="M170" s="60"/>
      <c r="N170" s="21"/>
      <c r="O170" s="59"/>
      <c r="P170" s="21"/>
      <c r="Q170" s="59"/>
      <c r="R170" s="21"/>
      <c r="S170" s="21"/>
      <c r="T170" s="59"/>
      <c r="U170" s="60">
        <f t="shared" si="17"/>
        <v>0</v>
      </c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>
        <f>VLOOKUP(B170,[2]Hoja3!J$3:K$674,2,0)</f>
        <v>49089568</v>
      </c>
      <c r="BB170" s="60"/>
      <c r="BC170" s="61">
        <f t="shared" si="18"/>
        <v>49089568</v>
      </c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>
        <v>6630746</v>
      </c>
      <c r="BO170" s="60"/>
      <c r="BP170" s="61">
        <v>55720314</v>
      </c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>
        <v>6630746</v>
      </c>
      <c r="CD170" s="61">
        <v>33153730</v>
      </c>
      <c r="CE170" s="61"/>
      <c r="CF170" s="61"/>
      <c r="CG170" s="61">
        <f t="shared" si="19"/>
        <v>95504790</v>
      </c>
      <c r="CH170" s="62">
        <f>VLOOKUP(B170,[1]RPTNCT049_ConsultaSaldosContabl!I$4:K$7987,3,0)</f>
        <v>46415222</v>
      </c>
      <c r="CI170" s="62">
        <f t="shared" si="20"/>
        <v>49089568</v>
      </c>
      <c r="CJ170" s="63">
        <f t="shared" si="21"/>
        <v>95504790</v>
      </c>
      <c r="CK170" s="64">
        <f t="shared" si="22"/>
        <v>0</v>
      </c>
      <c r="CL170" s="16"/>
      <c r="CM170" s="16"/>
      <c r="CN170" s="16"/>
    </row>
    <row r="171" spans="1:96" ht="15" customHeight="1" x14ac:dyDescent="0.2">
      <c r="A171" s="1">
        <v>8909841325</v>
      </c>
      <c r="B171" s="1">
        <v>890984132</v>
      </c>
      <c r="C171" s="9">
        <v>214505145</v>
      </c>
      <c r="D171" s="10" t="s">
        <v>71</v>
      </c>
      <c r="E171" s="45" t="s">
        <v>1102</v>
      </c>
      <c r="F171" s="21"/>
      <c r="G171" s="59"/>
      <c r="H171" s="21"/>
      <c r="I171" s="59"/>
      <c r="J171" s="21"/>
      <c r="K171" s="21"/>
      <c r="L171" s="59"/>
      <c r="M171" s="60"/>
      <c r="N171" s="21"/>
      <c r="O171" s="59"/>
      <c r="P171" s="21"/>
      <c r="Q171" s="59"/>
      <c r="R171" s="21"/>
      <c r="S171" s="21"/>
      <c r="T171" s="59"/>
      <c r="U171" s="60">
        <f t="shared" si="17"/>
        <v>0</v>
      </c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>
        <v>33815125</v>
      </c>
      <c r="AZ171" s="60"/>
      <c r="BA171" s="60">
        <f>VLOOKUP(B171,[2]Hoja3!J$3:K$674,2,0)</f>
        <v>63100575</v>
      </c>
      <c r="BB171" s="60"/>
      <c r="BC171" s="61">
        <f t="shared" si="18"/>
        <v>96915700</v>
      </c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>
        <v>6763025</v>
      </c>
      <c r="BO171" s="60"/>
      <c r="BP171" s="61">
        <v>103678725</v>
      </c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>
        <v>6763025</v>
      </c>
      <c r="CD171" s="61"/>
      <c r="CE171" s="61"/>
      <c r="CF171" s="61"/>
      <c r="CG171" s="61">
        <f t="shared" si="19"/>
        <v>110441750</v>
      </c>
      <c r="CH171" s="62">
        <f>VLOOKUP(B171,[1]RPTNCT049_ConsultaSaldosContabl!I$4:K$7987,3,0)</f>
        <v>47341175</v>
      </c>
      <c r="CI171" s="62">
        <f t="shared" si="20"/>
        <v>63100575</v>
      </c>
      <c r="CJ171" s="63">
        <f t="shared" si="21"/>
        <v>110441750</v>
      </c>
      <c r="CK171" s="64">
        <f t="shared" si="22"/>
        <v>0</v>
      </c>
      <c r="CL171" s="16"/>
      <c r="CM171" s="16"/>
      <c r="CN171" s="16"/>
    </row>
    <row r="172" spans="1:96" ht="15" customHeight="1" x14ac:dyDescent="0.2">
      <c r="A172" s="1">
        <v>8902109337</v>
      </c>
      <c r="B172" s="1">
        <v>890210933</v>
      </c>
      <c r="C172" s="9">
        <v>215268152</v>
      </c>
      <c r="D172" s="10" t="s">
        <v>822</v>
      </c>
      <c r="E172" s="45" t="s">
        <v>1838</v>
      </c>
      <c r="F172" s="21"/>
      <c r="G172" s="59"/>
      <c r="H172" s="21"/>
      <c r="I172" s="59"/>
      <c r="J172" s="21"/>
      <c r="K172" s="21"/>
      <c r="L172" s="59"/>
      <c r="M172" s="60"/>
      <c r="N172" s="21"/>
      <c r="O172" s="59"/>
      <c r="P172" s="21"/>
      <c r="Q172" s="59"/>
      <c r="R172" s="21"/>
      <c r="S172" s="21"/>
      <c r="T172" s="59"/>
      <c r="U172" s="60">
        <f t="shared" si="17"/>
        <v>0</v>
      </c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>
        <v>74371193</v>
      </c>
      <c r="AN172" s="60">
        <f t="shared" ref="AN172:AN177" si="26">SUBTOTAL(9,AC172:AM172)</f>
        <v>74371193</v>
      </c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>
        <v>44325770</v>
      </c>
      <c r="AZ172" s="60"/>
      <c r="BA172" s="60"/>
      <c r="BB172" s="60"/>
      <c r="BC172" s="61">
        <f t="shared" si="18"/>
        <v>118696963</v>
      </c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>
        <v>8865154</v>
      </c>
      <c r="BO172" s="60"/>
      <c r="BP172" s="61">
        <v>127562117</v>
      </c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>
        <v>8865154</v>
      </c>
      <c r="CD172" s="61"/>
      <c r="CE172" s="61"/>
      <c r="CF172" s="61"/>
      <c r="CG172" s="61">
        <f t="shared" si="19"/>
        <v>136427271</v>
      </c>
      <c r="CH172" s="62">
        <f>VLOOKUP(B172,[1]RPTNCT049_ConsultaSaldosContabl!I$4:K$7987,3,0)</f>
        <v>62056078</v>
      </c>
      <c r="CI172" s="62">
        <f t="shared" si="20"/>
        <v>74371193</v>
      </c>
      <c r="CJ172" s="63">
        <f t="shared" si="21"/>
        <v>136427271</v>
      </c>
      <c r="CK172" s="64">
        <f t="shared" si="22"/>
        <v>0</v>
      </c>
      <c r="CL172" s="16"/>
      <c r="CM172" s="16"/>
      <c r="CN172" s="16"/>
    </row>
    <row r="173" spans="1:96" ht="15" customHeight="1" x14ac:dyDescent="0.2">
      <c r="A173" s="1">
        <v>8909853168</v>
      </c>
      <c r="B173" s="1">
        <v>890985316</v>
      </c>
      <c r="C173" s="9">
        <v>214705147</v>
      </c>
      <c r="D173" s="10" t="s">
        <v>72</v>
      </c>
      <c r="E173" s="45" t="s">
        <v>1103</v>
      </c>
      <c r="F173" s="21"/>
      <c r="G173" s="59"/>
      <c r="H173" s="21"/>
      <c r="I173" s="59"/>
      <c r="J173" s="21"/>
      <c r="K173" s="21"/>
      <c r="L173" s="59"/>
      <c r="M173" s="60"/>
      <c r="N173" s="21"/>
      <c r="O173" s="59"/>
      <c r="P173" s="21"/>
      <c r="Q173" s="59"/>
      <c r="R173" s="21"/>
      <c r="S173" s="21"/>
      <c r="T173" s="59"/>
      <c r="U173" s="60">
        <f t="shared" si="17"/>
        <v>0</v>
      </c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>
        <v>667447437</v>
      </c>
      <c r="AN173" s="60">
        <f t="shared" si="26"/>
        <v>667447437</v>
      </c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>
        <v>431824740</v>
      </c>
      <c r="AZ173" s="60"/>
      <c r="BA173" s="60"/>
      <c r="BB173" s="60"/>
      <c r="BC173" s="61">
        <f t="shared" si="18"/>
        <v>1099272177</v>
      </c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>
        <v>86364948</v>
      </c>
      <c r="BO173" s="60"/>
      <c r="BP173" s="61">
        <v>1185637125</v>
      </c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>
        <v>86364948</v>
      </c>
      <c r="CD173" s="61"/>
      <c r="CE173" s="61"/>
      <c r="CF173" s="61"/>
      <c r="CG173" s="61">
        <f t="shared" si="19"/>
        <v>1272002073</v>
      </c>
      <c r="CH173" s="62">
        <f>VLOOKUP(B173,[1]RPTNCT049_ConsultaSaldosContabl!I$4:K$7987,3,0)</f>
        <v>604554636</v>
      </c>
      <c r="CI173" s="62">
        <f t="shared" si="20"/>
        <v>667447437</v>
      </c>
      <c r="CJ173" s="63">
        <f t="shared" si="21"/>
        <v>1272002073</v>
      </c>
      <c r="CK173" s="64">
        <f t="shared" si="22"/>
        <v>0</v>
      </c>
      <c r="CL173" s="16"/>
      <c r="CM173" s="16"/>
      <c r="CN173" s="16"/>
    </row>
    <row r="174" spans="1:96" ht="15" customHeight="1" x14ac:dyDescent="0.2">
      <c r="A174" s="1">
        <v>8001000501</v>
      </c>
      <c r="B174" s="1">
        <v>800100050</v>
      </c>
      <c r="C174" s="9">
        <v>214873148</v>
      </c>
      <c r="D174" s="10" t="s">
        <v>2247</v>
      </c>
      <c r="E174" s="45" t="s">
        <v>1935</v>
      </c>
      <c r="F174" s="21"/>
      <c r="G174" s="59"/>
      <c r="H174" s="21"/>
      <c r="I174" s="59"/>
      <c r="J174" s="21"/>
      <c r="K174" s="21"/>
      <c r="L174" s="59"/>
      <c r="M174" s="60"/>
      <c r="N174" s="21"/>
      <c r="O174" s="59"/>
      <c r="P174" s="21"/>
      <c r="Q174" s="59"/>
      <c r="R174" s="21"/>
      <c r="S174" s="21"/>
      <c r="T174" s="59"/>
      <c r="U174" s="60">
        <f t="shared" si="17"/>
        <v>0</v>
      </c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>
        <v>155836139</v>
      </c>
      <c r="AN174" s="60">
        <f t="shared" si="26"/>
        <v>155836139</v>
      </c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>
        <v>51522170</v>
      </c>
      <c r="AZ174" s="60"/>
      <c r="BA174" s="60"/>
      <c r="BB174" s="60"/>
      <c r="BC174" s="61">
        <f t="shared" si="18"/>
        <v>207358309</v>
      </c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>
        <v>10304434</v>
      </c>
      <c r="BO174" s="60"/>
      <c r="BP174" s="61">
        <v>217662743</v>
      </c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>
        <v>10304434</v>
      </c>
      <c r="CD174" s="61"/>
      <c r="CE174" s="61"/>
      <c r="CF174" s="61"/>
      <c r="CG174" s="61">
        <f t="shared" si="19"/>
        <v>227967177</v>
      </c>
      <c r="CH174" s="62">
        <f>VLOOKUP(B174,[1]RPTNCT049_ConsultaSaldosContabl!I$4:K$7987,3,0)</f>
        <v>72131038</v>
      </c>
      <c r="CI174" s="62">
        <f t="shared" si="20"/>
        <v>155836139</v>
      </c>
      <c r="CJ174" s="63">
        <f t="shared" si="21"/>
        <v>227967177</v>
      </c>
      <c r="CK174" s="64">
        <f t="shared" si="22"/>
        <v>0</v>
      </c>
      <c r="CL174" s="16"/>
      <c r="CM174" s="16"/>
      <c r="CN174" s="16"/>
    </row>
    <row r="175" spans="1:96" ht="15" customHeight="1" x14ac:dyDescent="0.2">
      <c r="A175" s="1">
        <v>8999993677</v>
      </c>
      <c r="B175" s="1">
        <v>899999367</v>
      </c>
      <c r="C175" s="9">
        <v>215425154</v>
      </c>
      <c r="D175" s="10" t="s">
        <v>473</v>
      </c>
      <c r="E175" s="45" t="s">
        <v>1499</v>
      </c>
      <c r="F175" s="21"/>
      <c r="G175" s="59"/>
      <c r="H175" s="21"/>
      <c r="I175" s="59"/>
      <c r="J175" s="21"/>
      <c r="K175" s="21"/>
      <c r="L175" s="59"/>
      <c r="M175" s="60"/>
      <c r="N175" s="21"/>
      <c r="O175" s="59"/>
      <c r="P175" s="21"/>
      <c r="Q175" s="59"/>
      <c r="R175" s="21"/>
      <c r="S175" s="21"/>
      <c r="T175" s="59"/>
      <c r="U175" s="60">
        <f t="shared" si="17"/>
        <v>0</v>
      </c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>
        <v>103222291</v>
      </c>
      <c r="AN175" s="60">
        <f t="shared" si="26"/>
        <v>103222291</v>
      </c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1">
        <f t="shared" si="18"/>
        <v>103222291</v>
      </c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>
        <v>0</v>
      </c>
      <c r="BO175" s="60"/>
      <c r="BP175" s="61">
        <v>103222291</v>
      </c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>
        <v>0</v>
      </c>
      <c r="CD175" s="61"/>
      <c r="CE175" s="61"/>
      <c r="CF175" s="61"/>
      <c r="CG175" s="61">
        <f t="shared" si="19"/>
        <v>103222291</v>
      </c>
      <c r="CH175" s="62"/>
      <c r="CI175" s="62">
        <f t="shared" si="20"/>
        <v>103222291</v>
      </c>
      <c r="CJ175" s="63">
        <f t="shared" si="21"/>
        <v>103222291</v>
      </c>
      <c r="CK175" s="64">
        <f t="shared" si="22"/>
        <v>0</v>
      </c>
      <c r="CL175" s="16"/>
      <c r="CM175" s="16"/>
      <c r="CN175" s="16"/>
    </row>
    <row r="176" spans="1:96" ht="15" customHeight="1" x14ac:dyDescent="0.2">
      <c r="A176" s="1">
        <v>8909826169</v>
      </c>
      <c r="B176" s="1">
        <v>890982616</v>
      </c>
      <c r="C176" s="9">
        <v>214805148</v>
      </c>
      <c r="D176" s="10" t="s">
        <v>73</v>
      </c>
      <c r="E176" s="45" t="s">
        <v>1104</v>
      </c>
      <c r="F176" s="21"/>
      <c r="G176" s="59"/>
      <c r="H176" s="21"/>
      <c r="I176" s="59"/>
      <c r="J176" s="21"/>
      <c r="K176" s="21"/>
      <c r="L176" s="59"/>
      <c r="M176" s="60"/>
      <c r="N176" s="21"/>
      <c r="O176" s="59"/>
      <c r="P176" s="21"/>
      <c r="Q176" s="59"/>
      <c r="R176" s="21"/>
      <c r="S176" s="21"/>
      <c r="T176" s="59"/>
      <c r="U176" s="60">
        <f t="shared" si="17"/>
        <v>0</v>
      </c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>
        <v>654419945</v>
      </c>
      <c r="AN176" s="60">
        <f t="shared" si="26"/>
        <v>654419945</v>
      </c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>
        <v>241289830</v>
      </c>
      <c r="AZ176" s="60"/>
      <c r="BA176" s="60">
        <f>VLOOKUP(B176,[2]Hoja3!J$3:K$674,2,0)</f>
        <v>49914936</v>
      </c>
      <c r="BB176" s="60"/>
      <c r="BC176" s="61">
        <f t="shared" si="18"/>
        <v>945624711</v>
      </c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>
        <v>48257966</v>
      </c>
      <c r="BO176" s="60"/>
      <c r="BP176" s="61">
        <v>993882677</v>
      </c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>
        <v>48257966</v>
      </c>
      <c r="CD176" s="61"/>
      <c r="CE176" s="61"/>
      <c r="CF176" s="61"/>
      <c r="CG176" s="61">
        <f t="shared" si="19"/>
        <v>1042140643</v>
      </c>
      <c r="CH176" s="62">
        <f>VLOOKUP(B176,[1]RPTNCT049_ConsultaSaldosContabl!I$4:K$7987,3,0)</f>
        <v>337805762</v>
      </c>
      <c r="CI176" s="62">
        <f t="shared" si="20"/>
        <v>704334881</v>
      </c>
      <c r="CJ176" s="63">
        <f t="shared" si="21"/>
        <v>1042140643</v>
      </c>
      <c r="CK176" s="64">
        <f t="shared" si="22"/>
        <v>0</v>
      </c>
      <c r="CL176" s="16"/>
      <c r="CM176" s="16"/>
      <c r="CN176" s="16"/>
    </row>
    <row r="177" spans="1:96" ht="15" customHeight="1" x14ac:dyDescent="0.2">
      <c r="A177" s="1">
        <v>8180013419</v>
      </c>
      <c r="B177" s="1">
        <v>818001341</v>
      </c>
      <c r="C177" s="9">
        <v>215027150</v>
      </c>
      <c r="D177" s="10" t="s">
        <v>575</v>
      </c>
      <c r="E177" s="45" t="s">
        <v>1595</v>
      </c>
      <c r="F177" s="21"/>
      <c r="G177" s="59"/>
      <c r="H177" s="21"/>
      <c r="I177" s="59"/>
      <c r="J177" s="21"/>
      <c r="K177" s="21"/>
      <c r="L177" s="59"/>
      <c r="M177" s="60"/>
      <c r="N177" s="21"/>
      <c r="O177" s="59"/>
      <c r="P177" s="21"/>
      <c r="Q177" s="59"/>
      <c r="R177" s="21"/>
      <c r="S177" s="21"/>
      <c r="T177" s="59"/>
      <c r="U177" s="60">
        <f t="shared" si="17"/>
        <v>0</v>
      </c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>
        <v>191705515</v>
      </c>
      <c r="AN177" s="60">
        <f t="shared" si="26"/>
        <v>191705515</v>
      </c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>
        <v>204017960</v>
      </c>
      <c r="AZ177" s="60"/>
      <c r="BA177" s="60"/>
      <c r="BB177" s="60"/>
      <c r="BC177" s="61">
        <f t="shared" si="18"/>
        <v>395723475</v>
      </c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>
        <v>40803592</v>
      </c>
      <c r="BO177" s="60"/>
      <c r="BP177" s="61">
        <v>436527067</v>
      </c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>
        <v>40803592</v>
      </c>
      <c r="CD177" s="61"/>
      <c r="CE177" s="61"/>
      <c r="CF177" s="61"/>
      <c r="CG177" s="61">
        <f t="shared" si="19"/>
        <v>477330659</v>
      </c>
      <c r="CH177" s="62">
        <f>VLOOKUP(B177,[1]RPTNCT049_ConsultaSaldosContabl!I$4:K$7987,3,0)</f>
        <v>285625144</v>
      </c>
      <c r="CI177" s="62">
        <f t="shared" si="20"/>
        <v>191705515</v>
      </c>
      <c r="CJ177" s="63">
        <f t="shared" si="21"/>
        <v>477330659</v>
      </c>
      <c r="CK177" s="64">
        <f t="shared" si="22"/>
        <v>0</v>
      </c>
      <c r="CL177" s="16"/>
      <c r="CM177" s="16"/>
      <c r="CN177" s="16"/>
    </row>
    <row r="178" spans="1:96" ht="15" customHeight="1" x14ac:dyDescent="0.2">
      <c r="A178" s="1">
        <v>8909840681</v>
      </c>
      <c r="B178" s="1">
        <v>890984068</v>
      </c>
      <c r="C178" s="9">
        <v>215005150</v>
      </c>
      <c r="D178" s="10" t="s">
        <v>74</v>
      </c>
      <c r="E178" s="45" t="s">
        <v>1105</v>
      </c>
      <c r="F178" s="21"/>
      <c r="G178" s="59"/>
      <c r="H178" s="21"/>
      <c r="I178" s="59"/>
      <c r="J178" s="21"/>
      <c r="K178" s="21"/>
      <c r="L178" s="59"/>
      <c r="M178" s="60"/>
      <c r="N178" s="21"/>
      <c r="O178" s="59"/>
      <c r="P178" s="21"/>
      <c r="Q178" s="59"/>
      <c r="R178" s="21"/>
      <c r="S178" s="21"/>
      <c r="T178" s="59"/>
      <c r="U178" s="60">
        <f t="shared" si="17"/>
        <v>0</v>
      </c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>
        <v>31847275</v>
      </c>
      <c r="AZ178" s="60"/>
      <c r="BA178" s="60">
        <f>VLOOKUP(B178,[2]Hoja3!J$3:K$674,2,0)</f>
        <v>52266030</v>
      </c>
      <c r="BB178" s="60"/>
      <c r="BC178" s="61">
        <f t="shared" si="18"/>
        <v>84113305</v>
      </c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>
        <v>6369455</v>
      </c>
      <c r="BO178" s="60"/>
      <c r="BP178" s="61">
        <v>90482760</v>
      </c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>
        <v>6369455</v>
      </c>
      <c r="CD178" s="61"/>
      <c r="CE178" s="61"/>
      <c r="CF178" s="61"/>
      <c r="CG178" s="61">
        <f t="shared" si="19"/>
        <v>96852215</v>
      </c>
      <c r="CH178" s="62">
        <f>VLOOKUP(B178,[1]RPTNCT049_ConsultaSaldosContabl!I$4:K$7987,3,0)</f>
        <v>44586185</v>
      </c>
      <c r="CI178" s="62">
        <f t="shared" si="20"/>
        <v>52266030</v>
      </c>
      <c r="CJ178" s="63">
        <f t="shared" si="21"/>
        <v>96852215</v>
      </c>
      <c r="CK178" s="64">
        <f t="shared" si="22"/>
        <v>0</v>
      </c>
      <c r="CL178" s="16"/>
      <c r="CM178" s="16"/>
      <c r="CN178" s="16"/>
    </row>
    <row r="179" spans="1:96" ht="15" customHeight="1" x14ac:dyDescent="0.2">
      <c r="A179" s="1">
        <v>8000957544</v>
      </c>
      <c r="B179" s="1">
        <v>800095754</v>
      </c>
      <c r="C179" s="9">
        <v>215018150</v>
      </c>
      <c r="D179" s="10" t="s">
        <v>363</v>
      </c>
      <c r="E179" s="45" t="s">
        <v>1393</v>
      </c>
      <c r="F179" s="21"/>
      <c r="G179" s="59"/>
      <c r="H179" s="21"/>
      <c r="I179" s="59"/>
      <c r="J179" s="21"/>
      <c r="K179" s="21"/>
      <c r="L179" s="59"/>
      <c r="M179" s="60"/>
      <c r="N179" s="21"/>
      <c r="O179" s="59"/>
      <c r="P179" s="21"/>
      <c r="Q179" s="59"/>
      <c r="R179" s="21"/>
      <c r="S179" s="21"/>
      <c r="T179" s="59"/>
      <c r="U179" s="60">
        <f t="shared" si="17"/>
        <v>0</v>
      </c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>
        <v>423093706</v>
      </c>
      <c r="AN179" s="60">
        <f>SUBTOTAL(9,AC179:AM179)</f>
        <v>423093706</v>
      </c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>
        <v>341691635</v>
      </c>
      <c r="AZ179" s="60"/>
      <c r="BA179" s="60">
        <f>VLOOKUP(B179,[2]Hoja3!J$3:K$674,2,0)</f>
        <v>201464621</v>
      </c>
      <c r="BB179" s="60"/>
      <c r="BC179" s="61">
        <f t="shared" si="18"/>
        <v>966249962</v>
      </c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>
        <v>68338327</v>
      </c>
      <c r="BO179" s="60"/>
      <c r="BP179" s="61">
        <v>1034588289</v>
      </c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>
        <v>68338327</v>
      </c>
      <c r="CD179" s="61"/>
      <c r="CE179" s="61"/>
      <c r="CF179" s="61"/>
      <c r="CG179" s="61">
        <f t="shared" si="19"/>
        <v>1102926616</v>
      </c>
      <c r="CH179" s="62">
        <f>VLOOKUP(B179,[1]RPTNCT049_ConsultaSaldosContabl!I$4:K$7987,3,0)</f>
        <v>478368289</v>
      </c>
      <c r="CI179" s="62">
        <f t="shared" si="20"/>
        <v>624558327</v>
      </c>
      <c r="CJ179" s="63">
        <f t="shared" si="21"/>
        <v>1102926616</v>
      </c>
      <c r="CK179" s="64">
        <f t="shared" si="22"/>
        <v>0</v>
      </c>
      <c r="CL179" s="16"/>
      <c r="CM179" s="16"/>
      <c r="CN179" s="16"/>
    </row>
    <row r="180" spans="1:96" ht="15" customHeight="1" x14ac:dyDescent="0.2">
      <c r="A180" s="1">
        <v>8919004932</v>
      </c>
      <c r="B180" s="1">
        <v>891900493</v>
      </c>
      <c r="C180" s="9">
        <v>214776147</v>
      </c>
      <c r="D180" s="10" t="s">
        <v>2149</v>
      </c>
      <c r="E180" s="47" t="s">
        <v>1065</v>
      </c>
      <c r="F180" s="21"/>
      <c r="G180" s="59"/>
      <c r="H180" s="21"/>
      <c r="I180" s="59">
        <f>2824622000+103426709</f>
        <v>2928048709</v>
      </c>
      <c r="J180" s="21">
        <v>183364802</v>
      </c>
      <c r="K180" s="21">
        <v>363713178</v>
      </c>
      <c r="L180" s="59"/>
      <c r="M180" s="61">
        <f>SUM(F180:L180)</f>
        <v>3475126689</v>
      </c>
      <c r="N180" s="21"/>
      <c r="O180" s="59"/>
      <c r="P180" s="21"/>
      <c r="Q180" s="59">
        <f>2694835856+47012140</f>
        <v>2741847996</v>
      </c>
      <c r="R180" s="21">
        <v>183364802</v>
      </c>
      <c r="S180" s="21">
        <f>180348376+183364802</f>
        <v>363713178</v>
      </c>
      <c r="T180" s="59"/>
      <c r="U180" s="60">
        <f t="shared" si="17"/>
        <v>6764052665</v>
      </c>
      <c r="V180" s="60"/>
      <c r="W180" s="60"/>
      <c r="X180" s="60"/>
      <c r="Y180" s="60">
        <v>3366740741</v>
      </c>
      <c r="Z180" s="60">
        <v>182454413</v>
      </c>
      <c r="AA180" s="60">
        <v>427775363</v>
      </c>
      <c r="AB180" s="60"/>
      <c r="AC180" s="60">
        <f t="shared" si="25"/>
        <v>10741023182</v>
      </c>
      <c r="AD180" s="60"/>
      <c r="AE180" s="60"/>
      <c r="AF180" s="60"/>
      <c r="AG180" s="60"/>
      <c r="AH180" s="60">
        <v>2753936592</v>
      </c>
      <c r="AI180" s="60">
        <v>473260650</v>
      </c>
      <c r="AJ180" s="60">
        <v>189408933</v>
      </c>
      <c r="AK180" s="60">
        <v>477371880</v>
      </c>
      <c r="AL180" s="60"/>
      <c r="AM180" s="60">
        <v>1233573225</v>
      </c>
      <c r="AN180" s="60">
        <f>SUBTOTAL(9,AC180:AM180)</f>
        <v>15868574462</v>
      </c>
      <c r="AO180" s="60"/>
      <c r="AP180" s="60"/>
      <c r="AQ180" s="60">
        <v>489338300</v>
      </c>
      <c r="AR180" s="60"/>
      <c r="AS180" s="60"/>
      <c r="AT180" s="60">
        <v>2753936592</v>
      </c>
      <c r="AU180" s="60"/>
      <c r="AV180" s="60">
        <v>189408933</v>
      </c>
      <c r="AW180" s="60">
        <v>323337738</v>
      </c>
      <c r="AX180" s="60"/>
      <c r="AY180" s="60"/>
      <c r="AZ180" s="60"/>
      <c r="BA180" s="60"/>
      <c r="BB180" s="60"/>
      <c r="BC180" s="61">
        <f t="shared" si="18"/>
        <v>19624596025</v>
      </c>
      <c r="BD180" s="60"/>
      <c r="BE180" s="60"/>
      <c r="BF180" s="60">
        <v>97867660</v>
      </c>
      <c r="BG180" s="60"/>
      <c r="BH180" s="60"/>
      <c r="BI180" s="60">
        <v>2751861883</v>
      </c>
      <c r="BJ180" s="60">
        <v>160798750</v>
      </c>
      <c r="BK180" s="60">
        <v>167618319</v>
      </c>
      <c r="BL180" s="60">
        <v>355888195</v>
      </c>
      <c r="BM180" s="60"/>
      <c r="BN180" s="60"/>
      <c r="BO180" s="60"/>
      <c r="BP180" s="61">
        <v>23158630832</v>
      </c>
      <c r="BQ180" s="61"/>
      <c r="BR180" s="61"/>
      <c r="BS180" s="61">
        <v>97867660</v>
      </c>
      <c r="BT180" s="61"/>
      <c r="BU180" s="61"/>
      <c r="BV180" s="61"/>
      <c r="BW180" s="61">
        <v>2801474208</v>
      </c>
      <c r="BX180" s="61"/>
      <c r="BY180" s="61">
        <v>1204052983</v>
      </c>
      <c r="BZ180" s="61">
        <v>184824300</v>
      </c>
      <c r="CA180" s="61">
        <v>486218471</v>
      </c>
      <c r="CB180" s="61"/>
      <c r="CC180" s="61"/>
      <c r="CD180" s="61"/>
      <c r="CE180" s="61">
        <v>45428107</v>
      </c>
      <c r="CF180" s="61"/>
      <c r="CG180" s="61">
        <f t="shared" si="19"/>
        <v>27978496561</v>
      </c>
      <c r="CH180" s="62">
        <f>VLOOKUP(B180,[1]RPTNCT049_ConsultaSaldosContabl!I$4:K$7987,3,0)</f>
        <v>26699495229</v>
      </c>
      <c r="CI180" s="62">
        <f t="shared" si="20"/>
        <v>1279001332</v>
      </c>
      <c r="CJ180" s="63">
        <f t="shared" si="21"/>
        <v>27978496561</v>
      </c>
      <c r="CK180" s="64">
        <f t="shared" si="22"/>
        <v>0</v>
      </c>
      <c r="CL180" s="16"/>
      <c r="CM180" s="16"/>
      <c r="CN180" s="16"/>
    </row>
    <row r="181" spans="1:96" ht="15" customHeight="1" x14ac:dyDescent="0.2">
      <c r="A181" s="1">
        <v>8320006054</v>
      </c>
      <c r="B181" s="1">
        <v>832000605</v>
      </c>
      <c r="C181" s="9">
        <v>216197161</v>
      </c>
      <c r="D181" s="10" t="s">
        <v>995</v>
      </c>
      <c r="E181" s="27" t="s">
        <v>2052</v>
      </c>
      <c r="F181" s="21"/>
      <c r="G181" s="59"/>
      <c r="H181" s="21"/>
      <c r="I181" s="59"/>
      <c r="J181" s="21"/>
      <c r="K181" s="21"/>
      <c r="L181" s="59"/>
      <c r="M181" s="60"/>
      <c r="N181" s="21"/>
      <c r="O181" s="59"/>
      <c r="P181" s="21"/>
      <c r="Q181" s="59"/>
      <c r="R181" s="21"/>
      <c r="S181" s="21"/>
      <c r="T181" s="59"/>
      <c r="U181" s="60">
        <f t="shared" si="17"/>
        <v>0</v>
      </c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1">
        <f t="shared" si="18"/>
        <v>0</v>
      </c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>
        <v>0</v>
      </c>
      <c r="BO181" s="60"/>
      <c r="BP181" s="60">
        <v>0</v>
      </c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>
        <v>0</v>
      </c>
      <c r="CD181" s="61"/>
      <c r="CE181" s="61"/>
      <c r="CF181" s="61"/>
      <c r="CG181" s="61">
        <f t="shared" si="19"/>
        <v>0</v>
      </c>
      <c r="CH181" s="62"/>
      <c r="CI181" s="62">
        <f t="shared" si="20"/>
        <v>0</v>
      </c>
      <c r="CJ181" s="63">
        <f t="shared" si="21"/>
        <v>0</v>
      </c>
      <c r="CK181" s="64">
        <f t="shared" si="22"/>
        <v>0</v>
      </c>
      <c r="CL181" s="16"/>
      <c r="CM181" s="16"/>
      <c r="CN181" s="8"/>
      <c r="CO181" s="8"/>
      <c r="CP181" s="8"/>
      <c r="CQ181" s="8"/>
      <c r="CR181" s="8"/>
    </row>
    <row r="182" spans="1:96" ht="15" customHeight="1" x14ac:dyDescent="0.2">
      <c r="A182" s="1">
        <v>8907020217</v>
      </c>
      <c r="B182" s="1">
        <v>890702021</v>
      </c>
      <c r="C182" s="9">
        <v>215273152</v>
      </c>
      <c r="D182" s="10" t="s">
        <v>2209</v>
      </c>
      <c r="E182" s="45" t="s">
        <v>1936</v>
      </c>
      <c r="F182" s="21"/>
      <c r="G182" s="59"/>
      <c r="H182" s="21"/>
      <c r="I182" s="59"/>
      <c r="J182" s="21"/>
      <c r="K182" s="21"/>
      <c r="L182" s="59"/>
      <c r="M182" s="60"/>
      <c r="N182" s="21"/>
      <c r="O182" s="59"/>
      <c r="P182" s="21"/>
      <c r="Q182" s="59"/>
      <c r="R182" s="21"/>
      <c r="S182" s="21"/>
      <c r="T182" s="59"/>
      <c r="U182" s="60">
        <f t="shared" si="17"/>
        <v>0</v>
      </c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>
        <v>43858880</v>
      </c>
      <c r="AZ182" s="60"/>
      <c r="BA182" s="60">
        <f>VLOOKUP(B182,[2]Hoja3!J$3:K$674,2,0)</f>
        <v>106709090</v>
      </c>
      <c r="BB182" s="60"/>
      <c r="BC182" s="61">
        <f t="shared" si="18"/>
        <v>150567970</v>
      </c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>
        <v>8771776</v>
      </c>
      <c r="BO182" s="60"/>
      <c r="BP182" s="61">
        <v>159339746</v>
      </c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>
        <v>8771776</v>
      </c>
      <c r="CD182" s="61"/>
      <c r="CE182" s="61"/>
      <c r="CF182" s="61"/>
      <c r="CG182" s="61">
        <f t="shared" si="19"/>
        <v>168111522</v>
      </c>
      <c r="CH182" s="62">
        <f>VLOOKUP(B182,[1]RPTNCT049_ConsultaSaldosContabl!I$4:K$7987,3,0)</f>
        <v>61402432</v>
      </c>
      <c r="CI182" s="62">
        <f t="shared" si="20"/>
        <v>106709090</v>
      </c>
      <c r="CJ182" s="63">
        <f t="shared" si="21"/>
        <v>168111522</v>
      </c>
      <c r="CK182" s="64">
        <f t="shared" si="22"/>
        <v>0</v>
      </c>
      <c r="CL182" s="16"/>
      <c r="CM182" s="16"/>
      <c r="CN182" s="16"/>
    </row>
    <row r="183" spans="1:96" ht="15" customHeight="1" x14ac:dyDescent="0.2">
      <c r="A183" s="1">
        <v>8000981904</v>
      </c>
      <c r="B183" s="1">
        <v>800098190</v>
      </c>
      <c r="C183" s="9">
        <v>215050150</v>
      </c>
      <c r="D183" s="10" t="s">
        <v>2130</v>
      </c>
      <c r="E183" s="45" t="s">
        <v>1689</v>
      </c>
      <c r="F183" s="21"/>
      <c r="G183" s="59"/>
      <c r="H183" s="21"/>
      <c r="I183" s="59"/>
      <c r="J183" s="21"/>
      <c r="K183" s="21"/>
      <c r="L183" s="59"/>
      <c r="M183" s="60"/>
      <c r="N183" s="21"/>
      <c r="O183" s="59"/>
      <c r="P183" s="21"/>
      <c r="Q183" s="59"/>
      <c r="R183" s="21"/>
      <c r="S183" s="21"/>
      <c r="T183" s="59"/>
      <c r="U183" s="60">
        <f t="shared" si="17"/>
        <v>0</v>
      </c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>
        <v>171303804</v>
      </c>
      <c r="AN183" s="60">
        <f>SUBTOTAL(9,AC183:AM183)</f>
        <v>171303804</v>
      </c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>
        <v>75583530</v>
      </c>
      <c r="AZ183" s="60"/>
      <c r="BA183" s="60"/>
      <c r="BB183" s="60"/>
      <c r="BC183" s="61">
        <f t="shared" si="18"/>
        <v>246887334</v>
      </c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>
        <v>15116706</v>
      </c>
      <c r="BO183" s="60"/>
      <c r="BP183" s="61">
        <v>262004040</v>
      </c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>
        <v>15116706</v>
      </c>
      <c r="CD183" s="61"/>
      <c r="CE183" s="61">
        <v>65356133</v>
      </c>
      <c r="CF183" s="61"/>
      <c r="CG183" s="61">
        <f t="shared" si="19"/>
        <v>342476879</v>
      </c>
      <c r="CH183" s="62">
        <f>VLOOKUP(B183,[1]RPTNCT049_ConsultaSaldosContabl!I$4:K$7987,3,0)</f>
        <v>105816942</v>
      </c>
      <c r="CI183" s="62">
        <f t="shared" si="20"/>
        <v>236659937</v>
      </c>
      <c r="CJ183" s="63">
        <f t="shared" si="21"/>
        <v>342476879</v>
      </c>
      <c r="CK183" s="64">
        <f t="shared" si="22"/>
        <v>0</v>
      </c>
      <c r="CL183" s="16"/>
      <c r="CM183" s="16"/>
      <c r="CN183" s="16"/>
    </row>
    <row r="184" spans="1:96" ht="15" customHeight="1" x14ac:dyDescent="0.2">
      <c r="A184" s="1">
        <v>8909064452</v>
      </c>
      <c r="B184" s="1">
        <v>890906445</v>
      </c>
      <c r="C184" s="9">
        <v>215405154</v>
      </c>
      <c r="D184" s="10" t="s">
        <v>75</v>
      </c>
      <c r="E184" s="45" t="s">
        <v>1106</v>
      </c>
      <c r="F184" s="21"/>
      <c r="G184" s="59"/>
      <c r="H184" s="21"/>
      <c r="I184" s="59"/>
      <c r="J184" s="21"/>
      <c r="K184" s="21"/>
      <c r="L184" s="59"/>
      <c r="M184" s="60"/>
      <c r="N184" s="21"/>
      <c r="O184" s="59"/>
      <c r="P184" s="21"/>
      <c r="Q184" s="59"/>
      <c r="R184" s="21"/>
      <c r="S184" s="21"/>
      <c r="T184" s="59"/>
      <c r="U184" s="60">
        <f t="shared" si="17"/>
        <v>0</v>
      </c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>
        <v>1371710927</v>
      </c>
      <c r="AN184" s="60">
        <f>SUBTOTAL(9,AC184:AM184)</f>
        <v>1371710927</v>
      </c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>
        <v>860071855</v>
      </c>
      <c r="AZ184" s="60"/>
      <c r="BA184" s="60"/>
      <c r="BB184" s="60">
        <f>VLOOKUP(B184,'[3]anuladas en mayo gratuidad}'!K$2:L$55,2,0)</f>
        <v>622448293</v>
      </c>
      <c r="BC184" s="61">
        <f t="shared" si="18"/>
        <v>1609334489</v>
      </c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>
        <v>172014371</v>
      </c>
      <c r="BO184" s="60"/>
      <c r="BP184" s="61">
        <v>1781348860</v>
      </c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>
        <v>172014371</v>
      </c>
      <c r="CD184" s="61"/>
      <c r="CE184" s="61"/>
      <c r="CF184" s="61"/>
      <c r="CG184" s="61">
        <f t="shared" si="19"/>
        <v>1953363231</v>
      </c>
      <c r="CH184" s="62">
        <f>VLOOKUP(B184,[1]RPTNCT049_ConsultaSaldosContabl!I$4:K$7987,3,0)</f>
        <v>1204100597</v>
      </c>
      <c r="CI184" s="62">
        <f t="shared" si="20"/>
        <v>749262634</v>
      </c>
      <c r="CJ184" s="63">
        <f t="shared" si="21"/>
        <v>1953363231</v>
      </c>
      <c r="CK184" s="64">
        <f t="shared" si="22"/>
        <v>0</v>
      </c>
      <c r="CL184" s="16"/>
      <c r="CM184" s="16"/>
      <c r="CN184" s="16"/>
    </row>
    <row r="185" spans="1:96" ht="15" customHeight="1" x14ac:dyDescent="0.2">
      <c r="A185" s="1">
        <v>8902046993</v>
      </c>
      <c r="B185" s="1">
        <v>890204699</v>
      </c>
      <c r="C185" s="9">
        <v>216068160</v>
      </c>
      <c r="D185" s="10" t="s">
        <v>823</v>
      </c>
      <c r="E185" s="45" t="s">
        <v>1839</v>
      </c>
      <c r="F185" s="21"/>
      <c r="G185" s="59"/>
      <c r="H185" s="21"/>
      <c r="I185" s="59"/>
      <c r="J185" s="21"/>
      <c r="K185" s="21"/>
      <c r="L185" s="59"/>
      <c r="M185" s="60"/>
      <c r="N185" s="21"/>
      <c r="O185" s="59"/>
      <c r="P185" s="21"/>
      <c r="Q185" s="59"/>
      <c r="R185" s="21"/>
      <c r="S185" s="21"/>
      <c r="T185" s="59"/>
      <c r="U185" s="60">
        <f t="shared" si="17"/>
        <v>0</v>
      </c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>
        <v>13609135</v>
      </c>
      <c r="AZ185" s="60"/>
      <c r="BA185" s="60">
        <f>VLOOKUP(B185,[2]Hoja3!J$3:K$674,2,0)</f>
        <v>27908081</v>
      </c>
      <c r="BB185" s="60"/>
      <c r="BC185" s="61">
        <f t="shared" si="18"/>
        <v>41517216</v>
      </c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>
        <v>2721827</v>
      </c>
      <c r="BO185" s="60"/>
      <c r="BP185" s="61">
        <v>44239043</v>
      </c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>
        <v>2721827</v>
      </c>
      <c r="CD185" s="61"/>
      <c r="CE185" s="61"/>
      <c r="CF185" s="61"/>
      <c r="CG185" s="61">
        <f t="shared" si="19"/>
        <v>46960870</v>
      </c>
      <c r="CH185" s="62">
        <f>VLOOKUP(B185,[1]RPTNCT049_ConsultaSaldosContabl!I$4:K$7987,3,0)</f>
        <v>19052789</v>
      </c>
      <c r="CI185" s="62">
        <f t="shared" si="20"/>
        <v>27908081</v>
      </c>
      <c r="CJ185" s="63">
        <f t="shared" si="21"/>
        <v>46960870</v>
      </c>
      <c r="CK185" s="64">
        <f t="shared" si="22"/>
        <v>0</v>
      </c>
      <c r="CL185" s="16"/>
      <c r="CM185" s="16"/>
      <c r="CN185" s="16"/>
    </row>
    <row r="186" spans="1:96" ht="15" customHeight="1" x14ac:dyDescent="0.2">
      <c r="A186" s="1">
        <v>8000967445</v>
      </c>
      <c r="B186" s="1">
        <v>800096744</v>
      </c>
      <c r="C186" s="9">
        <v>216223162</v>
      </c>
      <c r="D186" s="10" t="s">
        <v>440</v>
      </c>
      <c r="E186" s="45" t="s">
        <v>1467</v>
      </c>
      <c r="F186" s="21"/>
      <c r="G186" s="59"/>
      <c r="H186" s="21"/>
      <c r="I186" s="59"/>
      <c r="J186" s="21"/>
      <c r="K186" s="21"/>
      <c r="L186" s="59"/>
      <c r="M186" s="60"/>
      <c r="N186" s="21"/>
      <c r="O186" s="59"/>
      <c r="P186" s="21"/>
      <c r="Q186" s="59"/>
      <c r="R186" s="21"/>
      <c r="S186" s="21"/>
      <c r="T186" s="59"/>
      <c r="U186" s="60">
        <f t="shared" si="17"/>
        <v>0</v>
      </c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>
        <v>1078753198</v>
      </c>
      <c r="AN186" s="60">
        <f>SUBTOTAL(9,AC186:AM186)</f>
        <v>1078753198</v>
      </c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>
        <v>721747760</v>
      </c>
      <c r="AZ186" s="60"/>
      <c r="BA186" s="60">
        <f>VLOOKUP(B186,[2]Hoja3!J$3:K$674,2,0)</f>
        <v>129661901</v>
      </c>
      <c r="BB186" s="60"/>
      <c r="BC186" s="61">
        <f t="shared" si="18"/>
        <v>1930162859</v>
      </c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>
        <v>144349552</v>
      </c>
      <c r="BO186" s="60"/>
      <c r="BP186" s="61">
        <v>2074512411</v>
      </c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>
        <v>144349552</v>
      </c>
      <c r="CD186" s="61"/>
      <c r="CE186" s="61"/>
      <c r="CF186" s="61"/>
      <c r="CG186" s="61">
        <f t="shared" si="19"/>
        <v>2218861963</v>
      </c>
      <c r="CH186" s="62">
        <f>VLOOKUP(B186,[1]RPTNCT049_ConsultaSaldosContabl!I$4:K$7987,3,0)</f>
        <v>1010446864</v>
      </c>
      <c r="CI186" s="62">
        <f t="shared" si="20"/>
        <v>1208415099</v>
      </c>
      <c r="CJ186" s="63">
        <f t="shared" si="21"/>
        <v>2218861963</v>
      </c>
      <c r="CK186" s="64">
        <f t="shared" si="22"/>
        <v>0</v>
      </c>
      <c r="CL186" s="16"/>
      <c r="CM186" s="16"/>
      <c r="CN186" s="16"/>
    </row>
    <row r="187" spans="1:96" ht="15" customHeight="1" x14ac:dyDescent="0.2">
      <c r="A187" s="1">
        <v>8918578053</v>
      </c>
      <c r="B187" s="1">
        <v>891857805</v>
      </c>
      <c r="C187" s="9">
        <v>216215162</v>
      </c>
      <c r="D187" s="10" t="s">
        <v>230</v>
      </c>
      <c r="E187" s="45" t="s">
        <v>1266</v>
      </c>
      <c r="F187" s="21"/>
      <c r="G187" s="59"/>
      <c r="H187" s="21"/>
      <c r="I187" s="59"/>
      <c r="J187" s="21"/>
      <c r="K187" s="21"/>
      <c r="L187" s="59"/>
      <c r="M187" s="60"/>
      <c r="N187" s="21"/>
      <c r="O187" s="59"/>
      <c r="P187" s="21"/>
      <c r="Q187" s="59"/>
      <c r="R187" s="21"/>
      <c r="S187" s="21"/>
      <c r="T187" s="59"/>
      <c r="U187" s="60">
        <f t="shared" si="17"/>
        <v>0</v>
      </c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>
        <v>26679215</v>
      </c>
      <c r="AZ187" s="60"/>
      <c r="BA187" s="60">
        <f>VLOOKUP(B187,[2]Hoja3!J$3:K$674,2,0)</f>
        <v>47203553</v>
      </c>
      <c r="BB187" s="60"/>
      <c r="BC187" s="61">
        <f t="shared" si="18"/>
        <v>73882768</v>
      </c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>
        <v>5335843</v>
      </c>
      <c r="BO187" s="60"/>
      <c r="BP187" s="61">
        <v>79218611</v>
      </c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>
        <v>5335843</v>
      </c>
      <c r="CD187" s="61"/>
      <c r="CE187" s="61"/>
      <c r="CF187" s="61"/>
      <c r="CG187" s="61">
        <f t="shared" si="19"/>
        <v>84554454</v>
      </c>
      <c r="CH187" s="62">
        <f>VLOOKUP(B187,[1]RPTNCT049_ConsultaSaldosContabl!I$4:K$7987,3,0)</f>
        <v>37350901</v>
      </c>
      <c r="CI187" s="62">
        <f t="shared" si="20"/>
        <v>47203553</v>
      </c>
      <c r="CJ187" s="63">
        <f t="shared" si="21"/>
        <v>84554454</v>
      </c>
      <c r="CK187" s="64">
        <f t="shared" si="22"/>
        <v>0</v>
      </c>
      <c r="CL187" s="16"/>
      <c r="CM187" s="16"/>
      <c r="CN187" s="8"/>
      <c r="CO187" s="8"/>
      <c r="CP187" s="8"/>
      <c r="CQ187" s="8"/>
      <c r="CR187" s="8"/>
    </row>
    <row r="188" spans="1:96" ht="15" customHeight="1" x14ac:dyDescent="0.2">
      <c r="A188" s="1">
        <v>8902098899</v>
      </c>
      <c r="B188" s="1">
        <v>890209889</v>
      </c>
      <c r="C188" s="9">
        <v>216268162</v>
      </c>
      <c r="D188" s="10" t="s">
        <v>824</v>
      </c>
      <c r="E188" s="45" t="s">
        <v>1840</v>
      </c>
      <c r="F188" s="21"/>
      <c r="G188" s="59"/>
      <c r="H188" s="21"/>
      <c r="I188" s="59"/>
      <c r="J188" s="21"/>
      <c r="K188" s="21"/>
      <c r="L188" s="59"/>
      <c r="M188" s="60"/>
      <c r="N188" s="21"/>
      <c r="O188" s="59"/>
      <c r="P188" s="21"/>
      <c r="Q188" s="59"/>
      <c r="R188" s="21"/>
      <c r="S188" s="21"/>
      <c r="T188" s="59"/>
      <c r="U188" s="60">
        <f t="shared" si="17"/>
        <v>0</v>
      </c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>
        <v>44601005</v>
      </c>
      <c r="AZ188" s="60"/>
      <c r="BA188" s="60">
        <f>VLOOKUP(B188,[2]Hoja3!J$3:K$674,2,0)</f>
        <v>92371264</v>
      </c>
      <c r="BB188" s="60"/>
      <c r="BC188" s="61">
        <f t="shared" si="18"/>
        <v>136972269</v>
      </c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>
        <v>8920201</v>
      </c>
      <c r="BO188" s="60"/>
      <c r="BP188" s="61">
        <v>145892470</v>
      </c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>
        <v>8920201</v>
      </c>
      <c r="CD188" s="61"/>
      <c r="CE188" s="61"/>
      <c r="CF188" s="61"/>
      <c r="CG188" s="61">
        <f t="shared" si="19"/>
        <v>154812671</v>
      </c>
      <c r="CH188" s="62">
        <f>VLOOKUP(B188,[1]RPTNCT049_ConsultaSaldosContabl!I$4:K$7987,3,0)</f>
        <v>62441407</v>
      </c>
      <c r="CI188" s="62">
        <f t="shared" si="20"/>
        <v>92371264</v>
      </c>
      <c r="CJ188" s="63">
        <f t="shared" si="21"/>
        <v>154812671</v>
      </c>
      <c r="CK188" s="64">
        <f t="shared" si="22"/>
        <v>0</v>
      </c>
      <c r="CL188" s="16"/>
      <c r="CM188" s="16"/>
      <c r="CN188" s="16"/>
    </row>
    <row r="189" spans="1:96" ht="15" customHeight="1" x14ac:dyDescent="0.2">
      <c r="A189" s="1">
        <v>8917800428</v>
      </c>
      <c r="B189" s="1">
        <v>891780042</v>
      </c>
      <c r="C189" s="9">
        <v>216147161</v>
      </c>
      <c r="D189" s="10" t="s">
        <v>2126</v>
      </c>
      <c r="E189" s="45" t="s">
        <v>1662</v>
      </c>
      <c r="F189" s="21"/>
      <c r="G189" s="59"/>
      <c r="H189" s="21"/>
      <c r="I189" s="59"/>
      <c r="J189" s="21"/>
      <c r="K189" s="21"/>
      <c r="L189" s="59"/>
      <c r="M189" s="60"/>
      <c r="N189" s="21"/>
      <c r="O189" s="59"/>
      <c r="P189" s="21"/>
      <c r="Q189" s="59"/>
      <c r="R189" s="21"/>
      <c r="S189" s="21"/>
      <c r="T189" s="59"/>
      <c r="U189" s="60">
        <f t="shared" si="17"/>
        <v>0</v>
      </c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>
        <v>104164490</v>
      </c>
      <c r="AZ189" s="60"/>
      <c r="BA189" s="60">
        <f>VLOOKUP(B189,[2]Hoja3!J$3:K$674,2,0)</f>
        <v>150942913</v>
      </c>
      <c r="BB189" s="60"/>
      <c r="BC189" s="61">
        <f t="shared" si="18"/>
        <v>255107403</v>
      </c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>
        <v>20832898</v>
      </c>
      <c r="BO189" s="60"/>
      <c r="BP189" s="61">
        <v>275940301</v>
      </c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>
        <v>20832898</v>
      </c>
      <c r="CD189" s="61"/>
      <c r="CE189" s="61"/>
      <c r="CF189" s="61"/>
      <c r="CG189" s="61">
        <f t="shared" si="19"/>
        <v>296773199</v>
      </c>
      <c r="CH189" s="62">
        <f>VLOOKUP(B189,[1]RPTNCT049_ConsultaSaldosContabl!I$4:K$7987,3,0)</f>
        <v>145830286</v>
      </c>
      <c r="CI189" s="62">
        <f t="shared" si="20"/>
        <v>150942913</v>
      </c>
      <c r="CJ189" s="63">
        <f t="shared" si="21"/>
        <v>296773199</v>
      </c>
      <c r="CK189" s="64">
        <f t="shared" si="22"/>
        <v>0</v>
      </c>
      <c r="CL189" s="16"/>
      <c r="CM189" s="16"/>
      <c r="CN189" s="16"/>
    </row>
    <row r="190" spans="1:96" ht="15" customHeight="1" x14ac:dyDescent="0.2">
      <c r="A190" s="1">
        <v>8180012023</v>
      </c>
      <c r="B190" s="1">
        <v>818001202</v>
      </c>
      <c r="C190" s="9">
        <v>216027160</v>
      </c>
      <c r="D190" s="10" t="s">
        <v>576</v>
      </c>
      <c r="E190" s="45" t="s">
        <v>1596</v>
      </c>
      <c r="F190" s="21"/>
      <c r="G190" s="59"/>
      <c r="H190" s="21"/>
      <c r="I190" s="59"/>
      <c r="J190" s="21"/>
      <c r="K190" s="21"/>
      <c r="L190" s="59"/>
      <c r="M190" s="60"/>
      <c r="N190" s="21"/>
      <c r="O190" s="59"/>
      <c r="P190" s="21"/>
      <c r="Q190" s="59"/>
      <c r="R190" s="21"/>
      <c r="S190" s="21"/>
      <c r="T190" s="59"/>
      <c r="U190" s="60">
        <f t="shared" si="17"/>
        <v>0</v>
      </c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>
        <v>88876138</v>
      </c>
      <c r="AN190" s="60">
        <f t="shared" ref="AN190:AN201" si="27">SUBTOTAL(9,AC190:AM190)</f>
        <v>88876138</v>
      </c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>
        <v>67650620</v>
      </c>
      <c r="AZ190" s="60"/>
      <c r="BA190" s="60"/>
      <c r="BB190" s="60"/>
      <c r="BC190" s="61">
        <f t="shared" si="18"/>
        <v>156526758</v>
      </c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>
        <v>13530124</v>
      </c>
      <c r="BO190" s="60"/>
      <c r="BP190" s="61">
        <v>170056882</v>
      </c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>
        <v>13530124</v>
      </c>
      <c r="CD190" s="61"/>
      <c r="CE190" s="61"/>
      <c r="CF190" s="61"/>
      <c r="CG190" s="61">
        <f t="shared" si="19"/>
        <v>183587006</v>
      </c>
      <c r="CH190" s="62">
        <f>VLOOKUP(B190,[1]RPTNCT049_ConsultaSaldosContabl!I$4:K$7987,3,0)</f>
        <v>94710868</v>
      </c>
      <c r="CI190" s="62">
        <f t="shared" si="20"/>
        <v>88876138</v>
      </c>
      <c r="CJ190" s="63">
        <f t="shared" si="21"/>
        <v>183587006</v>
      </c>
      <c r="CK190" s="64">
        <f t="shared" si="22"/>
        <v>0</v>
      </c>
      <c r="CL190" s="16"/>
      <c r="CM190" s="16"/>
      <c r="CN190" s="16"/>
    </row>
    <row r="191" spans="1:96" ht="15" customHeight="1" x14ac:dyDescent="0.2">
      <c r="A191" s="1">
        <v>8001999594</v>
      </c>
      <c r="B191" s="1">
        <v>800199959</v>
      </c>
      <c r="C191" s="9">
        <v>214052240</v>
      </c>
      <c r="D191" s="10" t="s">
        <v>705</v>
      </c>
      <c r="E191" s="45" t="s">
        <v>1727</v>
      </c>
      <c r="F191" s="21"/>
      <c r="G191" s="59"/>
      <c r="H191" s="21"/>
      <c r="I191" s="59"/>
      <c r="J191" s="21"/>
      <c r="K191" s="21"/>
      <c r="L191" s="59"/>
      <c r="M191" s="60"/>
      <c r="N191" s="21"/>
      <c r="O191" s="59"/>
      <c r="P191" s="21"/>
      <c r="Q191" s="59"/>
      <c r="R191" s="21"/>
      <c r="S191" s="21"/>
      <c r="T191" s="59"/>
      <c r="U191" s="60">
        <f t="shared" si="17"/>
        <v>0</v>
      </c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>
        <v>173468575</v>
      </c>
      <c r="AN191" s="60">
        <f t="shared" si="27"/>
        <v>173468575</v>
      </c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>
        <v>78351635</v>
      </c>
      <c r="AZ191" s="60"/>
      <c r="BA191" s="60"/>
      <c r="BB191" s="60"/>
      <c r="BC191" s="61">
        <f t="shared" si="18"/>
        <v>251820210</v>
      </c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>
        <v>15670327</v>
      </c>
      <c r="BO191" s="60"/>
      <c r="BP191" s="61">
        <v>267490537</v>
      </c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>
        <v>15670327</v>
      </c>
      <c r="CD191" s="61"/>
      <c r="CE191" s="61"/>
      <c r="CF191" s="61"/>
      <c r="CG191" s="61">
        <f t="shared" si="19"/>
        <v>283160864</v>
      </c>
      <c r="CH191" s="62">
        <f>VLOOKUP(B191,[1]RPTNCT049_ConsultaSaldosContabl!I$4:K$7987,3,0)</f>
        <v>109692289</v>
      </c>
      <c r="CI191" s="62">
        <f t="shared" si="20"/>
        <v>173468575</v>
      </c>
      <c r="CJ191" s="63">
        <f t="shared" si="21"/>
        <v>283160864</v>
      </c>
      <c r="CK191" s="64">
        <f t="shared" si="22"/>
        <v>0</v>
      </c>
      <c r="CL191" s="16"/>
      <c r="CM191" s="16"/>
      <c r="CN191" s="16"/>
    </row>
    <row r="192" spans="1:96" s="14" customFormat="1" ht="15" customHeight="1" x14ac:dyDescent="0.2">
      <c r="A192" s="1">
        <v>8999994002</v>
      </c>
      <c r="B192" s="1">
        <v>899999400</v>
      </c>
      <c r="C192" s="9">
        <v>216825168</v>
      </c>
      <c r="D192" s="10" t="s">
        <v>474</v>
      </c>
      <c r="E192" s="45" t="s">
        <v>1500</v>
      </c>
      <c r="F192" s="21"/>
      <c r="G192" s="59"/>
      <c r="H192" s="21"/>
      <c r="I192" s="59"/>
      <c r="J192" s="21"/>
      <c r="K192" s="21"/>
      <c r="L192" s="59"/>
      <c r="M192" s="60"/>
      <c r="N192" s="21"/>
      <c r="O192" s="59"/>
      <c r="P192" s="21"/>
      <c r="Q192" s="59"/>
      <c r="R192" s="21"/>
      <c r="S192" s="21"/>
      <c r="T192" s="59"/>
      <c r="U192" s="60">
        <f t="shared" si="17"/>
        <v>0</v>
      </c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>
        <v>38350065</v>
      </c>
      <c r="AN192" s="60">
        <f t="shared" si="27"/>
        <v>38350065</v>
      </c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>
        <v>24927365</v>
      </c>
      <c r="AZ192" s="60"/>
      <c r="BA192" s="60"/>
      <c r="BB192" s="60"/>
      <c r="BC192" s="61">
        <f t="shared" si="18"/>
        <v>63277430</v>
      </c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>
        <v>4985473</v>
      </c>
      <c r="BO192" s="60"/>
      <c r="BP192" s="61">
        <v>68262903</v>
      </c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>
        <v>4985473</v>
      </c>
      <c r="CD192" s="61"/>
      <c r="CE192" s="61"/>
      <c r="CF192" s="61"/>
      <c r="CG192" s="61">
        <f t="shared" si="19"/>
        <v>73248376</v>
      </c>
      <c r="CH192" s="62">
        <f>VLOOKUP(B192,[1]RPTNCT049_ConsultaSaldosContabl!I$4:K$7987,3,0)</f>
        <v>34898311</v>
      </c>
      <c r="CI192" s="62">
        <f t="shared" si="20"/>
        <v>38350065</v>
      </c>
      <c r="CJ192" s="63">
        <f t="shared" si="21"/>
        <v>73248376</v>
      </c>
      <c r="CK192" s="64">
        <f t="shared" si="22"/>
        <v>0</v>
      </c>
      <c r="CL192" s="16"/>
      <c r="CM192" s="16"/>
      <c r="CN192" s="16"/>
      <c r="CO192" s="6"/>
      <c r="CP192" s="6"/>
      <c r="CQ192" s="6"/>
      <c r="CR192" s="6"/>
    </row>
    <row r="193" spans="1:96" ht="15" customHeight="1" x14ac:dyDescent="0.2">
      <c r="A193" s="1">
        <v>8922007407</v>
      </c>
      <c r="B193" s="1">
        <v>892200740</v>
      </c>
      <c r="C193" s="9">
        <v>213070230</v>
      </c>
      <c r="D193" s="10" t="s">
        <v>895</v>
      </c>
      <c r="E193" s="45" t="s">
        <v>1908</v>
      </c>
      <c r="F193" s="21"/>
      <c r="G193" s="59"/>
      <c r="H193" s="21"/>
      <c r="I193" s="59"/>
      <c r="J193" s="21"/>
      <c r="K193" s="21"/>
      <c r="L193" s="59"/>
      <c r="M193" s="60"/>
      <c r="N193" s="21"/>
      <c r="O193" s="59"/>
      <c r="P193" s="21"/>
      <c r="Q193" s="59"/>
      <c r="R193" s="21"/>
      <c r="S193" s="21"/>
      <c r="T193" s="59"/>
      <c r="U193" s="60">
        <f t="shared" si="17"/>
        <v>0</v>
      </c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>
        <v>75276683</v>
      </c>
      <c r="AN193" s="60">
        <f t="shared" si="27"/>
        <v>75276683</v>
      </c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>
        <v>54651210</v>
      </c>
      <c r="AZ193" s="60"/>
      <c r="BA193" s="60"/>
      <c r="BB193" s="60"/>
      <c r="BC193" s="61">
        <f t="shared" si="18"/>
        <v>129927893</v>
      </c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>
        <v>10930242</v>
      </c>
      <c r="BO193" s="60"/>
      <c r="BP193" s="61">
        <v>140858135</v>
      </c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>
        <v>10930242</v>
      </c>
      <c r="CD193" s="61"/>
      <c r="CE193" s="61"/>
      <c r="CF193" s="61"/>
      <c r="CG193" s="61">
        <f t="shared" si="19"/>
        <v>151788377</v>
      </c>
      <c r="CH193" s="62">
        <f>VLOOKUP(B193,[1]RPTNCT049_ConsultaSaldosContabl!I$4:K$7987,3,0)</f>
        <v>76511694</v>
      </c>
      <c r="CI193" s="62">
        <f t="shared" si="20"/>
        <v>75276683</v>
      </c>
      <c r="CJ193" s="63">
        <f t="shared" si="21"/>
        <v>151788377</v>
      </c>
      <c r="CK193" s="64">
        <f t="shared" si="22"/>
        <v>0</v>
      </c>
      <c r="CL193" s="16"/>
      <c r="CM193" s="16"/>
      <c r="CN193" s="16"/>
    </row>
    <row r="194" spans="1:96" ht="15" customHeight="1" x14ac:dyDescent="0.2">
      <c r="A194" s="1">
        <v>8000860176</v>
      </c>
      <c r="B194" s="1">
        <v>800086017</v>
      </c>
      <c r="C194" s="9">
        <v>211585015</v>
      </c>
      <c r="D194" s="10" t="s">
        <v>957</v>
      </c>
      <c r="E194" s="45" t="s">
        <v>2017</v>
      </c>
      <c r="F194" s="21"/>
      <c r="G194" s="59"/>
      <c r="H194" s="21"/>
      <c r="I194" s="59"/>
      <c r="J194" s="21"/>
      <c r="K194" s="21"/>
      <c r="L194" s="59"/>
      <c r="M194" s="60"/>
      <c r="N194" s="21"/>
      <c r="O194" s="59"/>
      <c r="P194" s="21"/>
      <c r="Q194" s="59"/>
      <c r="R194" s="21"/>
      <c r="S194" s="21"/>
      <c r="T194" s="59"/>
      <c r="U194" s="60">
        <f t="shared" si="17"/>
        <v>0</v>
      </c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>
        <v>28037469</v>
      </c>
      <c r="AN194" s="60">
        <f t="shared" si="27"/>
        <v>28037469</v>
      </c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>
        <v>13927565</v>
      </c>
      <c r="AZ194" s="60"/>
      <c r="BA194" s="60"/>
      <c r="BB194" s="60"/>
      <c r="BC194" s="61">
        <f t="shared" si="18"/>
        <v>41965034</v>
      </c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>
        <v>2785513</v>
      </c>
      <c r="BO194" s="60"/>
      <c r="BP194" s="61">
        <v>44750547</v>
      </c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>
        <v>2785513</v>
      </c>
      <c r="CD194" s="61"/>
      <c r="CE194" s="61"/>
      <c r="CF194" s="61"/>
      <c r="CG194" s="61">
        <f t="shared" si="19"/>
        <v>47536060</v>
      </c>
      <c r="CH194" s="62">
        <f>VLOOKUP(B194,[1]RPTNCT049_ConsultaSaldosContabl!I$4:K$7987,3,0)</f>
        <v>19498591</v>
      </c>
      <c r="CI194" s="62">
        <f t="shared" si="20"/>
        <v>28037469</v>
      </c>
      <c r="CJ194" s="63">
        <f t="shared" si="21"/>
        <v>47536060</v>
      </c>
      <c r="CK194" s="64">
        <f t="shared" si="22"/>
        <v>0</v>
      </c>
      <c r="CL194" s="16"/>
      <c r="CM194" s="16"/>
      <c r="CN194" s="16"/>
    </row>
    <row r="195" spans="1:96" ht="15" customHeight="1" x14ac:dyDescent="0.2">
      <c r="A195" s="1">
        <v>8001000531</v>
      </c>
      <c r="B195" s="1">
        <v>800100053</v>
      </c>
      <c r="C195" s="9">
        <v>216873168</v>
      </c>
      <c r="D195" s="10" t="s">
        <v>2210</v>
      </c>
      <c r="E195" s="45" t="s">
        <v>1937</v>
      </c>
      <c r="F195" s="21"/>
      <c r="G195" s="59"/>
      <c r="H195" s="21"/>
      <c r="I195" s="59"/>
      <c r="J195" s="21"/>
      <c r="K195" s="21"/>
      <c r="L195" s="59"/>
      <c r="M195" s="60"/>
      <c r="N195" s="21"/>
      <c r="O195" s="59"/>
      <c r="P195" s="21"/>
      <c r="Q195" s="59"/>
      <c r="R195" s="21"/>
      <c r="S195" s="21"/>
      <c r="T195" s="59"/>
      <c r="U195" s="60">
        <f t="shared" ref="U195:U258" si="28">SUM(M195:T195)</f>
        <v>0</v>
      </c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>
        <v>819706602</v>
      </c>
      <c r="AN195" s="60">
        <f t="shared" si="27"/>
        <v>819706602</v>
      </c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>
        <v>374790220</v>
      </c>
      <c r="AZ195" s="60"/>
      <c r="BA195" s="60"/>
      <c r="BB195" s="60"/>
      <c r="BC195" s="61">
        <f t="shared" si="18"/>
        <v>1194496822</v>
      </c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>
        <v>74958044</v>
      </c>
      <c r="BO195" s="60"/>
      <c r="BP195" s="61">
        <v>1269454866</v>
      </c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>
        <v>74958044</v>
      </c>
      <c r="CD195" s="61"/>
      <c r="CE195" s="61"/>
      <c r="CF195" s="61"/>
      <c r="CG195" s="61">
        <f t="shared" si="19"/>
        <v>1344412910</v>
      </c>
      <c r="CH195" s="62">
        <f>VLOOKUP(B195,[1]RPTNCT049_ConsultaSaldosContabl!I$4:K$7987,3,0)</f>
        <v>524706308</v>
      </c>
      <c r="CI195" s="62">
        <f t="shared" si="20"/>
        <v>819706602</v>
      </c>
      <c r="CJ195" s="63">
        <f t="shared" si="21"/>
        <v>1344412910</v>
      </c>
      <c r="CK195" s="64">
        <f t="shared" si="22"/>
        <v>0</v>
      </c>
      <c r="CL195" s="16"/>
      <c r="CM195" s="16"/>
      <c r="CN195" s="16"/>
    </row>
    <row r="196" spans="1:96" ht="15" customHeight="1" x14ac:dyDescent="0.2">
      <c r="A196" s="1">
        <v>8902050634</v>
      </c>
      <c r="B196" s="1">
        <v>890205063</v>
      </c>
      <c r="C196" s="9">
        <v>216768167</v>
      </c>
      <c r="D196" s="10" t="s">
        <v>825</v>
      </c>
      <c r="E196" s="45" t="s">
        <v>1841</v>
      </c>
      <c r="F196" s="21"/>
      <c r="G196" s="59"/>
      <c r="H196" s="21"/>
      <c r="I196" s="59"/>
      <c r="J196" s="21"/>
      <c r="K196" s="21"/>
      <c r="L196" s="59"/>
      <c r="M196" s="60"/>
      <c r="N196" s="21"/>
      <c r="O196" s="59"/>
      <c r="P196" s="21"/>
      <c r="Q196" s="59"/>
      <c r="R196" s="21"/>
      <c r="S196" s="21"/>
      <c r="T196" s="59"/>
      <c r="U196" s="60">
        <f t="shared" si="28"/>
        <v>0</v>
      </c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>
        <v>210374381</v>
      </c>
      <c r="AN196" s="60">
        <f t="shared" si="27"/>
        <v>210374381</v>
      </c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>
        <v>89748985</v>
      </c>
      <c r="AZ196" s="60"/>
      <c r="BA196" s="60"/>
      <c r="BB196" s="60"/>
      <c r="BC196" s="61">
        <f t="shared" ref="BC196:BC259" si="29">SUM(AN196:BA196)-BB196</f>
        <v>300123366</v>
      </c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>
        <v>17949797</v>
      </c>
      <c r="BO196" s="60"/>
      <c r="BP196" s="61">
        <v>318073163</v>
      </c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>
        <v>17949797</v>
      </c>
      <c r="CD196" s="61"/>
      <c r="CE196" s="61"/>
      <c r="CF196" s="61"/>
      <c r="CG196" s="61">
        <f t="shared" ref="CG196:CG259" si="30">SUM(BP196:CF196)</f>
        <v>336022960</v>
      </c>
      <c r="CH196" s="62">
        <f>VLOOKUP(B196,[1]RPTNCT049_ConsultaSaldosContabl!I$4:K$7987,3,0)</f>
        <v>125648579</v>
      </c>
      <c r="CI196" s="62">
        <f t="shared" ref="CI196:CI259" si="31">+AM196+BA196-BB196+BO196+CE196+CF196</f>
        <v>210374381</v>
      </c>
      <c r="CJ196" s="63">
        <f t="shared" ref="CJ196:CJ259" si="32">+CH196+CI196</f>
        <v>336022960</v>
      </c>
      <c r="CK196" s="64">
        <f t="shared" ref="CK196:CK259" si="33">+CG196-CJ196</f>
        <v>0</v>
      </c>
      <c r="CL196" s="16"/>
      <c r="CM196" s="16"/>
      <c r="CN196" s="16"/>
    </row>
    <row r="197" spans="1:96" ht="15" customHeight="1" x14ac:dyDescent="0.2">
      <c r="A197" s="1">
        <v>8902067249</v>
      </c>
      <c r="B197" s="1">
        <v>890206724</v>
      </c>
      <c r="C197" s="9">
        <v>216968169</v>
      </c>
      <c r="D197" s="10" t="s">
        <v>826</v>
      </c>
      <c r="E197" s="45" t="s">
        <v>1834</v>
      </c>
      <c r="F197" s="21"/>
      <c r="G197" s="59"/>
      <c r="H197" s="21"/>
      <c r="I197" s="59"/>
      <c r="J197" s="21"/>
      <c r="K197" s="21"/>
      <c r="L197" s="59"/>
      <c r="M197" s="60"/>
      <c r="N197" s="21"/>
      <c r="O197" s="59"/>
      <c r="P197" s="21"/>
      <c r="Q197" s="59"/>
      <c r="R197" s="21"/>
      <c r="S197" s="21"/>
      <c r="T197" s="59"/>
      <c r="U197" s="60">
        <f t="shared" si="28"/>
        <v>0</v>
      </c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>
        <v>32624395</v>
      </c>
      <c r="AN197" s="60">
        <f t="shared" si="27"/>
        <v>32624395</v>
      </c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>
        <v>14335655</v>
      </c>
      <c r="AZ197" s="60"/>
      <c r="BA197" s="60"/>
      <c r="BB197" s="60"/>
      <c r="BC197" s="61">
        <f t="shared" si="29"/>
        <v>46960050</v>
      </c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>
        <v>2867131</v>
      </c>
      <c r="BO197" s="60"/>
      <c r="BP197" s="61">
        <v>49827181</v>
      </c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>
        <v>2867131</v>
      </c>
      <c r="CD197" s="61"/>
      <c r="CE197" s="61"/>
      <c r="CF197" s="61"/>
      <c r="CG197" s="61">
        <f t="shared" si="30"/>
        <v>52694312</v>
      </c>
      <c r="CH197" s="62">
        <f>VLOOKUP(B197,[1]RPTNCT049_ConsultaSaldosContabl!I$4:K$7987,3,0)</f>
        <v>20069917</v>
      </c>
      <c r="CI197" s="62">
        <f t="shared" si="31"/>
        <v>32624395</v>
      </c>
      <c r="CJ197" s="63">
        <f t="shared" si="32"/>
        <v>52694312</v>
      </c>
      <c r="CK197" s="64">
        <f t="shared" si="33"/>
        <v>0</v>
      </c>
      <c r="CL197" s="16"/>
      <c r="CM197" s="16"/>
      <c r="CN197" s="16"/>
    </row>
    <row r="198" spans="1:96" ht="15" customHeight="1" x14ac:dyDescent="0.2">
      <c r="A198" s="1">
        <v>8999991728</v>
      </c>
      <c r="B198" s="1">
        <v>899999172</v>
      </c>
      <c r="C198" s="9">
        <v>217525175</v>
      </c>
      <c r="D198" s="10" t="s">
        <v>475</v>
      </c>
      <c r="E198" s="47" t="s">
        <v>1501</v>
      </c>
      <c r="F198" s="21"/>
      <c r="G198" s="59"/>
      <c r="H198" s="21"/>
      <c r="I198" s="59">
        <f>1976842938+31199206</f>
        <v>2008042144</v>
      </c>
      <c r="J198" s="21">
        <v>141955494</v>
      </c>
      <c r="K198" s="21">
        <v>281233233</v>
      </c>
      <c r="L198" s="59"/>
      <c r="M198" s="61">
        <f>SUM(F198:L198)</f>
        <v>2431230871</v>
      </c>
      <c r="N198" s="21"/>
      <c r="O198" s="59"/>
      <c r="P198" s="21"/>
      <c r="Q198" s="59">
        <f>1901572966+14181457</f>
        <v>1915754423</v>
      </c>
      <c r="R198" s="21">
        <v>141955494</v>
      </c>
      <c r="S198" s="21">
        <f>139277739+141955494</f>
        <v>281233233</v>
      </c>
      <c r="T198" s="59"/>
      <c r="U198" s="60">
        <f t="shared" si="28"/>
        <v>4770174021</v>
      </c>
      <c r="V198" s="60"/>
      <c r="W198" s="60"/>
      <c r="X198" s="60"/>
      <c r="Y198" s="60">
        <v>2579634458</v>
      </c>
      <c r="Z198" s="60">
        <v>136083445</v>
      </c>
      <c r="AA198" s="60">
        <v>320452417</v>
      </c>
      <c r="AB198" s="60"/>
      <c r="AC198" s="60">
        <f t="shared" ref="AC196:AC259" si="34">SUM(U198:AB198)</f>
        <v>7806344341</v>
      </c>
      <c r="AD198" s="60"/>
      <c r="AE198" s="60"/>
      <c r="AF198" s="60"/>
      <c r="AG198" s="60"/>
      <c r="AH198" s="60">
        <v>1949772554</v>
      </c>
      <c r="AI198" s="60">
        <v>188801174</v>
      </c>
      <c r="AJ198" s="60">
        <v>146905879</v>
      </c>
      <c r="AK198" s="60">
        <v>370055352</v>
      </c>
      <c r="AL198" s="60"/>
      <c r="AM198" s="60">
        <v>1134376682</v>
      </c>
      <c r="AN198" s="60">
        <f t="shared" si="27"/>
        <v>11596255982</v>
      </c>
      <c r="AO198" s="60"/>
      <c r="AP198" s="60"/>
      <c r="AQ198" s="60">
        <v>412637245</v>
      </c>
      <c r="AR198" s="60"/>
      <c r="AS198" s="60"/>
      <c r="AT198" s="60">
        <v>1949772554</v>
      </c>
      <c r="AU198" s="60"/>
      <c r="AV198" s="60">
        <v>146905879</v>
      </c>
      <c r="AW198" s="60">
        <v>250637604</v>
      </c>
      <c r="AX198" s="60"/>
      <c r="AY198" s="60"/>
      <c r="AZ198" s="60">
        <v>144107200</v>
      </c>
      <c r="BA198" s="60"/>
      <c r="BB198" s="60"/>
      <c r="BC198" s="61">
        <f t="shared" si="29"/>
        <v>14500316464</v>
      </c>
      <c r="BD198" s="60"/>
      <c r="BE198" s="60"/>
      <c r="BF198" s="60">
        <v>82527449</v>
      </c>
      <c r="BG198" s="60"/>
      <c r="BH198" s="60"/>
      <c r="BI198" s="60">
        <v>2047464723</v>
      </c>
      <c r="BJ198" s="60">
        <v>170810679</v>
      </c>
      <c r="BK198" s="60">
        <v>173207069</v>
      </c>
      <c r="BL198" s="60">
        <v>428879979</v>
      </c>
      <c r="BM198" s="60"/>
      <c r="BN198" s="60"/>
      <c r="BO198" s="60"/>
      <c r="BP198" s="61">
        <v>17403206363</v>
      </c>
      <c r="BQ198" s="61"/>
      <c r="BR198" s="61"/>
      <c r="BS198" s="61">
        <v>82527449</v>
      </c>
      <c r="BT198" s="61"/>
      <c r="BU198" s="61"/>
      <c r="BV198" s="61"/>
      <c r="BW198" s="61">
        <v>2057389104</v>
      </c>
      <c r="BX198" s="61"/>
      <c r="BY198" s="61">
        <v>904687470</v>
      </c>
      <c r="BZ198" s="61">
        <v>170046456</v>
      </c>
      <c r="CA198" s="61">
        <v>412783209</v>
      </c>
      <c r="CB198" s="61"/>
      <c r="CC198" s="61"/>
      <c r="CD198" s="61"/>
      <c r="CE198" s="61"/>
      <c r="CF198" s="61"/>
      <c r="CG198" s="61">
        <f t="shared" si="30"/>
        <v>21030640051</v>
      </c>
      <c r="CH198" s="62">
        <f>VLOOKUP(B198,[1]RPTNCT049_ConsultaSaldosContabl!I$4:K$7987,3,0)</f>
        <v>19896263369</v>
      </c>
      <c r="CI198" s="62">
        <f t="shared" si="31"/>
        <v>1134376682</v>
      </c>
      <c r="CJ198" s="63">
        <f t="shared" si="32"/>
        <v>21030640051</v>
      </c>
      <c r="CK198" s="64">
        <f t="shared" si="33"/>
        <v>0</v>
      </c>
      <c r="CL198" s="16"/>
      <c r="CM198" s="16"/>
      <c r="CN198" s="16"/>
    </row>
    <row r="199" spans="1:96" ht="15" customHeight="1" x14ac:dyDescent="0.2">
      <c r="A199" s="1">
        <v>8000719341</v>
      </c>
      <c r="B199" s="1">
        <v>800071934</v>
      </c>
      <c r="C199" s="9">
        <v>217047170</v>
      </c>
      <c r="D199" s="10" t="s">
        <v>643</v>
      </c>
      <c r="E199" s="45" t="s">
        <v>1663</v>
      </c>
      <c r="F199" s="21"/>
      <c r="G199" s="59"/>
      <c r="H199" s="21"/>
      <c r="I199" s="59"/>
      <c r="J199" s="21"/>
      <c r="K199" s="21"/>
      <c r="L199" s="59"/>
      <c r="M199" s="60"/>
      <c r="N199" s="21"/>
      <c r="O199" s="59"/>
      <c r="P199" s="21"/>
      <c r="Q199" s="59"/>
      <c r="R199" s="21"/>
      <c r="S199" s="21"/>
      <c r="T199" s="59"/>
      <c r="U199" s="60">
        <f t="shared" si="28"/>
        <v>0</v>
      </c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>
        <v>85107461</v>
      </c>
      <c r="AN199" s="60">
        <f t="shared" si="27"/>
        <v>85107461</v>
      </c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>
        <v>268386710</v>
      </c>
      <c r="AZ199" s="60"/>
      <c r="BA199" s="60">
        <f>VLOOKUP(B199,[2]Hoja3!J$3:K$674,2,0)</f>
        <v>328735892</v>
      </c>
      <c r="BB199" s="60"/>
      <c r="BC199" s="61">
        <f t="shared" si="29"/>
        <v>682230063</v>
      </c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>
        <v>53677342</v>
      </c>
      <c r="BO199" s="60"/>
      <c r="BP199" s="61">
        <v>735907405</v>
      </c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>
        <v>53677342</v>
      </c>
      <c r="CD199" s="61"/>
      <c r="CE199" s="61"/>
      <c r="CF199" s="61"/>
      <c r="CG199" s="61">
        <f t="shared" si="30"/>
        <v>789584747</v>
      </c>
      <c r="CH199" s="62">
        <f>VLOOKUP(B199,[1]RPTNCT049_ConsultaSaldosContabl!I$4:K$7987,3,0)</f>
        <v>375741394</v>
      </c>
      <c r="CI199" s="62">
        <f t="shared" si="31"/>
        <v>413843353</v>
      </c>
      <c r="CJ199" s="63">
        <f t="shared" si="32"/>
        <v>789584747</v>
      </c>
      <c r="CK199" s="64">
        <f t="shared" si="33"/>
        <v>0</v>
      </c>
      <c r="CL199" s="16"/>
      <c r="CM199" s="16"/>
      <c r="CN199" s="16"/>
    </row>
    <row r="200" spans="1:96" ht="15" customHeight="1" x14ac:dyDescent="0.2">
      <c r="A200" s="1">
        <v>8909809988</v>
      </c>
      <c r="B200" s="1">
        <v>890980998</v>
      </c>
      <c r="C200" s="9">
        <v>217205172</v>
      </c>
      <c r="D200" s="10" t="s">
        <v>76</v>
      </c>
      <c r="E200" s="45" t="s">
        <v>1107</v>
      </c>
      <c r="F200" s="21"/>
      <c r="G200" s="59"/>
      <c r="H200" s="21"/>
      <c r="I200" s="59"/>
      <c r="J200" s="21"/>
      <c r="K200" s="21"/>
      <c r="L200" s="59"/>
      <c r="M200" s="60"/>
      <c r="N200" s="21"/>
      <c r="O200" s="59"/>
      <c r="P200" s="21"/>
      <c r="Q200" s="59"/>
      <c r="R200" s="21"/>
      <c r="S200" s="21"/>
      <c r="T200" s="59"/>
      <c r="U200" s="60">
        <f t="shared" si="28"/>
        <v>0</v>
      </c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>
        <v>523538138</v>
      </c>
      <c r="AN200" s="60">
        <f t="shared" si="27"/>
        <v>523538138</v>
      </c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>
        <v>491573520</v>
      </c>
      <c r="AZ200" s="60"/>
      <c r="BA200" s="60">
        <f>VLOOKUP(B200,[2]Hoja3!J$3:K$674,2,0)</f>
        <v>355637368</v>
      </c>
      <c r="BB200" s="60"/>
      <c r="BC200" s="61">
        <f t="shared" si="29"/>
        <v>1370749026</v>
      </c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>
        <v>98314704</v>
      </c>
      <c r="BO200" s="60"/>
      <c r="BP200" s="61">
        <v>1469063730</v>
      </c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>
        <v>98314704</v>
      </c>
      <c r="CD200" s="61"/>
      <c r="CE200" s="61"/>
      <c r="CF200" s="61"/>
      <c r="CG200" s="61">
        <f t="shared" si="30"/>
        <v>1567378434</v>
      </c>
      <c r="CH200" s="62">
        <f>VLOOKUP(B200,[1]RPTNCT049_ConsultaSaldosContabl!I$4:K$7987,3,0)</f>
        <v>688202928</v>
      </c>
      <c r="CI200" s="62">
        <f t="shared" si="31"/>
        <v>879175506</v>
      </c>
      <c r="CJ200" s="63">
        <f t="shared" si="32"/>
        <v>1567378434</v>
      </c>
      <c r="CK200" s="64">
        <f t="shared" si="33"/>
        <v>0</v>
      </c>
      <c r="CL200" s="16"/>
      <c r="CM200" s="16"/>
      <c r="CN200" s="16"/>
    </row>
    <row r="201" spans="1:96" ht="15" customHeight="1" x14ac:dyDescent="0.2">
      <c r="A201" s="1">
        <v>8000967501</v>
      </c>
      <c r="B201" s="1">
        <v>800096750</v>
      </c>
      <c r="C201" s="9">
        <v>216823168</v>
      </c>
      <c r="D201" s="10" t="s">
        <v>441</v>
      </c>
      <c r="E201" s="45" t="s">
        <v>1468</v>
      </c>
      <c r="F201" s="21"/>
      <c r="G201" s="59"/>
      <c r="H201" s="21"/>
      <c r="I201" s="59"/>
      <c r="J201" s="21"/>
      <c r="K201" s="21"/>
      <c r="L201" s="59"/>
      <c r="M201" s="60"/>
      <c r="N201" s="21"/>
      <c r="O201" s="59"/>
      <c r="P201" s="21"/>
      <c r="Q201" s="59"/>
      <c r="R201" s="21"/>
      <c r="S201" s="21"/>
      <c r="T201" s="59"/>
      <c r="U201" s="60">
        <f t="shared" si="28"/>
        <v>0</v>
      </c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>
        <v>244684888</v>
      </c>
      <c r="AN201" s="60">
        <f t="shared" si="27"/>
        <v>244684888</v>
      </c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>
        <v>153264680</v>
      </c>
      <c r="AZ201" s="60"/>
      <c r="BA201" s="60"/>
      <c r="BB201" s="60"/>
      <c r="BC201" s="61">
        <f t="shared" si="29"/>
        <v>397949568</v>
      </c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>
        <v>30652936</v>
      </c>
      <c r="BO201" s="60"/>
      <c r="BP201" s="61">
        <v>428602504</v>
      </c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>
        <v>30652936</v>
      </c>
      <c r="CD201" s="61"/>
      <c r="CE201" s="61"/>
      <c r="CF201" s="61"/>
      <c r="CG201" s="61">
        <f t="shared" si="30"/>
        <v>459255440</v>
      </c>
      <c r="CH201" s="62">
        <f>VLOOKUP(B201,[1]RPTNCT049_ConsultaSaldosContabl!I$4:K$7987,3,0)</f>
        <v>214570552</v>
      </c>
      <c r="CI201" s="62">
        <f t="shared" si="31"/>
        <v>244684888</v>
      </c>
      <c r="CJ201" s="63">
        <f t="shared" si="32"/>
        <v>459255440</v>
      </c>
      <c r="CK201" s="64">
        <f t="shared" si="33"/>
        <v>0</v>
      </c>
      <c r="CL201" s="16"/>
      <c r="CM201" s="16"/>
      <c r="CN201" s="16"/>
    </row>
    <row r="202" spans="1:96" ht="15" customHeight="1" x14ac:dyDescent="0.2">
      <c r="A202" s="1">
        <v>8902062904</v>
      </c>
      <c r="B202" s="1">
        <v>890206290</v>
      </c>
      <c r="C202" s="9">
        <v>217668176</v>
      </c>
      <c r="D202" s="10" t="s">
        <v>827</v>
      </c>
      <c r="E202" s="45" t="s">
        <v>1842</v>
      </c>
      <c r="F202" s="21"/>
      <c r="G202" s="59"/>
      <c r="H202" s="21"/>
      <c r="I202" s="59"/>
      <c r="J202" s="21"/>
      <c r="K202" s="21"/>
      <c r="L202" s="59"/>
      <c r="M202" s="60"/>
      <c r="N202" s="21"/>
      <c r="O202" s="59"/>
      <c r="P202" s="21"/>
      <c r="Q202" s="59"/>
      <c r="R202" s="21"/>
      <c r="S202" s="21"/>
      <c r="T202" s="59"/>
      <c r="U202" s="60">
        <f t="shared" si="28"/>
        <v>0</v>
      </c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>
        <v>19147230</v>
      </c>
      <c r="AZ202" s="60"/>
      <c r="BA202" s="60">
        <f>VLOOKUP(B202,[2]Hoja3!J$3:K$674,2,0)</f>
        <v>35092485</v>
      </c>
      <c r="BB202" s="60"/>
      <c r="BC202" s="61">
        <f t="shared" si="29"/>
        <v>54239715</v>
      </c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>
        <v>3829446</v>
      </c>
      <c r="BO202" s="60"/>
      <c r="BP202" s="61">
        <v>58069161</v>
      </c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>
        <v>3829446</v>
      </c>
      <c r="CD202" s="61"/>
      <c r="CE202" s="61"/>
      <c r="CF202" s="61"/>
      <c r="CG202" s="61">
        <f t="shared" si="30"/>
        <v>61898607</v>
      </c>
      <c r="CH202" s="62">
        <f>VLOOKUP(B202,[1]RPTNCT049_ConsultaSaldosContabl!I$4:K$7987,3,0)</f>
        <v>26806122</v>
      </c>
      <c r="CI202" s="62">
        <f t="shared" si="31"/>
        <v>35092485</v>
      </c>
      <c r="CJ202" s="63">
        <f t="shared" si="32"/>
        <v>61898607</v>
      </c>
      <c r="CK202" s="64">
        <f t="shared" si="33"/>
        <v>0</v>
      </c>
      <c r="CL202" s="16"/>
      <c r="CM202" s="16"/>
      <c r="CN202" s="8"/>
      <c r="CO202" s="8"/>
      <c r="CP202" s="8"/>
      <c r="CQ202" s="8"/>
      <c r="CR202" s="8"/>
    </row>
    <row r="203" spans="1:96" ht="15" customHeight="1" x14ac:dyDescent="0.2">
      <c r="A203" s="1">
        <v>8923008151</v>
      </c>
      <c r="B203" s="1">
        <v>892300815</v>
      </c>
      <c r="C203" s="9">
        <v>217520175</v>
      </c>
      <c r="D203" s="10" t="s">
        <v>418</v>
      </c>
      <c r="E203" s="45" t="s">
        <v>1446</v>
      </c>
      <c r="F203" s="21"/>
      <c r="G203" s="59"/>
      <c r="H203" s="21"/>
      <c r="I203" s="59"/>
      <c r="J203" s="21"/>
      <c r="K203" s="21"/>
      <c r="L203" s="59"/>
      <c r="M203" s="60"/>
      <c r="N203" s="21"/>
      <c r="O203" s="59"/>
      <c r="P203" s="21"/>
      <c r="Q203" s="59"/>
      <c r="R203" s="21"/>
      <c r="S203" s="21"/>
      <c r="T203" s="59"/>
      <c r="U203" s="60">
        <f t="shared" si="28"/>
        <v>0</v>
      </c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>
        <v>433336935</v>
      </c>
      <c r="AZ203" s="60"/>
      <c r="BA203" s="60">
        <f>VLOOKUP(B203,[2]Hoja3!J$3:K$674,2,0)</f>
        <v>748431557</v>
      </c>
      <c r="BB203" s="60"/>
      <c r="BC203" s="61">
        <f t="shared" si="29"/>
        <v>1181768492</v>
      </c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>
        <v>86667387</v>
      </c>
      <c r="BO203" s="60"/>
      <c r="BP203" s="61">
        <v>1268435879</v>
      </c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>
        <v>86667387</v>
      </c>
      <c r="CD203" s="61"/>
      <c r="CE203" s="61"/>
      <c r="CF203" s="61"/>
      <c r="CG203" s="61">
        <f t="shared" si="30"/>
        <v>1355103266</v>
      </c>
      <c r="CH203" s="62">
        <f>VLOOKUP(B203,[1]RPTNCT049_ConsultaSaldosContabl!I$4:K$7987,3,0)</f>
        <v>606671709</v>
      </c>
      <c r="CI203" s="62">
        <f t="shared" si="31"/>
        <v>748431557</v>
      </c>
      <c r="CJ203" s="63">
        <f t="shared" si="32"/>
        <v>1355103266</v>
      </c>
      <c r="CK203" s="64">
        <f t="shared" si="33"/>
        <v>0</v>
      </c>
      <c r="CL203" s="16"/>
      <c r="CM203" s="16"/>
      <c r="CN203" s="16"/>
    </row>
    <row r="204" spans="1:96" ht="15" customHeight="1" x14ac:dyDescent="0.2">
      <c r="A204" s="1">
        <v>8905031060</v>
      </c>
      <c r="B204" s="1">
        <v>890503106</v>
      </c>
      <c r="C204" s="9">
        <v>217254172</v>
      </c>
      <c r="D204" s="10" t="s">
        <v>757</v>
      </c>
      <c r="E204" s="45" t="s">
        <v>1775</v>
      </c>
      <c r="F204" s="21"/>
      <c r="G204" s="59"/>
      <c r="H204" s="21"/>
      <c r="I204" s="59"/>
      <c r="J204" s="21"/>
      <c r="K204" s="21"/>
      <c r="L204" s="59"/>
      <c r="M204" s="60"/>
      <c r="N204" s="21"/>
      <c r="O204" s="59"/>
      <c r="P204" s="21"/>
      <c r="Q204" s="59"/>
      <c r="R204" s="21"/>
      <c r="S204" s="21"/>
      <c r="T204" s="59"/>
      <c r="U204" s="60">
        <f t="shared" si="28"/>
        <v>0</v>
      </c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>
        <v>90393645</v>
      </c>
      <c r="AZ204" s="60"/>
      <c r="BA204" s="60">
        <f>VLOOKUP(B204,[2]Hoja3!J$3:K$674,2,0)</f>
        <v>243011424</v>
      </c>
      <c r="BB204" s="60"/>
      <c r="BC204" s="61">
        <f t="shared" si="29"/>
        <v>333405069</v>
      </c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>
        <v>18078729</v>
      </c>
      <c r="BO204" s="60"/>
      <c r="BP204" s="61">
        <v>351483798</v>
      </c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>
        <v>18078729</v>
      </c>
      <c r="CD204" s="61"/>
      <c r="CE204" s="61"/>
      <c r="CF204" s="61"/>
      <c r="CG204" s="61">
        <f t="shared" si="30"/>
        <v>369562527</v>
      </c>
      <c r="CH204" s="62">
        <f>VLOOKUP(B204,[1]RPTNCT049_ConsultaSaldosContabl!I$4:K$7987,3,0)</f>
        <v>126551103</v>
      </c>
      <c r="CI204" s="62">
        <f t="shared" si="31"/>
        <v>243011424</v>
      </c>
      <c r="CJ204" s="63">
        <f t="shared" si="32"/>
        <v>369562527</v>
      </c>
      <c r="CK204" s="64">
        <f t="shared" si="33"/>
        <v>0</v>
      </c>
      <c r="CL204" s="16"/>
      <c r="CM204" s="16"/>
      <c r="CN204" s="16"/>
    </row>
    <row r="205" spans="1:96" ht="15" customHeight="1" x14ac:dyDescent="0.2">
      <c r="A205" s="1">
        <v>8918013574</v>
      </c>
      <c r="B205" s="1">
        <v>891801357</v>
      </c>
      <c r="C205" s="9">
        <v>217215172</v>
      </c>
      <c r="D205" s="10" t="s">
        <v>231</v>
      </c>
      <c r="E205" s="45" t="s">
        <v>1267</v>
      </c>
      <c r="F205" s="21"/>
      <c r="G205" s="59"/>
      <c r="H205" s="21"/>
      <c r="I205" s="59"/>
      <c r="J205" s="21"/>
      <c r="K205" s="21"/>
      <c r="L205" s="59"/>
      <c r="M205" s="60"/>
      <c r="N205" s="21"/>
      <c r="O205" s="59"/>
      <c r="P205" s="21"/>
      <c r="Q205" s="59"/>
      <c r="R205" s="21"/>
      <c r="S205" s="21"/>
      <c r="T205" s="59"/>
      <c r="U205" s="60">
        <f t="shared" si="28"/>
        <v>0</v>
      </c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>
        <v>23591040</v>
      </c>
      <c r="AZ205" s="60"/>
      <c r="BA205" s="60">
        <f>VLOOKUP(B205,[2]Hoja3!J$3:K$674,2,0)</f>
        <v>43766281</v>
      </c>
      <c r="BB205" s="60"/>
      <c r="BC205" s="61">
        <f t="shared" si="29"/>
        <v>67357321</v>
      </c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>
        <v>4718208</v>
      </c>
      <c r="BO205" s="60"/>
      <c r="BP205" s="61">
        <v>72075529</v>
      </c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>
        <v>4718208</v>
      </c>
      <c r="CD205" s="61"/>
      <c r="CE205" s="61"/>
      <c r="CF205" s="61"/>
      <c r="CG205" s="61">
        <f t="shared" si="30"/>
        <v>76793737</v>
      </c>
      <c r="CH205" s="62">
        <f>VLOOKUP(B205,[1]RPTNCT049_ConsultaSaldosContabl!I$4:K$7987,3,0)</f>
        <v>33027456</v>
      </c>
      <c r="CI205" s="62">
        <f t="shared" si="31"/>
        <v>43766281</v>
      </c>
      <c r="CJ205" s="63">
        <f t="shared" si="32"/>
        <v>76793737</v>
      </c>
      <c r="CK205" s="64">
        <f t="shared" si="33"/>
        <v>0</v>
      </c>
      <c r="CL205" s="16"/>
      <c r="CM205" s="16"/>
      <c r="CN205" s="8"/>
      <c r="CO205" s="8"/>
      <c r="CP205" s="8"/>
      <c r="CQ205" s="8"/>
      <c r="CR205" s="8"/>
    </row>
    <row r="206" spans="1:96" ht="15" customHeight="1" x14ac:dyDescent="0.2">
      <c r="A206" s="1">
        <v>8908011338</v>
      </c>
      <c r="B206" s="1">
        <v>890801133</v>
      </c>
      <c r="C206" s="9">
        <v>217417174</v>
      </c>
      <c r="D206" s="10" t="s">
        <v>340</v>
      </c>
      <c r="E206" s="45" t="s">
        <v>1371</v>
      </c>
      <c r="F206" s="21"/>
      <c r="G206" s="59"/>
      <c r="H206" s="21"/>
      <c r="I206" s="59"/>
      <c r="J206" s="21"/>
      <c r="K206" s="21"/>
      <c r="L206" s="59"/>
      <c r="M206" s="60"/>
      <c r="N206" s="21"/>
      <c r="O206" s="59"/>
      <c r="P206" s="21"/>
      <c r="Q206" s="59"/>
      <c r="R206" s="21"/>
      <c r="S206" s="21"/>
      <c r="T206" s="59"/>
      <c r="U206" s="60">
        <f t="shared" si="28"/>
        <v>0</v>
      </c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>
        <v>601237849</v>
      </c>
      <c r="AN206" s="60">
        <f>SUBTOTAL(9,AC206:AM206)</f>
        <v>601237849</v>
      </c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>
        <v>308574615</v>
      </c>
      <c r="AZ206" s="60"/>
      <c r="BA206" s="60"/>
      <c r="BB206" s="60"/>
      <c r="BC206" s="61">
        <f t="shared" si="29"/>
        <v>909812464</v>
      </c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>
        <v>61714923</v>
      </c>
      <c r="BO206" s="60"/>
      <c r="BP206" s="61">
        <v>971527387</v>
      </c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>
        <v>61714923</v>
      </c>
      <c r="CD206" s="61"/>
      <c r="CE206" s="61"/>
      <c r="CF206" s="61"/>
      <c r="CG206" s="61">
        <f t="shared" si="30"/>
        <v>1033242310</v>
      </c>
      <c r="CH206" s="62">
        <f>VLOOKUP(B206,[1]RPTNCT049_ConsultaSaldosContabl!I$4:K$7987,3,0)</f>
        <v>432004461</v>
      </c>
      <c r="CI206" s="62">
        <f t="shared" si="31"/>
        <v>601237849</v>
      </c>
      <c r="CJ206" s="63">
        <f t="shared" si="32"/>
        <v>1033242310</v>
      </c>
      <c r="CK206" s="64">
        <f t="shared" si="33"/>
        <v>0</v>
      </c>
      <c r="CL206" s="16"/>
      <c r="CM206" s="16"/>
      <c r="CN206" s="16"/>
    </row>
    <row r="207" spans="1:96" ht="15" customHeight="1" x14ac:dyDescent="0.2">
      <c r="A207" s="1">
        <v>8000967531</v>
      </c>
      <c r="B207" s="1">
        <v>800096753</v>
      </c>
      <c r="C207" s="9">
        <v>218223182</v>
      </c>
      <c r="D207" s="10" t="s">
        <v>442</v>
      </c>
      <c r="E207" s="45" t="s">
        <v>1469</v>
      </c>
      <c r="F207" s="21"/>
      <c r="G207" s="59"/>
      <c r="H207" s="21"/>
      <c r="I207" s="59"/>
      <c r="J207" s="21"/>
      <c r="K207" s="21"/>
      <c r="L207" s="59"/>
      <c r="M207" s="60"/>
      <c r="N207" s="21"/>
      <c r="O207" s="59"/>
      <c r="P207" s="21"/>
      <c r="Q207" s="59"/>
      <c r="R207" s="21"/>
      <c r="S207" s="21"/>
      <c r="T207" s="59"/>
      <c r="U207" s="60">
        <f t="shared" si="28"/>
        <v>0</v>
      </c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>
        <v>340789518</v>
      </c>
      <c r="AN207" s="60">
        <f>SUBTOTAL(9,AC207:AM207)</f>
        <v>340789518</v>
      </c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>
        <f>VLOOKUP(B207,[2]Hoja3!J$3:K$674,2,0)</f>
        <v>109089339</v>
      </c>
      <c r="BB207" s="60"/>
      <c r="BC207" s="61">
        <f t="shared" si="29"/>
        <v>449878857</v>
      </c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>
        <v>79072324</v>
      </c>
      <c r="BO207" s="60"/>
      <c r="BP207" s="61">
        <v>528951181</v>
      </c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>
        <v>79072324</v>
      </c>
      <c r="CD207" s="61">
        <v>395361620</v>
      </c>
      <c r="CE207" s="61"/>
      <c r="CF207" s="61"/>
      <c r="CG207" s="61">
        <f t="shared" si="30"/>
        <v>1003385125</v>
      </c>
      <c r="CH207" s="62">
        <f>VLOOKUP(B207,[1]RPTNCT049_ConsultaSaldosContabl!I$4:K$7987,3,0)</f>
        <v>553506268</v>
      </c>
      <c r="CI207" s="62">
        <f t="shared" si="31"/>
        <v>449878857</v>
      </c>
      <c r="CJ207" s="63">
        <f t="shared" si="32"/>
        <v>1003385125</v>
      </c>
      <c r="CK207" s="64">
        <f t="shared" si="33"/>
        <v>0</v>
      </c>
      <c r="CL207" s="16"/>
      <c r="CM207" s="16"/>
      <c r="CN207" s="16"/>
    </row>
    <row r="208" spans="1:96" ht="15" customHeight="1" x14ac:dyDescent="0.2">
      <c r="A208" s="1">
        <v>8999994675</v>
      </c>
      <c r="B208" s="1">
        <v>899999467</v>
      </c>
      <c r="C208" s="9">
        <v>217825178</v>
      </c>
      <c r="D208" s="10" t="s">
        <v>476</v>
      </c>
      <c r="E208" s="45" t="s">
        <v>1502</v>
      </c>
      <c r="F208" s="21"/>
      <c r="G208" s="59"/>
      <c r="H208" s="21"/>
      <c r="I208" s="59"/>
      <c r="J208" s="21"/>
      <c r="K208" s="21"/>
      <c r="L208" s="59"/>
      <c r="M208" s="60"/>
      <c r="N208" s="21"/>
      <c r="O208" s="59"/>
      <c r="P208" s="21"/>
      <c r="Q208" s="59"/>
      <c r="R208" s="21"/>
      <c r="S208" s="21"/>
      <c r="T208" s="59"/>
      <c r="U208" s="60">
        <f t="shared" si="28"/>
        <v>0</v>
      </c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>
        <v>148037076</v>
      </c>
      <c r="AN208" s="60">
        <f>SUBTOTAL(9,AC208:AM208)</f>
        <v>148037076</v>
      </c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>
        <v>52863030</v>
      </c>
      <c r="AZ208" s="60"/>
      <c r="BA208" s="60"/>
      <c r="BB208" s="60"/>
      <c r="BC208" s="61">
        <f t="shared" si="29"/>
        <v>200900106</v>
      </c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>
        <v>10572606</v>
      </c>
      <c r="BO208" s="60"/>
      <c r="BP208" s="61">
        <v>211472712</v>
      </c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>
        <v>10572606</v>
      </c>
      <c r="CD208" s="61"/>
      <c r="CE208" s="61"/>
      <c r="CF208" s="61"/>
      <c r="CG208" s="61">
        <f t="shared" si="30"/>
        <v>222045318</v>
      </c>
      <c r="CH208" s="62">
        <f>VLOOKUP(B208,[1]RPTNCT049_ConsultaSaldosContabl!I$4:K$7987,3,0)</f>
        <v>74008242</v>
      </c>
      <c r="CI208" s="62">
        <f t="shared" si="31"/>
        <v>148037076</v>
      </c>
      <c r="CJ208" s="63">
        <f t="shared" si="32"/>
        <v>222045318</v>
      </c>
      <c r="CK208" s="64">
        <f t="shared" si="33"/>
        <v>0</v>
      </c>
      <c r="CL208" s="16"/>
      <c r="CM208" s="16"/>
      <c r="CN208" s="16"/>
    </row>
    <row r="209" spans="1:96" ht="15" customHeight="1" x14ac:dyDescent="0.2">
      <c r="A209" s="1">
        <v>8902080985</v>
      </c>
      <c r="B209" s="1">
        <v>890208098</v>
      </c>
      <c r="C209" s="9">
        <v>217968179</v>
      </c>
      <c r="D209" s="10" t="s">
        <v>828</v>
      </c>
      <c r="E209" s="45" t="s">
        <v>1843</v>
      </c>
      <c r="F209" s="21"/>
      <c r="G209" s="59"/>
      <c r="H209" s="21"/>
      <c r="I209" s="59"/>
      <c r="J209" s="21"/>
      <c r="K209" s="21"/>
      <c r="L209" s="59"/>
      <c r="M209" s="60"/>
      <c r="N209" s="21"/>
      <c r="O209" s="59"/>
      <c r="P209" s="21"/>
      <c r="Q209" s="59"/>
      <c r="R209" s="21"/>
      <c r="S209" s="21"/>
      <c r="T209" s="59"/>
      <c r="U209" s="60">
        <f t="shared" si="28"/>
        <v>0</v>
      </c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>
        <v>26967200</v>
      </c>
      <c r="AZ209" s="60"/>
      <c r="BA209" s="60">
        <f>VLOOKUP(B209,[2]Hoja3!J$3:K$674,2,0)</f>
        <v>59174324</v>
      </c>
      <c r="BB209" s="60"/>
      <c r="BC209" s="61">
        <f t="shared" si="29"/>
        <v>86141524</v>
      </c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>
        <v>5393440</v>
      </c>
      <c r="BO209" s="60"/>
      <c r="BP209" s="61">
        <v>91534964</v>
      </c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>
        <v>5393440</v>
      </c>
      <c r="CD209" s="61"/>
      <c r="CE209" s="61"/>
      <c r="CF209" s="61"/>
      <c r="CG209" s="61">
        <f t="shared" si="30"/>
        <v>96928404</v>
      </c>
      <c r="CH209" s="62">
        <f>VLOOKUP(B209,[1]RPTNCT049_ConsultaSaldosContabl!I$4:K$7987,3,0)</f>
        <v>37754080</v>
      </c>
      <c r="CI209" s="62">
        <f t="shared" si="31"/>
        <v>59174324</v>
      </c>
      <c r="CJ209" s="63">
        <f t="shared" si="32"/>
        <v>96928404</v>
      </c>
      <c r="CK209" s="64">
        <f t="shared" si="33"/>
        <v>0</v>
      </c>
      <c r="CL209" s="16"/>
      <c r="CM209" s="16"/>
      <c r="CN209" s="16"/>
    </row>
    <row r="210" spans="1:96" ht="15" customHeight="1" x14ac:dyDescent="0.2">
      <c r="A210" s="1">
        <v>8918004750</v>
      </c>
      <c r="B210" s="1">
        <v>891800475</v>
      </c>
      <c r="C210" s="9">
        <v>217615176</v>
      </c>
      <c r="D210" s="10" t="s">
        <v>232</v>
      </c>
      <c r="E210" s="45" t="s">
        <v>1268</v>
      </c>
      <c r="F210" s="21"/>
      <c r="G210" s="59"/>
      <c r="H210" s="21"/>
      <c r="I210" s="59"/>
      <c r="J210" s="21"/>
      <c r="K210" s="21"/>
      <c r="L210" s="59"/>
      <c r="M210" s="60"/>
      <c r="N210" s="21"/>
      <c r="O210" s="59"/>
      <c r="P210" s="21"/>
      <c r="Q210" s="59"/>
      <c r="R210" s="21"/>
      <c r="S210" s="21"/>
      <c r="T210" s="59"/>
      <c r="U210" s="60">
        <f t="shared" si="28"/>
        <v>0</v>
      </c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>
        <v>769196030</v>
      </c>
      <c r="AN210" s="60">
        <f>SUBTOTAL(9,AC210:AM210)</f>
        <v>769196030</v>
      </c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>
        <v>367168025</v>
      </c>
      <c r="AZ210" s="60"/>
      <c r="BA210" s="60"/>
      <c r="BB210" s="60"/>
      <c r="BC210" s="61">
        <f t="shared" si="29"/>
        <v>1136364055</v>
      </c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>
        <v>73433605</v>
      </c>
      <c r="BO210" s="60"/>
      <c r="BP210" s="61">
        <v>1209797660</v>
      </c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>
        <v>73433605</v>
      </c>
      <c r="CD210" s="61"/>
      <c r="CE210" s="61"/>
      <c r="CF210" s="61"/>
      <c r="CG210" s="61">
        <f t="shared" si="30"/>
        <v>1283231265</v>
      </c>
      <c r="CH210" s="62">
        <f>VLOOKUP(B210,[1]RPTNCT049_ConsultaSaldosContabl!I$4:K$7987,3,0)</f>
        <v>514035235</v>
      </c>
      <c r="CI210" s="62">
        <f t="shared" si="31"/>
        <v>769196030</v>
      </c>
      <c r="CJ210" s="63">
        <f t="shared" si="32"/>
        <v>1283231265</v>
      </c>
      <c r="CK210" s="64">
        <f t="shared" si="33"/>
        <v>0</v>
      </c>
      <c r="CL210" s="16"/>
      <c r="CM210" s="16"/>
      <c r="CN210" s="8"/>
      <c r="CO210" s="8"/>
      <c r="CP210" s="8"/>
      <c r="CQ210" s="8"/>
      <c r="CR210" s="8"/>
    </row>
    <row r="211" spans="1:96" ht="15" customHeight="1" x14ac:dyDescent="0.2">
      <c r="A211" s="1">
        <v>8000997234</v>
      </c>
      <c r="B211" s="1">
        <v>800099723</v>
      </c>
      <c r="C211" s="9">
        <v>213215232</v>
      </c>
      <c r="D211" s="10" t="s">
        <v>245</v>
      </c>
      <c r="E211" s="45" t="s">
        <v>1280</v>
      </c>
      <c r="F211" s="21"/>
      <c r="G211" s="59"/>
      <c r="H211" s="21"/>
      <c r="I211" s="59"/>
      <c r="J211" s="21"/>
      <c r="K211" s="21"/>
      <c r="L211" s="59"/>
      <c r="M211" s="60"/>
      <c r="N211" s="21"/>
      <c r="O211" s="59"/>
      <c r="P211" s="21"/>
      <c r="Q211" s="59"/>
      <c r="R211" s="21"/>
      <c r="S211" s="21"/>
      <c r="T211" s="59"/>
      <c r="U211" s="60">
        <f t="shared" si="28"/>
        <v>0</v>
      </c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>
        <v>77112347</v>
      </c>
      <c r="AN211" s="60">
        <f>SUBTOTAL(9,AC211:AM211)</f>
        <v>77112347</v>
      </c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>
        <v>40431950</v>
      </c>
      <c r="AZ211" s="60"/>
      <c r="BA211" s="60"/>
      <c r="BB211" s="60"/>
      <c r="BC211" s="61">
        <f t="shared" si="29"/>
        <v>117544297</v>
      </c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>
        <v>8086390</v>
      </c>
      <c r="BO211" s="60"/>
      <c r="BP211" s="61">
        <v>125630687</v>
      </c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>
        <v>8086390</v>
      </c>
      <c r="CD211" s="61"/>
      <c r="CE211" s="61"/>
      <c r="CF211" s="61"/>
      <c r="CG211" s="61">
        <f t="shared" si="30"/>
        <v>133717077</v>
      </c>
      <c r="CH211" s="62">
        <f>VLOOKUP(B211,[1]RPTNCT049_ConsultaSaldosContabl!I$4:K$7987,3,0)</f>
        <v>56604730</v>
      </c>
      <c r="CI211" s="62">
        <f t="shared" si="31"/>
        <v>77112347</v>
      </c>
      <c r="CJ211" s="63">
        <f t="shared" si="32"/>
        <v>133717077</v>
      </c>
      <c r="CK211" s="64">
        <f t="shared" si="33"/>
        <v>0</v>
      </c>
      <c r="CL211" s="16"/>
      <c r="CM211" s="16"/>
      <c r="CN211" s="8"/>
      <c r="CO211" s="8"/>
      <c r="CP211" s="8"/>
      <c r="CQ211" s="8"/>
      <c r="CR211" s="8"/>
    </row>
    <row r="212" spans="1:96" ht="15" customHeight="1" x14ac:dyDescent="0.2">
      <c r="A212" s="1">
        <v>8000965850</v>
      </c>
      <c r="B212" s="1">
        <v>800096585</v>
      </c>
      <c r="C212" s="9">
        <v>217820178</v>
      </c>
      <c r="D212" s="10" t="s">
        <v>419</v>
      </c>
      <c r="E212" s="45" t="s">
        <v>1447</v>
      </c>
      <c r="F212" s="21"/>
      <c r="G212" s="59"/>
      <c r="H212" s="21"/>
      <c r="I212" s="59"/>
      <c r="J212" s="21"/>
      <c r="K212" s="21"/>
      <c r="L212" s="59"/>
      <c r="M212" s="60"/>
      <c r="N212" s="21"/>
      <c r="O212" s="59"/>
      <c r="P212" s="21"/>
      <c r="Q212" s="59"/>
      <c r="R212" s="21"/>
      <c r="S212" s="21"/>
      <c r="T212" s="59"/>
      <c r="U212" s="60">
        <f t="shared" si="28"/>
        <v>0</v>
      </c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>
        <f>VLOOKUP(B212,[2]Hoja3!J$3:K$674,2,0)</f>
        <v>496028409</v>
      </c>
      <c r="BB212" s="60"/>
      <c r="BC212" s="61">
        <f t="shared" si="29"/>
        <v>496028409</v>
      </c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>
        <v>0</v>
      </c>
      <c r="BO212" s="60"/>
      <c r="BP212" s="61">
        <v>496028409</v>
      </c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>
        <v>363250349</v>
      </c>
      <c r="CD212" s="61"/>
      <c r="CE212" s="61"/>
      <c r="CF212" s="61"/>
      <c r="CG212" s="61">
        <f t="shared" si="30"/>
        <v>859278758</v>
      </c>
      <c r="CH212" s="62">
        <f>VLOOKUP(B212,[1]RPTNCT049_ConsultaSaldosContabl!I$4:K$7987,3,0)</f>
        <v>363250349</v>
      </c>
      <c r="CI212" s="62">
        <f t="shared" si="31"/>
        <v>496028409</v>
      </c>
      <c r="CJ212" s="63">
        <f t="shared" si="32"/>
        <v>859278758</v>
      </c>
      <c r="CK212" s="64">
        <f t="shared" si="33"/>
        <v>0</v>
      </c>
      <c r="CL212" s="16"/>
      <c r="CM212" s="16"/>
      <c r="CN212" s="16"/>
    </row>
    <row r="213" spans="1:96" ht="15" customHeight="1" x14ac:dyDescent="0.2">
      <c r="A213" s="1">
        <v>8000748599</v>
      </c>
      <c r="B213" s="1">
        <v>800074859</v>
      </c>
      <c r="C213" s="9">
        <v>218015180</v>
      </c>
      <c r="D213" s="10" t="s">
        <v>233</v>
      </c>
      <c r="E213" s="45" t="s">
        <v>1269</v>
      </c>
      <c r="F213" s="21"/>
      <c r="G213" s="59"/>
      <c r="H213" s="21"/>
      <c r="I213" s="59"/>
      <c r="J213" s="21"/>
      <c r="K213" s="21"/>
      <c r="L213" s="59"/>
      <c r="M213" s="60"/>
      <c r="N213" s="21"/>
      <c r="O213" s="59"/>
      <c r="P213" s="21"/>
      <c r="Q213" s="59"/>
      <c r="R213" s="21"/>
      <c r="S213" s="21"/>
      <c r="T213" s="59"/>
      <c r="U213" s="60">
        <f t="shared" si="28"/>
        <v>0</v>
      </c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>
        <v>38167855</v>
      </c>
      <c r="AZ213" s="60"/>
      <c r="BA213" s="60">
        <f>VLOOKUP(B213,[2]Hoja3!J$3:K$674,2,0)</f>
        <v>60490923</v>
      </c>
      <c r="BB213" s="60"/>
      <c r="BC213" s="61">
        <f t="shared" si="29"/>
        <v>98658778</v>
      </c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>
        <v>7633571</v>
      </c>
      <c r="BO213" s="60"/>
      <c r="BP213" s="61">
        <v>106292349</v>
      </c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>
        <v>7633571</v>
      </c>
      <c r="CD213" s="61"/>
      <c r="CE213" s="61"/>
      <c r="CF213" s="61"/>
      <c r="CG213" s="61">
        <f t="shared" si="30"/>
        <v>113925920</v>
      </c>
      <c r="CH213" s="62">
        <f>VLOOKUP(B213,[1]RPTNCT049_ConsultaSaldosContabl!I$4:K$7987,3,0)</f>
        <v>53434997</v>
      </c>
      <c r="CI213" s="62">
        <f t="shared" si="31"/>
        <v>60490923</v>
      </c>
      <c r="CJ213" s="63">
        <f t="shared" si="32"/>
        <v>113925920</v>
      </c>
      <c r="CK213" s="64">
        <f t="shared" si="33"/>
        <v>0</v>
      </c>
      <c r="CL213" s="16"/>
      <c r="CM213" s="16"/>
      <c r="CN213" s="8"/>
      <c r="CO213" s="8"/>
      <c r="CP213" s="8"/>
      <c r="CQ213" s="8"/>
      <c r="CR213" s="8"/>
    </row>
    <row r="214" spans="1:96" ht="15" customHeight="1" x14ac:dyDescent="0.2">
      <c r="A214" s="1">
        <v>8918019620</v>
      </c>
      <c r="B214" s="1">
        <v>891801962</v>
      </c>
      <c r="C214" s="9">
        <v>218315183</v>
      </c>
      <c r="D214" s="10" t="s">
        <v>234</v>
      </c>
      <c r="E214" s="45" t="s">
        <v>1270</v>
      </c>
      <c r="F214" s="21"/>
      <c r="G214" s="59"/>
      <c r="H214" s="21"/>
      <c r="I214" s="59"/>
      <c r="J214" s="21"/>
      <c r="K214" s="21"/>
      <c r="L214" s="59"/>
      <c r="M214" s="60"/>
      <c r="N214" s="21"/>
      <c r="O214" s="59"/>
      <c r="P214" s="21"/>
      <c r="Q214" s="59"/>
      <c r="R214" s="21"/>
      <c r="S214" s="21"/>
      <c r="T214" s="59"/>
      <c r="U214" s="60">
        <f t="shared" si="28"/>
        <v>0</v>
      </c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>
        <v>131619755</v>
      </c>
      <c r="AZ214" s="60"/>
      <c r="BA214" s="60">
        <f>VLOOKUP(B214,[2]Hoja3!J$3:K$674,2,0)</f>
        <v>163738881</v>
      </c>
      <c r="BB214" s="60"/>
      <c r="BC214" s="61">
        <f t="shared" si="29"/>
        <v>295358636</v>
      </c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>
        <v>26323951</v>
      </c>
      <c r="BO214" s="60"/>
      <c r="BP214" s="61">
        <v>321682587</v>
      </c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>
        <v>26323951</v>
      </c>
      <c r="CD214" s="61"/>
      <c r="CE214" s="61"/>
      <c r="CF214" s="61"/>
      <c r="CG214" s="61">
        <f t="shared" si="30"/>
        <v>348006538</v>
      </c>
      <c r="CH214" s="62">
        <f>VLOOKUP(B214,[1]RPTNCT049_ConsultaSaldosContabl!I$4:K$7987,3,0)</f>
        <v>184267657</v>
      </c>
      <c r="CI214" s="62">
        <f t="shared" si="31"/>
        <v>163738881</v>
      </c>
      <c r="CJ214" s="63">
        <f t="shared" si="32"/>
        <v>348006538</v>
      </c>
      <c r="CK214" s="64">
        <f t="shared" si="33"/>
        <v>0</v>
      </c>
      <c r="CL214" s="16"/>
      <c r="CM214" s="16"/>
      <c r="CN214" s="8"/>
      <c r="CO214" s="8"/>
      <c r="CP214" s="8"/>
      <c r="CQ214" s="8"/>
      <c r="CR214" s="8"/>
    </row>
    <row r="215" spans="1:96" ht="15" customHeight="1" x14ac:dyDescent="0.2">
      <c r="A215" s="1">
        <v>8905014224</v>
      </c>
      <c r="B215" s="1">
        <v>890501422</v>
      </c>
      <c r="C215" s="9">
        <v>217454174</v>
      </c>
      <c r="D215" s="10" t="s">
        <v>758</v>
      </c>
      <c r="E215" s="45" t="s">
        <v>1776</v>
      </c>
      <c r="F215" s="21"/>
      <c r="G215" s="59"/>
      <c r="H215" s="21"/>
      <c r="I215" s="59"/>
      <c r="J215" s="21"/>
      <c r="K215" s="21"/>
      <c r="L215" s="59"/>
      <c r="M215" s="60"/>
      <c r="N215" s="21"/>
      <c r="O215" s="59"/>
      <c r="P215" s="21"/>
      <c r="Q215" s="59"/>
      <c r="R215" s="21"/>
      <c r="S215" s="21"/>
      <c r="T215" s="59"/>
      <c r="U215" s="60">
        <f t="shared" si="28"/>
        <v>0</v>
      </c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>
        <v>86056230</v>
      </c>
      <c r="AZ215" s="60"/>
      <c r="BA215" s="60">
        <f>VLOOKUP(B215,[2]Hoja3!J$3:K$674,2,0)</f>
        <v>154679638</v>
      </c>
      <c r="BB215" s="60"/>
      <c r="BC215" s="61">
        <f t="shared" si="29"/>
        <v>240735868</v>
      </c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>
        <v>17211246</v>
      </c>
      <c r="BO215" s="60"/>
      <c r="BP215" s="61">
        <v>257947114</v>
      </c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>
        <v>17211246</v>
      </c>
      <c r="CD215" s="61"/>
      <c r="CE215" s="61"/>
      <c r="CF215" s="61"/>
      <c r="CG215" s="61">
        <f t="shared" si="30"/>
        <v>275158360</v>
      </c>
      <c r="CH215" s="62">
        <f>VLOOKUP(B215,[1]RPTNCT049_ConsultaSaldosContabl!I$4:K$7987,3,0)</f>
        <v>120478722</v>
      </c>
      <c r="CI215" s="62">
        <f t="shared" si="31"/>
        <v>154679638</v>
      </c>
      <c r="CJ215" s="63">
        <f t="shared" si="32"/>
        <v>275158360</v>
      </c>
      <c r="CK215" s="64">
        <f t="shared" si="33"/>
        <v>0</v>
      </c>
      <c r="CL215" s="16"/>
      <c r="CM215" s="16"/>
      <c r="CN215" s="16"/>
    </row>
    <row r="216" spans="1:96" ht="15" customHeight="1" x14ac:dyDescent="0.2">
      <c r="A216" s="1">
        <v>8000344760</v>
      </c>
      <c r="B216" s="1">
        <v>800034476</v>
      </c>
      <c r="C216" s="9">
        <v>218515185</v>
      </c>
      <c r="D216" s="10" t="s">
        <v>235</v>
      </c>
      <c r="E216" s="45" t="s">
        <v>1271</v>
      </c>
      <c r="F216" s="21"/>
      <c r="G216" s="59"/>
      <c r="H216" s="21"/>
      <c r="I216" s="59"/>
      <c r="J216" s="21"/>
      <c r="K216" s="21"/>
      <c r="L216" s="59"/>
      <c r="M216" s="60"/>
      <c r="N216" s="21"/>
      <c r="O216" s="59"/>
      <c r="P216" s="21"/>
      <c r="Q216" s="59"/>
      <c r="R216" s="21"/>
      <c r="S216" s="21"/>
      <c r="T216" s="59"/>
      <c r="U216" s="60">
        <f t="shared" si="28"/>
        <v>0</v>
      </c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>
        <f>VLOOKUP(B216,[2]Hoja3!J$3:K$674,2,0)</f>
        <v>78856077</v>
      </c>
      <c r="BB216" s="60"/>
      <c r="BC216" s="61">
        <f t="shared" si="29"/>
        <v>78856077</v>
      </c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>
        <v>10434441</v>
      </c>
      <c r="BO216" s="60"/>
      <c r="BP216" s="61">
        <v>89290518</v>
      </c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>
        <v>10434441</v>
      </c>
      <c r="CD216" s="61">
        <v>52172205</v>
      </c>
      <c r="CE216" s="61"/>
      <c r="CF216" s="61"/>
      <c r="CG216" s="61">
        <f t="shared" si="30"/>
        <v>151897164</v>
      </c>
      <c r="CH216" s="62">
        <f>VLOOKUP(B216,[1]RPTNCT049_ConsultaSaldosContabl!I$4:K$7987,3,0)</f>
        <v>73041087</v>
      </c>
      <c r="CI216" s="62">
        <f t="shared" si="31"/>
        <v>78856077</v>
      </c>
      <c r="CJ216" s="63">
        <f t="shared" si="32"/>
        <v>151897164</v>
      </c>
      <c r="CK216" s="64">
        <f t="shared" si="33"/>
        <v>0</v>
      </c>
      <c r="CL216" s="16"/>
      <c r="CM216" s="16"/>
      <c r="CN216" s="8"/>
      <c r="CO216" s="8"/>
      <c r="CP216" s="8"/>
      <c r="CQ216" s="8"/>
      <c r="CR216" s="8"/>
    </row>
    <row r="217" spans="1:96" ht="15" customHeight="1" x14ac:dyDescent="0.2">
      <c r="A217" s="1">
        <v>8000149891</v>
      </c>
      <c r="B217" s="1">
        <v>800014989</v>
      </c>
      <c r="C217" s="9">
        <v>218715187</v>
      </c>
      <c r="D217" s="10" t="s">
        <v>236</v>
      </c>
      <c r="E217" s="45" t="s">
        <v>1272</v>
      </c>
      <c r="F217" s="21"/>
      <c r="G217" s="59"/>
      <c r="H217" s="21"/>
      <c r="I217" s="59"/>
      <c r="J217" s="21"/>
      <c r="K217" s="21"/>
      <c r="L217" s="59"/>
      <c r="M217" s="60"/>
      <c r="N217" s="21"/>
      <c r="O217" s="59"/>
      <c r="P217" s="21"/>
      <c r="Q217" s="59"/>
      <c r="R217" s="21"/>
      <c r="S217" s="21"/>
      <c r="T217" s="59"/>
      <c r="U217" s="60">
        <f t="shared" si="28"/>
        <v>0</v>
      </c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>
        <v>38628342</v>
      </c>
      <c r="AN217" s="60">
        <f>SUBTOTAL(9,AC217:AM217)</f>
        <v>38628342</v>
      </c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>
        <v>19393845</v>
      </c>
      <c r="AZ217" s="60"/>
      <c r="BA217" s="60"/>
      <c r="BB217" s="60"/>
      <c r="BC217" s="61">
        <f t="shared" si="29"/>
        <v>58022187</v>
      </c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>
        <v>3878769</v>
      </c>
      <c r="BO217" s="60"/>
      <c r="BP217" s="61">
        <v>61900956</v>
      </c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>
        <v>3878769</v>
      </c>
      <c r="CD217" s="61"/>
      <c r="CE217" s="61"/>
      <c r="CF217" s="61"/>
      <c r="CG217" s="61">
        <f t="shared" si="30"/>
        <v>65779725</v>
      </c>
      <c r="CH217" s="62">
        <f>VLOOKUP(B217,[1]RPTNCT049_ConsultaSaldosContabl!I$4:K$7987,3,0)</f>
        <v>27151383</v>
      </c>
      <c r="CI217" s="62">
        <f t="shared" si="31"/>
        <v>38628342</v>
      </c>
      <c r="CJ217" s="63">
        <f t="shared" si="32"/>
        <v>65779725</v>
      </c>
      <c r="CK217" s="64">
        <f t="shared" si="33"/>
        <v>0</v>
      </c>
      <c r="CL217" s="16"/>
      <c r="CM217" s="16"/>
      <c r="CN217" s="8"/>
      <c r="CO217" s="8"/>
      <c r="CP217" s="8"/>
      <c r="CQ217" s="8"/>
      <c r="CR217" s="8"/>
    </row>
    <row r="218" spans="1:96" ht="15" customHeight="1" x14ac:dyDescent="0.2">
      <c r="A218" s="1">
        <v>8001311779</v>
      </c>
      <c r="B218" s="1">
        <v>800131177</v>
      </c>
      <c r="C218" s="9">
        <v>213615236</v>
      </c>
      <c r="D218" s="10" t="s">
        <v>246</v>
      </c>
      <c r="E218" s="45" t="s">
        <v>1281</v>
      </c>
      <c r="F218" s="21"/>
      <c r="G218" s="59"/>
      <c r="H218" s="21"/>
      <c r="I218" s="59"/>
      <c r="J218" s="21"/>
      <c r="K218" s="21"/>
      <c r="L218" s="59"/>
      <c r="M218" s="60"/>
      <c r="N218" s="21"/>
      <c r="O218" s="59"/>
      <c r="P218" s="21"/>
      <c r="Q218" s="59"/>
      <c r="R218" s="21"/>
      <c r="S218" s="21"/>
      <c r="T218" s="59"/>
      <c r="U218" s="60">
        <f t="shared" si="28"/>
        <v>0</v>
      </c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>
        <v>13297055</v>
      </c>
      <c r="AZ218" s="60"/>
      <c r="BA218" s="60">
        <f>VLOOKUP(B218,[2]Hoja3!J$3:K$674,2,0)</f>
        <v>36532003</v>
      </c>
      <c r="BB218" s="60"/>
      <c r="BC218" s="61">
        <f t="shared" si="29"/>
        <v>49829058</v>
      </c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>
        <v>2659411</v>
      </c>
      <c r="BO218" s="60"/>
      <c r="BP218" s="61">
        <v>52488469</v>
      </c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>
        <v>2659411</v>
      </c>
      <c r="CD218" s="61"/>
      <c r="CE218" s="61"/>
      <c r="CF218" s="61"/>
      <c r="CG218" s="61">
        <f t="shared" si="30"/>
        <v>55147880</v>
      </c>
      <c r="CH218" s="62">
        <f>VLOOKUP(B218,[1]RPTNCT049_ConsultaSaldosContabl!I$4:K$7987,3,0)</f>
        <v>18615877</v>
      </c>
      <c r="CI218" s="62">
        <f t="shared" si="31"/>
        <v>36532003</v>
      </c>
      <c r="CJ218" s="63">
        <f t="shared" si="32"/>
        <v>55147880</v>
      </c>
      <c r="CK218" s="64">
        <f t="shared" si="33"/>
        <v>0</v>
      </c>
      <c r="CL218" s="16"/>
      <c r="CM218" s="16"/>
      <c r="CN218" s="8"/>
      <c r="CO218" s="8"/>
      <c r="CP218" s="8"/>
      <c r="CQ218" s="8"/>
      <c r="CR218" s="8"/>
    </row>
    <row r="219" spans="1:96" ht="15" customHeight="1" x14ac:dyDescent="0.2">
      <c r="A219" s="1">
        <v>8999994145</v>
      </c>
      <c r="B219" s="1">
        <v>899999414</v>
      </c>
      <c r="C219" s="9">
        <v>218125181</v>
      </c>
      <c r="D219" s="10" t="s">
        <v>477</v>
      </c>
      <c r="E219" s="45" t="s">
        <v>1503</v>
      </c>
      <c r="F219" s="21"/>
      <c r="G219" s="59"/>
      <c r="H219" s="21"/>
      <c r="I219" s="59"/>
      <c r="J219" s="21"/>
      <c r="K219" s="21"/>
      <c r="L219" s="59"/>
      <c r="M219" s="60"/>
      <c r="N219" s="21"/>
      <c r="O219" s="59"/>
      <c r="P219" s="21"/>
      <c r="Q219" s="59"/>
      <c r="R219" s="21"/>
      <c r="S219" s="21"/>
      <c r="T219" s="59"/>
      <c r="U219" s="60">
        <f t="shared" si="28"/>
        <v>0</v>
      </c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>
        <v>202516784</v>
      </c>
      <c r="AN219" s="60">
        <f t="shared" ref="AN219:AN225" si="35">SUBTOTAL(9,AC219:AM219)</f>
        <v>202516784</v>
      </c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1">
        <f t="shared" si="29"/>
        <v>202516784</v>
      </c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>
        <v>0</v>
      </c>
      <c r="BO219" s="60"/>
      <c r="BP219" s="61">
        <v>202516784</v>
      </c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>
        <v>0</v>
      </c>
      <c r="CD219" s="61"/>
      <c r="CE219" s="61"/>
      <c r="CF219" s="61"/>
      <c r="CG219" s="61">
        <f t="shared" si="30"/>
        <v>202516784</v>
      </c>
      <c r="CH219" s="62"/>
      <c r="CI219" s="62">
        <f t="shared" si="31"/>
        <v>202516784</v>
      </c>
      <c r="CJ219" s="63">
        <f t="shared" si="32"/>
        <v>202516784</v>
      </c>
      <c r="CK219" s="64">
        <f t="shared" si="33"/>
        <v>0</v>
      </c>
      <c r="CL219" s="16"/>
      <c r="CM219" s="16"/>
      <c r="CN219" s="16"/>
    </row>
    <row r="220" spans="1:96" ht="15" customHeight="1" x14ac:dyDescent="0.2">
      <c r="A220" s="1">
        <v>8999993573</v>
      </c>
      <c r="B220" s="1">
        <v>899999357</v>
      </c>
      <c r="C220" s="9">
        <v>218325183</v>
      </c>
      <c r="D220" s="10" t="s">
        <v>478</v>
      </c>
      <c r="E220" s="45" t="s">
        <v>1504</v>
      </c>
      <c r="F220" s="21"/>
      <c r="G220" s="59"/>
      <c r="H220" s="21"/>
      <c r="I220" s="59"/>
      <c r="J220" s="21"/>
      <c r="K220" s="21"/>
      <c r="L220" s="59"/>
      <c r="M220" s="60"/>
      <c r="N220" s="21"/>
      <c r="O220" s="59"/>
      <c r="P220" s="21"/>
      <c r="Q220" s="59"/>
      <c r="R220" s="21"/>
      <c r="S220" s="21"/>
      <c r="T220" s="59"/>
      <c r="U220" s="60">
        <f t="shared" si="28"/>
        <v>0</v>
      </c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>
        <v>314574221</v>
      </c>
      <c r="AN220" s="60">
        <f t="shared" si="35"/>
        <v>314574221</v>
      </c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>
        <v>133393865</v>
      </c>
      <c r="AZ220" s="60"/>
      <c r="BA220" s="60"/>
      <c r="BB220" s="60"/>
      <c r="BC220" s="61">
        <f t="shared" si="29"/>
        <v>447968086</v>
      </c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>
        <v>26678773</v>
      </c>
      <c r="BO220" s="60"/>
      <c r="BP220" s="61">
        <v>474646859</v>
      </c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>
        <v>26678773</v>
      </c>
      <c r="CD220" s="61"/>
      <c r="CE220" s="61"/>
      <c r="CF220" s="61"/>
      <c r="CG220" s="61">
        <f t="shared" si="30"/>
        <v>501325632</v>
      </c>
      <c r="CH220" s="62">
        <f>VLOOKUP(B220,[1]RPTNCT049_ConsultaSaldosContabl!I$4:K$7987,3,0)</f>
        <v>186751411</v>
      </c>
      <c r="CI220" s="62">
        <f t="shared" si="31"/>
        <v>314574221</v>
      </c>
      <c r="CJ220" s="63">
        <f t="shared" si="32"/>
        <v>501325632</v>
      </c>
      <c r="CK220" s="64">
        <f t="shared" si="33"/>
        <v>0</v>
      </c>
      <c r="CL220" s="16"/>
      <c r="CM220" s="16"/>
      <c r="CN220" s="16"/>
    </row>
    <row r="221" spans="1:96" ht="15" customHeight="1" x14ac:dyDescent="0.2">
      <c r="A221" s="1">
        <v>8002544811</v>
      </c>
      <c r="B221" s="1">
        <v>800254481</v>
      </c>
      <c r="C221" s="9">
        <v>218813188</v>
      </c>
      <c r="D221" s="10" t="s">
        <v>188</v>
      </c>
      <c r="E221" s="45" t="s">
        <v>1218</v>
      </c>
      <c r="F221" s="21"/>
      <c r="G221" s="59"/>
      <c r="H221" s="21"/>
      <c r="I221" s="59"/>
      <c r="J221" s="21"/>
      <c r="K221" s="21"/>
      <c r="L221" s="59"/>
      <c r="M221" s="60"/>
      <c r="N221" s="21"/>
      <c r="O221" s="59"/>
      <c r="P221" s="21"/>
      <c r="Q221" s="59"/>
      <c r="R221" s="21"/>
      <c r="S221" s="21"/>
      <c r="T221" s="59"/>
      <c r="U221" s="60">
        <f t="shared" si="28"/>
        <v>0</v>
      </c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>
        <v>155965468</v>
      </c>
      <c r="AN221" s="60">
        <f t="shared" si="35"/>
        <v>155965468</v>
      </c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>
        <f>VLOOKUP(B221,[2]Hoja3!J$3:K$674,2,0)</f>
        <v>106110504</v>
      </c>
      <c r="BB221" s="60"/>
      <c r="BC221" s="61">
        <f t="shared" si="29"/>
        <v>262075972</v>
      </c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>
        <v>31338050</v>
      </c>
      <c r="BO221" s="60"/>
      <c r="BP221" s="61">
        <v>293414022</v>
      </c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>
        <v>31338050</v>
      </c>
      <c r="CD221" s="61">
        <v>156690250</v>
      </c>
      <c r="CE221" s="61"/>
      <c r="CF221" s="61"/>
      <c r="CG221" s="61">
        <f t="shared" si="30"/>
        <v>481442322</v>
      </c>
      <c r="CH221" s="62">
        <f>VLOOKUP(B221,[1]RPTNCT049_ConsultaSaldosContabl!I$4:K$7987,3,0)</f>
        <v>219366350</v>
      </c>
      <c r="CI221" s="62">
        <f t="shared" si="31"/>
        <v>262075972</v>
      </c>
      <c r="CJ221" s="63">
        <f t="shared" si="32"/>
        <v>481442322</v>
      </c>
      <c r="CK221" s="64">
        <f t="shared" si="33"/>
        <v>0</v>
      </c>
      <c r="CL221" s="16"/>
      <c r="CM221" s="16"/>
      <c r="CN221" s="8"/>
      <c r="CO221" s="8"/>
      <c r="CP221" s="8"/>
      <c r="CQ221" s="8"/>
      <c r="CR221" s="8"/>
    </row>
    <row r="222" spans="1:96" ht="15" customHeight="1" x14ac:dyDescent="0.2">
      <c r="A222" s="1">
        <v>8917800435</v>
      </c>
      <c r="B222" s="1">
        <v>891780043</v>
      </c>
      <c r="C222" s="9">
        <v>218947189</v>
      </c>
      <c r="D222" s="10" t="s">
        <v>2150</v>
      </c>
      <c r="E222" s="47" t="s">
        <v>1061</v>
      </c>
      <c r="F222" s="21"/>
      <c r="G222" s="59"/>
      <c r="H222" s="21"/>
      <c r="I222" s="59">
        <f>3766205378+75478410</f>
        <v>3841683788</v>
      </c>
      <c r="J222" s="21">
        <v>237697398</v>
      </c>
      <c r="K222" s="21">
        <v>476626249</v>
      </c>
      <c r="L222" s="59"/>
      <c r="M222" s="61">
        <f>SUM(F222:L222)</f>
        <v>4556007435</v>
      </c>
      <c r="N222" s="21"/>
      <c r="O222" s="59"/>
      <c r="P222" s="21"/>
      <c r="Q222" s="59">
        <f>3689113733+375000000</f>
        <v>4064113733</v>
      </c>
      <c r="R222" s="21">
        <v>237697398</v>
      </c>
      <c r="S222" s="21">
        <f>238928851+237697398</f>
        <v>476626249</v>
      </c>
      <c r="T222" s="59"/>
      <c r="U222" s="60">
        <f t="shared" si="28"/>
        <v>9334444815</v>
      </c>
      <c r="V222" s="60"/>
      <c r="W222" s="60"/>
      <c r="X222" s="60"/>
      <c r="Y222" s="60">
        <v>5354291703</v>
      </c>
      <c r="Z222" s="60">
        <v>212752992</v>
      </c>
      <c r="AA222" s="60">
        <v>494236169</v>
      </c>
      <c r="AB222" s="60"/>
      <c r="AC222" s="60">
        <f t="shared" si="34"/>
        <v>15395725679</v>
      </c>
      <c r="AD222" s="60"/>
      <c r="AE222" s="60"/>
      <c r="AF222" s="60"/>
      <c r="AG222" s="60"/>
      <c r="AH222" s="60">
        <v>3957805389</v>
      </c>
      <c r="AI222" s="60">
        <v>437377169</v>
      </c>
      <c r="AJ222" s="60">
        <v>235889117</v>
      </c>
      <c r="AK222" s="60">
        <v>595627967</v>
      </c>
      <c r="AL222" s="60"/>
      <c r="AM222" s="60">
        <v>914334830</v>
      </c>
      <c r="AN222" s="60">
        <f t="shared" si="35"/>
        <v>21536760151</v>
      </c>
      <c r="AO222" s="60"/>
      <c r="AP222" s="60"/>
      <c r="AQ222" s="60">
        <v>872996465</v>
      </c>
      <c r="AR222" s="60"/>
      <c r="AS222" s="60"/>
      <c r="AT222" s="60">
        <v>3957805389</v>
      </c>
      <c r="AU222" s="60"/>
      <c r="AV222" s="60">
        <v>235889117</v>
      </c>
      <c r="AW222" s="60">
        <v>403638985</v>
      </c>
      <c r="AX222" s="60"/>
      <c r="AY222" s="60"/>
      <c r="AZ222" s="60"/>
      <c r="BA222" s="60">
        <f>VLOOKUP(B222,[2]Hoja3!J$3:K$674,2,0)</f>
        <v>614556997</v>
      </c>
      <c r="BB222" s="60"/>
      <c r="BC222" s="61">
        <f t="shared" si="29"/>
        <v>27621647104</v>
      </c>
      <c r="BD222" s="60"/>
      <c r="BE222" s="60"/>
      <c r="BF222" s="60">
        <v>174599293</v>
      </c>
      <c r="BG222" s="60"/>
      <c r="BH222" s="60"/>
      <c r="BI222" s="60">
        <v>4575781390</v>
      </c>
      <c r="BJ222" s="60">
        <v>134320930</v>
      </c>
      <c r="BK222" s="60">
        <v>279276229</v>
      </c>
      <c r="BL222" s="60">
        <v>692335037</v>
      </c>
      <c r="BM222" s="60"/>
      <c r="BN222" s="60"/>
      <c r="BO222" s="60"/>
      <c r="BP222" s="61">
        <v>33477959983</v>
      </c>
      <c r="BQ222" s="61"/>
      <c r="BR222" s="61"/>
      <c r="BS222" s="61">
        <v>174599293</v>
      </c>
      <c r="BT222" s="61"/>
      <c r="BU222" s="61"/>
      <c r="BV222" s="61"/>
      <c r="BW222" s="61">
        <v>3942756189</v>
      </c>
      <c r="BX222" s="61"/>
      <c r="BY222" s="61">
        <v>1624811483</v>
      </c>
      <c r="BZ222" s="61">
        <v>243933623</v>
      </c>
      <c r="CA222" s="61">
        <v>642706139</v>
      </c>
      <c r="CB222" s="61"/>
      <c r="CC222" s="61"/>
      <c r="CD222" s="61"/>
      <c r="CE222" s="61">
        <v>33249776</v>
      </c>
      <c r="CF222" s="61"/>
      <c r="CG222" s="61">
        <f t="shared" si="30"/>
        <v>40140016486</v>
      </c>
      <c r="CH222" s="62">
        <f>VLOOKUP(B222,[1]RPTNCT049_ConsultaSaldosContabl!I$4:K$7987,3,0)</f>
        <v>38577874883</v>
      </c>
      <c r="CI222" s="62">
        <f t="shared" si="31"/>
        <v>1562141603</v>
      </c>
      <c r="CJ222" s="63">
        <f t="shared" si="32"/>
        <v>40140016486</v>
      </c>
      <c r="CK222" s="64">
        <f t="shared" si="33"/>
        <v>0</v>
      </c>
      <c r="CL222" s="16"/>
      <c r="CM222" s="16"/>
      <c r="CN222" s="16"/>
    </row>
    <row r="223" spans="1:96" ht="15" customHeight="1" x14ac:dyDescent="0.2">
      <c r="A223" s="1">
        <v>8000967461</v>
      </c>
      <c r="B223" s="1">
        <v>800096746</v>
      </c>
      <c r="C223" s="9">
        <v>218923189</v>
      </c>
      <c r="D223" s="10" t="s">
        <v>443</v>
      </c>
      <c r="E223" s="45" t="s">
        <v>1470</v>
      </c>
      <c r="F223" s="21"/>
      <c r="G223" s="59"/>
      <c r="H223" s="21"/>
      <c r="I223" s="59"/>
      <c r="J223" s="21"/>
      <c r="K223" s="21"/>
      <c r="L223" s="59"/>
      <c r="M223" s="60"/>
      <c r="N223" s="21"/>
      <c r="O223" s="59"/>
      <c r="P223" s="21"/>
      <c r="Q223" s="59"/>
      <c r="R223" s="21"/>
      <c r="S223" s="21"/>
      <c r="T223" s="59"/>
      <c r="U223" s="60">
        <f t="shared" si="28"/>
        <v>0</v>
      </c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>
        <v>1071656497</v>
      </c>
      <c r="AN223" s="60">
        <f t="shared" si="35"/>
        <v>1071656497</v>
      </c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>
        <v>616066060</v>
      </c>
      <c r="AZ223" s="60"/>
      <c r="BA223" s="60"/>
      <c r="BB223" s="60"/>
      <c r="BC223" s="61">
        <f t="shared" si="29"/>
        <v>1687722557</v>
      </c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>
        <v>123213212</v>
      </c>
      <c r="BO223" s="60"/>
      <c r="BP223" s="61">
        <v>1810935769</v>
      </c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>
        <v>123213212</v>
      </c>
      <c r="CD223" s="61"/>
      <c r="CE223" s="61"/>
      <c r="CF223" s="61"/>
      <c r="CG223" s="61">
        <f t="shared" si="30"/>
        <v>1934148981</v>
      </c>
      <c r="CH223" s="62">
        <f>VLOOKUP(B223,[1]RPTNCT049_ConsultaSaldosContabl!I$4:K$7987,3,0)</f>
        <v>862492484</v>
      </c>
      <c r="CI223" s="62">
        <f t="shared" si="31"/>
        <v>1071656497</v>
      </c>
      <c r="CJ223" s="63">
        <f t="shared" si="32"/>
        <v>1934148981</v>
      </c>
      <c r="CK223" s="64">
        <f t="shared" si="33"/>
        <v>0</v>
      </c>
      <c r="CL223" s="16"/>
      <c r="CM223" s="16"/>
      <c r="CN223" s="16"/>
    </row>
    <row r="224" spans="1:96" ht="15" customHeight="1" x14ac:dyDescent="0.2">
      <c r="A224" s="1">
        <v>8918019881</v>
      </c>
      <c r="B224" s="1">
        <v>891801988</v>
      </c>
      <c r="C224" s="9">
        <v>218915189</v>
      </c>
      <c r="D224" s="10" t="s">
        <v>237</v>
      </c>
      <c r="E224" s="45" t="s">
        <v>1260</v>
      </c>
      <c r="F224" s="21"/>
      <c r="G224" s="59"/>
      <c r="H224" s="21"/>
      <c r="I224" s="59"/>
      <c r="J224" s="21"/>
      <c r="K224" s="21"/>
      <c r="L224" s="59"/>
      <c r="M224" s="60"/>
      <c r="N224" s="21"/>
      <c r="O224" s="59"/>
      <c r="P224" s="21"/>
      <c r="Q224" s="59"/>
      <c r="R224" s="21"/>
      <c r="S224" s="21"/>
      <c r="T224" s="59"/>
      <c r="U224" s="60">
        <f t="shared" si="28"/>
        <v>0</v>
      </c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>
        <v>76709125</v>
      </c>
      <c r="AN224" s="60">
        <f t="shared" si="35"/>
        <v>76709125</v>
      </c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>
        <v>29289735</v>
      </c>
      <c r="AZ224" s="60"/>
      <c r="BA224" s="60">
        <f>VLOOKUP(B224,[2]Hoja3!J$3:K$674,2,0)</f>
        <v>16496756</v>
      </c>
      <c r="BB224" s="60"/>
      <c r="BC224" s="61">
        <f t="shared" si="29"/>
        <v>122495616</v>
      </c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>
        <v>5857947</v>
      </c>
      <c r="BO224" s="60"/>
      <c r="BP224" s="61">
        <v>128353563</v>
      </c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>
        <v>5857947</v>
      </c>
      <c r="CD224" s="61"/>
      <c r="CE224" s="61">
        <v>13888682</v>
      </c>
      <c r="CF224" s="61"/>
      <c r="CG224" s="61">
        <f t="shared" si="30"/>
        <v>148100192</v>
      </c>
      <c r="CH224" s="62">
        <f>VLOOKUP(B224,[1]RPTNCT049_ConsultaSaldosContabl!I$4:K$7987,3,0)</f>
        <v>41005629</v>
      </c>
      <c r="CI224" s="62">
        <f t="shared" si="31"/>
        <v>107094563</v>
      </c>
      <c r="CJ224" s="63">
        <f t="shared" si="32"/>
        <v>148100192</v>
      </c>
      <c r="CK224" s="64">
        <f t="shared" si="33"/>
        <v>0</v>
      </c>
      <c r="CL224" s="16"/>
      <c r="CM224" s="16"/>
      <c r="CN224" s="8"/>
      <c r="CO224" s="8"/>
      <c r="CP224" s="8"/>
      <c r="CQ224" s="8"/>
      <c r="CR224" s="8"/>
    </row>
    <row r="225" spans="1:96" ht="15" customHeight="1" x14ac:dyDescent="0.2">
      <c r="A225" s="1">
        <v>8902083632</v>
      </c>
      <c r="B225" s="1">
        <v>890208363</v>
      </c>
      <c r="C225" s="9">
        <v>219068190</v>
      </c>
      <c r="D225" s="10" t="s">
        <v>829</v>
      </c>
      <c r="E225" s="45" t="s">
        <v>1844</v>
      </c>
      <c r="F225" s="21"/>
      <c r="G225" s="59"/>
      <c r="H225" s="21"/>
      <c r="I225" s="59"/>
      <c r="J225" s="21"/>
      <c r="K225" s="21"/>
      <c r="L225" s="59"/>
      <c r="M225" s="60"/>
      <c r="N225" s="21"/>
      <c r="O225" s="59"/>
      <c r="P225" s="21"/>
      <c r="Q225" s="59"/>
      <c r="R225" s="21"/>
      <c r="S225" s="21"/>
      <c r="T225" s="59"/>
      <c r="U225" s="60">
        <f t="shared" si="28"/>
        <v>0</v>
      </c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>
        <v>546666176</v>
      </c>
      <c r="AN225" s="60">
        <f t="shared" si="35"/>
        <v>546666176</v>
      </c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>
        <v>270772760</v>
      </c>
      <c r="AZ225" s="60"/>
      <c r="BA225" s="60">
        <f>VLOOKUP(B225,[2]Hoja3!J$3:K$674,2,0)</f>
        <v>15813138</v>
      </c>
      <c r="BB225" s="60"/>
      <c r="BC225" s="61">
        <f t="shared" si="29"/>
        <v>833252074</v>
      </c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>
        <v>54154552</v>
      </c>
      <c r="BO225" s="60"/>
      <c r="BP225" s="61">
        <v>887406626</v>
      </c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>
        <v>54154552</v>
      </c>
      <c r="CD225" s="61"/>
      <c r="CE225" s="61"/>
      <c r="CF225" s="61"/>
      <c r="CG225" s="61">
        <f t="shared" si="30"/>
        <v>941561178</v>
      </c>
      <c r="CH225" s="62">
        <f>VLOOKUP(B225,[1]RPTNCT049_ConsultaSaldosContabl!I$4:K$7987,3,0)</f>
        <v>379081864</v>
      </c>
      <c r="CI225" s="62">
        <f t="shared" si="31"/>
        <v>562479314</v>
      </c>
      <c r="CJ225" s="63">
        <f t="shared" si="32"/>
        <v>941561178</v>
      </c>
      <c r="CK225" s="64">
        <f t="shared" si="33"/>
        <v>0</v>
      </c>
      <c r="CL225" s="16"/>
      <c r="CM225" s="16"/>
      <c r="CN225" s="16"/>
    </row>
    <row r="226" spans="1:96" ht="15" customHeight="1" x14ac:dyDescent="0.2">
      <c r="A226" s="1">
        <v>8900010448</v>
      </c>
      <c r="B226" s="1">
        <v>890001044</v>
      </c>
      <c r="C226" s="9">
        <v>219063190</v>
      </c>
      <c r="D226" s="10" t="s">
        <v>791</v>
      </c>
      <c r="E226" s="45" t="s">
        <v>1808</v>
      </c>
      <c r="F226" s="21"/>
      <c r="G226" s="59"/>
      <c r="H226" s="21"/>
      <c r="I226" s="59"/>
      <c r="J226" s="21"/>
      <c r="K226" s="21"/>
      <c r="L226" s="59"/>
      <c r="M226" s="60"/>
      <c r="N226" s="21"/>
      <c r="O226" s="59"/>
      <c r="P226" s="21"/>
      <c r="Q226" s="59"/>
      <c r="R226" s="21"/>
      <c r="S226" s="21"/>
      <c r="T226" s="59"/>
      <c r="U226" s="60">
        <f t="shared" si="28"/>
        <v>0</v>
      </c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>
        <v>172217655</v>
      </c>
      <c r="AZ226" s="60"/>
      <c r="BA226" s="60">
        <f>VLOOKUP(B226,[2]Hoja3!J$3:K$674,2,0)</f>
        <v>318228701</v>
      </c>
      <c r="BB226" s="60"/>
      <c r="BC226" s="61">
        <f t="shared" si="29"/>
        <v>490446356</v>
      </c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>
        <v>34443531</v>
      </c>
      <c r="BO226" s="60"/>
      <c r="BP226" s="61">
        <v>524889887</v>
      </c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>
        <v>34443531</v>
      </c>
      <c r="CD226" s="61"/>
      <c r="CE226" s="61"/>
      <c r="CF226" s="61"/>
      <c r="CG226" s="61">
        <f t="shared" si="30"/>
        <v>559333418</v>
      </c>
      <c r="CH226" s="62">
        <f>VLOOKUP(B226,[1]RPTNCT049_ConsultaSaldosContabl!I$4:K$7987,3,0)</f>
        <v>241104717</v>
      </c>
      <c r="CI226" s="62">
        <f t="shared" si="31"/>
        <v>318228701</v>
      </c>
      <c r="CJ226" s="63">
        <f t="shared" si="32"/>
        <v>559333418</v>
      </c>
      <c r="CK226" s="64">
        <f t="shared" si="33"/>
        <v>0</v>
      </c>
      <c r="CL226" s="16"/>
      <c r="CM226" s="16"/>
      <c r="CN226" s="16"/>
    </row>
    <row r="227" spans="1:96" ht="15" customHeight="1" x14ac:dyDescent="0.2">
      <c r="A227" s="1">
        <v>8909109133</v>
      </c>
      <c r="B227" s="1">
        <v>890910913</v>
      </c>
      <c r="C227" s="9">
        <v>219005190</v>
      </c>
      <c r="D227" s="10" t="s">
        <v>77</v>
      </c>
      <c r="E227" s="45" t="s">
        <v>1108</v>
      </c>
      <c r="F227" s="21"/>
      <c r="G227" s="59"/>
      <c r="H227" s="21"/>
      <c r="I227" s="59"/>
      <c r="J227" s="21"/>
      <c r="K227" s="21"/>
      <c r="L227" s="59"/>
      <c r="M227" s="60"/>
      <c r="N227" s="21"/>
      <c r="O227" s="59"/>
      <c r="P227" s="21"/>
      <c r="Q227" s="59"/>
      <c r="R227" s="21"/>
      <c r="S227" s="21"/>
      <c r="T227" s="59"/>
      <c r="U227" s="60">
        <f t="shared" si="28"/>
        <v>0</v>
      </c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>
        <v>64642015</v>
      </c>
      <c r="AZ227" s="60"/>
      <c r="BA227" s="60">
        <f>VLOOKUP(B227,[2]Hoja3!J$3:K$674,2,0)</f>
        <v>114170074</v>
      </c>
      <c r="BB227" s="60"/>
      <c r="BC227" s="61">
        <f t="shared" si="29"/>
        <v>178812089</v>
      </c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>
        <v>12928403</v>
      </c>
      <c r="BO227" s="60"/>
      <c r="BP227" s="61">
        <v>191740492</v>
      </c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>
        <v>12928403</v>
      </c>
      <c r="CD227" s="61"/>
      <c r="CE227" s="61"/>
      <c r="CF227" s="61"/>
      <c r="CG227" s="61">
        <f t="shared" si="30"/>
        <v>204668895</v>
      </c>
      <c r="CH227" s="62">
        <f>VLOOKUP(B227,[1]RPTNCT049_ConsultaSaldosContabl!I$4:K$7987,3,0)</f>
        <v>90498821</v>
      </c>
      <c r="CI227" s="62">
        <f t="shared" si="31"/>
        <v>114170074</v>
      </c>
      <c r="CJ227" s="63">
        <f t="shared" si="32"/>
        <v>204668895</v>
      </c>
      <c r="CK227" s="64">
        <f t="shared" si="33"/>
        <v>0</v>
      </c>
      <c r="CL227" s="16"/>
      <c r="CM227" s="16"/>
      <c r="CN227" s="16"/>
    </row>
    <row r="228" spans="1:96" ht="15" customHeight="1" x14ac:dyDescent="0.2">
      <c r="A228" s="1">
        <v>8060007019</v>
      </c>
      <c r="B228" s="1">
        <v>806000701</v>
      </c>
      <c r="C228" s="9">
        <v>212213222</v>
      </c>
      <c r="D228" s="10" t="s">
        <v>190</v>
      </c>
      <c r="E228" s="45" t="s">
        <v>1220</v>
      </c>
      <c r="F228" s="21"/>
      <c r="G228" s="59"/>
      <c r="H228" s="21"/>
      <c r="I228" s="59"/>
      <c r="J228" s="21"/>
      <c r="K228" s="21"/>
      <c r="L228" s="59"/>
      <c r="M228" s="60"/>
      <c r="N228" s="21"/>
      <c r="O228" s="59"/>
      <c r="P228" s="21"/>
      <c r="Q228" s="59"/>
      <c r="R228" s="21"/>
      <c r="S228" s="21"/>
      <c r="T228" s="59"/>
      <c r="U228" s="60">
        <f t="shared" si="28"/>
        <v>0</v>
      </c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>
        <v>220109729</v>
      </c>
      <c r="AN228" s="60">
        <f>SUBTOTAL(9,AC228:AM228)</f>
        <v>220109729</v>
      </c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>
        <v>166333305</v>
      </c>
      <c r="AZ228" s="60"/>
      <c r="BA228" s="60"/>
      <c r="BB228" s="60"/>
      <c r="BC228" s="61">
        <f t="shared" si="29"/>
        <v>386443034</v>
      </c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>
        <v>33266661</v>
      </c>
      <c r="BO228" s="60"/>
      <c r="BP228" s="61">
        <v>419709695</v>
      </c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>
        <v>33266661</v>
      </c>
      <c r="CD228" s="61"/>
      <c r="CE228" s="61"/>
      <c r="CF228" s="61"/>
      <c r="CG228" s="61">
        <f t="shared" si="30"/>
        <v>452976356</v>
      </c>
      <c r="CH228" s="62">
        <f>VLOOKUP(B228,[1]RPTNCT049_ConsultaSaldosContabl!I$4:K$7987,3,0)</f>
        <v>232866627</v>
      </c>
      <c r="CI228" s="62">
        <f t="shared" si="31"/>
        <v>220109729</v>
      </c>
      <c r="CJ228" s="63">
        <f t="shared" si="32"/>
        <v>452976356</v>
      </c>
      <c r="CK228" s="64">
        <f t="shared" si="33"/>
        <v>0</v>
      </c>
      <c r="CL228" s="16"/>
      <c r="CM228" s="16"/>
      <c r="CN228" s="8"/>
      <c r="CO228" s="8"/>
      <c r="CP228" s="8"/>
      <c r="CQ228" s="8"/>
      <c r="CR228" s="8"/>
    </row>
    <row r="229" spans="1:96" ht="15" customHeight="1" x14ac:dyDescent="0.2">
      <c r="A229" s="1">
        <v>8909846340</v>
      </c>
      <c r="B229" s="1">
        <v>890984634</v>
      </c>
      <c r="C229" s="9">
        <v>219705197</v>
      </c>
      <c r="D229" s="10" t="s">
        <v>78</v>
      </c>
      <c r="E229" s="45" t="s">
        <v>1109</v>
      </c>
      <c r="F229" s="21"/>
      <c r="G229" s="59"/>
      <c r="H229" s="21"/>
      <c r="I229" s="59"/>
      <c r="J229" s="21"/>
      <c r="K229" s="21"/>
      <c r="L229" s="59"/>
      <c r="M229" s="60"/>
      <c r="N229" s="21"/>
      <c r="O229" s="59"/>
      <c r="P229" s="21"/>
      <c r="Q229" s="59"/>
      <c r="R229" s="21"/>
      <c r="S229" s="21"/>
      <c r="T229" s="59"/>
      <c r="U229" s="60">
        <f t="shared" si="28"/>
        <v>0</v>
      </c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>
        <v>91198875</v>
      </c>
      <c r="AZ229" s="60"/>
      <c r="BA229" s="60">
        <f>VLOOKUP(B229,[2]Hoja3!J$3:K$674,2,0)</f>
        <v>233433387</v>
      </c>
      <c r="BB229" s="60"/>
      <c r="BC229" s="61">
        <f t="shared" si="29"/>
        <v>324632262</v>
      </c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>
        <v>18239775</v>
      </c>
      <c r="BO229" s="60"/>
      <c r="BP229" s="61">
        <v>342872037</v>
      </c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>
        <v>18239775</v>
      </c>
      <c r="CD229" s="61"/>
      <c r="CE229" s="61"/>
      <c r="CF229" s="61"/>
      <c r="CG229" s="61">
        <f t="shared" si="30"/>
        <v>361111812</v>
      </c>
      <c r="CH229" s="62">
        <f>VLOOKUP(B229,[1]RPTNCT049_ConsultaSaldosContabl!I$4:K$7987,3,0)</f>
        <v>127678425</v>
      </c>
      <c r="CI229" s="62">
        <f t="shared" si="31"/>
        <v>233433387</v>
      </c>
      <c r="CJ229" s="63">
        <f t="shared" si="32"/>
        <v>361111812</v>
      </c>
      <c r="CK229" s="64">
        <f t="shared" si="33"/>
        <v>0</v>
      </c>
      <c r="CL229" s="16"/>
      <c r="CM229" s="16"/>
      <c r="CN229" s="16"/>
    </row>
    <row r="230" spans="1:96" ht="15" customHeight="1" x14ac:dyDescent="0.2">
      <c r="A230" s="1">
        <v>8001000517</v>
      </c>
      <c r="B230" s="1">
        <v>800100051</v>
      </c>
      <c r="C230" s="9">
        <v>210073200</v>
      </c>
      <c r="D230" s="10" t="s">
        <v>2211</v>
      </c>
      <c r="E230" s="45" t="s">
        <v>1938</v>
      </c>
      <c r="F230" s="21"/>
      <c r="G230" s="59"/>
      <c r="H230" s="21"/>
      <c r="I230" s="59"/>
      <c r="J230" s="21"/>
      <c r="K230" s="21"/>
      <c r="L230" s="59"/>
      <c r="M230" s="60"/>
      <c r="N230" s="21"/>
      <c r="O230" s="59"/>
      <c r="P230" s="21"/>
      <c r="Q230" s="59"/>
      <c r="R230" s="21"/>
      <c r="S230" s="21"/>
      <c r="T230" s="59"/>
      <c r="U230" s="60">
        <f t="shared" si="28"/>
        <v>0</v>
      </c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>
        <v>62689335</v>
      </c>
      <c r="AZ230" s="60"/>
      <c r="BA230" s="60">
        <f>VLOOKUP(B230,[2]Hoja3!J$3:K$674,2,0)</f>
        <v>145421799</v>
      </c>
      <c r="BB230" s="60"/>
      <c r="BC230" s="61">
        <f t="shared" si="29"/>
        <v>208111134</v>
      </c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>
        <v>12537867</v>
      </c>
      <c r="BO230" s="60"/>
      <c r="BP230" s="61">
        <v>220649001</v>
      </c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>
        <v>12537867</v>
      </c>
      <c r="CD230" s="61"/>
      <c r="CE230" s="61"/>
      <c r="CF230" s="61"/>
      <c r="CG230" s="61">
        <f t="shared" si="30"/>
        <v>233186868</v>
      </c>
      <c r="CH230" s="62">
        <f>VLOOKUP(B230,[1]RPTNCT049_ConsultaSaldosContabl!I$4:K$7987,3,0)</f>
        <v>87765069</v>
      </c>
      <c r="CI230" s="62">
        <f t="shared" si="31"/>
        <v>145421799</v>
      </c>
      <c r="CJ230" s="63">
        <f t="shared" si="32"/>
        <v>233186868</v>
      </c>
      <c r="CK230" s="64">
        <f t="shared" si="33"/>
        <v>0</v>
      </c>
      <c r="CL230" s="16"/>
      <c r="CM230" s="16"/>
      <c r="CN230" s="16"/>
    </row>
    <row r="231" spans="1:96" ht="15" customHeight="1" x14ac:dyDescent="0.2">
      <c r="A231" s="1">
        <v>8999994668</v>
      </c>
      <c r="B231" s="1">
        <v>899999466</v>
      </c>
      <c r="C231" s="9">
        <v>210025200</v>
      </c>
      <c r="D231" s="10" t="s">
        <v>479</v>
      </c>
      <c r="E231" s="45" t="s">
        <v>1505</v>
      </c>
      <c r="F231" s="21"/>
      <c r="G231" s="59"/>
      <c r="H231" s="21"/>
      <c r="I231" s="59"/>
      <c r="J231" s="21"/>
      <c r="K231" s="21"/>
      <c r="L231" s="59"/>
      <c r="M231" s="60"/>
      <c r="N231" s="21"/>
      <c r="O231" s="59"/>
      <c r="P231" s="21"/>
      <c r="Q231" s="59"/>
      <c r="R231" s="21"/>
      <c r="S231" s="21"/>
      <c r="T231" s="59"/>
      <c r="U231" s="60">
        <f t="shared" si="28"/>
        <v>0</v>
      </c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>
        <v>291290790</v>
      </c>
      <c r="AN231" s="60">
        <f>SUBTOTAL(9,AC231:AM231)</f>
        <v>291290790</v>
      </c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>
        <v>99578010</v>
      </c>
      <c r="AZ231" s="60"/>
      <c r="BA231" s="60"/>
      <c r="BB231" s="60"/>
      <c r="BC231" s="61">
        <f t="shared" si="29"/>
        <v>390868800</v>
      </c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>
        <v>19915602</v>
      </c>
      <c r="BO231" s="60"/>
      <c r="BP231" s="61">
        <v>410784402</v>
      </c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>
        <v>19915602</v>
      </c>
      <c r="CD231" s="61"/>
      <c r="CE231" s="61"/>
      <c r="CF231" s="61"/>
      <c r="CG231" s="61">
        <f t="shared" si="30"/>
        <v>430700004</v>
      </c>
      <c r="CH231" s="62">
        <f>VLOOKUP(B231,[1]RPTNCT049_ConsultaSaldosContabl!I$4:K$7987,3,0)</f>
        <v>139409214</v>
      </c>
      <c r="CI231" s="62">
        <f t="shared" si="31"/>
        <v>291290790</v>
      </c>
      <c r="CJ231" s="63">
        <f t="shared" si="32"/>
        <v>430700004</v>
      </c>
      <c r="CK231" s="64">
        <f t="shared" si="33"/>
        <v>0</v>
      </c>
      <c r="CL231" s="16"/>
      <c r="CM231" s="16"/>
      <c r="CN231" s="16"/>
    </row>
    <row r="232" spans="1:96" ht="15" customHeight="1" x14ac:dyDescent="0.2">
      <c r="A232" s="1">
        <v>8911800281</v>
      </c>
      <c r="B232" s="1">
        <v>891180028</v>
      </c>
      <c r="C232" s="9">
        <v>210641206</v>
      </c>
      <c r="D232" s="10" t="s">
        <v>600</v>
      </c>
      <c r="E232" s="45" t="s">
        <v>1619</v>
      </c>
      <c r="F232" s="21"/>
      <c r="G232" s="59"/>
      <c r="H232" s="21"/>
      <c r="I232" s="59"/>
      <c r="J232" s="21"/>
      <c r="K232" s="21"/>
      <c r="L232" s="59"/>
      <c r="M232" s="60"/>
      <c r="N232" s="21"/>
      <c r="O232" s="59"/>
      <c r="P232" s="21"/>
      <c r="Q232" s="59"/>
      <c r="R232" s="21"/>
      <c r="S232" s="21"/>
      <c r="T232" s="59"/>
      <c r="U232" s="60">
        <f t="shared" si="28"/>
        <v>0</v>
      </c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>
        <v>69581595</v>
      </c>
      <c r="AZ232" s="60"/>
      <c r="BA232" s="60">
        <f>VLOOKUP(B232,[2]Hoja3!J$3:K$674,2,0)</f>
        <v>107047479</v>
      </c>
      <c r="BB232" s="60"/>
      <c r="BC232" s="61">
        <f t="shared" si="29"/>
        <v>176629074</v>
      </c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>
        <v>13916319</v>
      </c>
      <c r="BO232" s="60"/>
      <c r="BP232" s="61">
        <v>190545393</v>
      </c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>
        <v>13916319</v>
      </c>
      <c r="CD232" s="61"/>
      <c r="CE232" s="61"/>
      <c r="CF232" s="61"/>
      <c r="CG232" s="61">
        <f t="shared" si="30"/>
        <v>204461712</v>
      </c>
      <c r="CH232" s="62">
        <f>VLOOKUP(B232,[1]RPTNCT049_ConsultaSaldosContabl!I$4:K$7987,3,0)</f>
        <v>97414233</v>
      </c>
      <c r="CI232" s="62">
        <f t="shared" si="31"/>
        <v>107047479</v>
      </c>
      <c r="CJ232" s="63">
        <f t="shared" si="32"/>
        <v>204461712</v>
      </c>
      <c r="CK232" s="64">
        <f t="shared" si="33"/>
        <v>0</v>
      </c>
      <c r="CL232" s="16"/>
      <c r="CM232" s="16"/>
      <c r="CN232" s="16"/>
    </row>
    <row r="233" spans="1:96" ht="15" customHeight="1" x14ac:dyDescent="0.2">
      <c r="A233" s="1">
        <v>8000198169</v>
      </c>
      <c r="B233" s="1">
        <v>800019816</v>
      </c>
      <c r="C233" s="9">
        <v>210352203</v>
      </c>
      <c r="D233" s="10" t="s">
        <v>2131</v>
      </c>
      <c r="E233" s="45" t="s">
        <v>1721</v>
      </c>
      <c r="F233" s="21"/>
      <c r="G233" s="59"/>
      <c r="H233" s="21"/>
      <c r="I233" s="59"/>
      <c r="J233" s="21"/>
      <c r="K233" s="21"/>
      <c r="L233" s="59"/>
      <c r="M233" s="60"/>
      <c r="N233" s="21"/>
      <c r="O233" s="59"/>
      <c r="P233" s="21"/>
      <c r="Q233" s="59"/>
      <c r="R233" s="21"/>
      <c r="S233" s="21"/>
      <c r="T233" s="59"/>
      <c r="U233" s="60">
        <f t="shared" si="28"/>
        <v>0</v>
      </c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>
        <v>30616612</v>
      </c>
      <c r="AN233" s="60">
        <f>SUBTOTAL(9,AC233:AM233)</f>
        <v>30616612</v>
      </c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>
        <v>71275180</v>
      </c>
      <c r="AZ233" s="60"/>
      <c r="BA233" s="60">
        <f>VLOOKUP(B233,[2]Hoja3!J$3:K$674,2,0)</f>
        <v>98814747</v>
      </c>
      <c r="BB233" s="60"/>
      <c r="BC233" s="61">
        <f t="shared" si="29"/>
        <v>200706539</v>
      </c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>
        <v>14255036</v>
      </c>
      <c r="BO233" s="60"/>
      <c r="BP233" s="61">
        <v>214961575</v>
      </c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>
        <v>14255036</v>
      </c>
      <c r="CD233" s="61"/>
      <c r="CE233" s="61"/>
      <c r="CF233" s="61"/>
      <c r="CG233" s="61">
        <f t="shared" si="30"/>
        <v>229216611</v>
      </c>
      <c r="CH233" s="62">
        <f>VLOOKUP(B233,[1]RPTNCT049_ConsultaSaldosContabl!I$4:K$7987,3,0)</f>
        <v>99785252</v>
      </c>
      <c r="CI233" s="62">
        <f t="shared" si="31"/>
        <v>129431359</v>
      </c>
      <c r="CJ233" s="63">
        <f t="shared" si="32"/>
        <v>229216611</v>
      </c>
      <c r="CK233" s="64">
        <f t="shared" si="33"/>
        <v>0</v>
      </c>
      <c r="CL233" s="16"/>
      <c r="CM233" s="16"/>
      <c r="CN233" s="16"/>
    </row>
    <row r="234" spans="1:96" ht="15" customHeight="1" x14ac:dyDescent="0.2">
      <c r="A234" s="1">
        <v>8000186509</v>
      </c>
      <c r="B234" s="1">
        <v>800018650</v>
      </c>
      <c r="C234" s="9">
        <v>211986219</v>
      </c>
      <c r="D234" s="10" t="s">
        <v>975</v>
      </c>
      <c r="E234" s="45" t="s">
        <v>2034</v>
      </c>
      <c r="F234" s="21"/>
      <c r="G234" s="59"/>
      <c r="H234" s="21"/>
      <c r="I234" s="59"/>
      <c r="J234" s="21"/>
      <c r="K234" s="21"/>
      <c r="L234" s="59"/>
      <c r="M234" s="60"/>
      <c r="N234" s="21"/>
      <c r="O234" s="59"/>
      <c r="P234" s="21"/>
      <c r="Q234" s="59"/>
      <c r="R234" s="21"/>
      <c r="S234" s="21"/>
      <c r="T234" s="59"/>
      <c r="U234" s="60">
        <f t="shared" si="28"/>
        <v>0</v>
      </c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>
        <v>18023767</v>
      </c>
      <c r="AN234" s="60">
        <f>SUBTOTAL(9,AC234:AM234)</f>
        <v>18023767</v>
      </c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>
        <v>35200850</v>
      </c>
      <c r="AZ234" s="60"/>
      <c r="BA234" s="60">
        <f>VLOOKUP(B234,[2]Hoja3!J$3:K$674,2,0)</f>
        <v>61034429</v>
      </c>
      <c r="BB234" s="60"/>
      <c r="BC234" s="61">
        <f t="shared" si="29"/>
        <v>114259046</v>
      </c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>
        <v>7040170</v>
      </c>
      <c r="BO234" s="60"/>
      <c r="BP234" s="61">
        <v>121299216</v>
      </c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>
        <v>7040170</v>
      </c>
      <c r="CD234" s="61"/>
      <c r="CE234" s="61"/>
      <c r="CF234" s="61"/>
      <c r="CG234" s="61">
        <f t="shared" si="30"/>
        <v>128339386</v>
      </c>
      <c r="CH234" s="62">
        <f>VLOOKUP(B234,[1]RPTNCT049_ConsultaSaldosContabl!I$4:K$7987,3,0)</f>
        <v>49281190</v>
      </c>
      <c r="CI234" s="62">
        <f t="shared" si="31"/>
        <v>79058196</v>
      </c>
      <c r="CJ234" s="63">
        <f t="shared" si="32"/>
        <v>128339386</v>
      </c>
      <c r="CK234" s="64">
        <f t="shared" si="33"/>
        <v>0</v>
      </c>
      <c r="CL234" s="16"/>
      <c r="CM234" s="16"/>
      <c r="CN234" s="16"/>
    </row>
    <row r="235" spans="1:96" ht="15" customHeight="1" x14ac:dyDescent="0.2">
      <c r="A235" s="1">
        <v>8922800537</v>
      </c>
      <c r="B235" s="1">
        <v>892280053</v>
      </c>
      <c r="C235" s="9">
        <v>210470204</v>
      </c>
      <c r="D235" s="10" t="s">
        <v>892</v>
      </c>
      <c r="E235" s="45" t="s">
        <v>1905</v>
      </c>
      <c r="F235" s="21"/>
      <c r="G235" s="59"/>
      <c r="H235" s="21"/>
      <c r="I235" s="59"/>
      <c r="J235" s="21"/>
      <c r="K235" s="21"/>
      <c r="L235" s="59"/>
      <c r="M235" s="60"/>
      <c r="N235" s="21"/>
      <c r="O235" s="59"/>
      <c r="P235" s="21"/>
      <c r="Q235" s="59"/>
      <c r="R235" s="21"/>
      <c r="S235" s="21"/>
      <c r="T235" s="59"/>
      <c r="U235" s="60">
        <f t="shared" si="28"/>
        <v>0</v>
      </c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>
        <v>100425925</v>
      </c>
      <c r="AN235" s="60">
        <f>SUBTOTAL(9,AC235:AM235)</f>
        <v>100425925</v>
      </c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>
        <v>99508630</v>
      </c>
      <c r="AZ235" s="60"/>
      <c r="BA235" s="60">
        <f>VLOOKUP(B235,[2]Hoja3!J$3:K$674,2,0)</f>
        <v>30836612</v>
      </c>
      <c r="BB235" s="60"/>
      <c r="BC235" s="61">
        <f t="shared" si="29"/>
        <v>230771167</v>
      </c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>
        <v>19901726</v>
      </c>
      <c r="BO235" s="60"/>
      <c r="BP235" s="61">
        <v>250672893</v>
      </c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>
        <v>19901726</v>
      </c>
      <c r="CD235" s="61"/>
      <c r="CE235" s="61"/>
      <c r="CF235" s="61"/>
      <c r="CG235" s="61">
        <f t="shared" si="30"/>
        <v>270574619</v>
      </c>
      <c r="CH235" s="62">
        <f>VLOOKUP(B235,[1]RPTNCT049_ConsultaSaldosContabl!I$4:K$7987,3,0)</f>
        <v>139312082</v>
      </c>
      <c r="CI235" s="62">
        <f t="shared" si="31"/>
        <v>131262537</v>
      </c>
      <c r="CJ235" s="63">
        <f t="shared" si="32"/>
        <v>270574619</v>
      </c>
      <c r="CK235" s="64">
        <f t="shared" si="33"/>
        <v>0</v>
      </c>
      <c r="CL235" s="16"/>
      <c r="CM235" s="16"/>
      <c r="CN235" s="16"/>
    </row>
    <row r="236" spans="1:96" ht="15" customHeight="1" x14ac:dyDescent="0.2">
      <c r="A236" s="1">
        <v>8918019321</v>
      </c>
      <c r="B236" s="1">
        <v>891801932</v>
      </c>
      <c r="C236" s="9">
        <v>210415204</v>
      </c>
      <c r="D236" s="10" t="s">
        <v>238</v>
      </c>
      <c r="E236" s="45" t="s">
        <v>1273</v>
      </c>
      <c r="F236" s="21"/>
      <c r="G236" s="59"/>
      <c r="H236" s="21"/>
      <c r="I236" s="59"/>
      <c r="J236" s="21"/>
      <c r="K236" s="21"/>
      <c r="L236" s="59"/>
      <c r="M236" s="60"/>
      <c r="N236" s="21"/>
      <c r="O236" s="59"/>
      <c r="P236" s="21"/>
      <c r="Q236" s="59"/>
      <c r="R236" s="21"/>
      <c r="S236" s="21"/>
      <c r="T236" s="59"/>
      <c r="U236" s="60">
        <f t="shared" si="28"/>
        <v>0</v>
      </c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>
        <v>45530487</v>
      </c>
      <c r="AN236" s="60">
        <f>SUBTOTAL(9,AC236:AM236)</f>
        <v>45530487</v>
      </c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>
        <v>55442265</v>
      </c>
      <c r="AZ236" s="60"/>
      <c r="BA236" s="60">
        <f>VLOOKUP(B236,[2]Hoja3!J$3:K$674,2,0)</f>
        <v>74676387</v>
      </c>
      <c r="BB236" s="60"/>
      <c r="BC236" s="61">
        <f t="shared" si="29"/>
        <v>175649139</v>
      </c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>
        <v>11088453</v>
      </c>
      <c r="BO236" s="60"/>
      <c r="BP236" s="61">
        <v>186737592</v>
      </c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>
        <v>11088453</v>
      </c>
      <c r="CD236" s="61"/>
      <c r="CE236" s="61"/>
      <c r="CF236" s="61"/>
      <c r="CG236" s="61">
        <f t="shared" si="30"/>
        <v>197826045</v>
      </c>
      <c r="CH236" s="62">
        <f>VLOOKUP(B236,[1]RPTNCT049_ConsultaSaldosContabl!I$4:K$7987,3,0)</f>
        <v>77619171</v>
      </c>
      <c r="CI236" s="62">
        <f t="shared" si="31"/>
        <v>120206874</v>
      </c>
      <c r="CJ236" s="63">
        <f t="shared" si="32"/>
        <v>197826045</v>
      </c>
      <c r="CK236" s="64">
        <f t="shared" si="33"/>
        <v>0</v>
      </c>
      <c r="CL236" s="16"/>
      <c r="CM236" s="16"/>
      <c r="CN236" s="8"/>
      <c r="CO236" s="8"/>
      <c r="CP236" s="8"/>
      <c r="CQ236" s="8"/>
      <c r="CR236" s="8"/>
    </row>
    <row r="237" spans="1:96" ht="15" customHeight="1" x14ac:dyDescent="0.2">
      <c r="A237" s="1">
        <v>8909837186</v>
      </c>
      <c r="B237" s="1">
        <v>890983718</v>
      </c>
      <c r="C237" s="9">
        <v>210605206</v>
      </c>
      <c r="D237" s="10" t="s">
        <v>79</v>
      </c>
      <c r="E237" s="45" t="s">
        <v>1110</v>
      </c>
      <c r="F237" s="21"/>
      <c r="G237" s="59"/>
      <c r="H237" s="21"/>
      <c r="I237" s="59"/>
      <c r="J237" s="21"/>
      <c r="K237" s="21"/>
      <c r="L237" s="59"/>
      <c r="M237" s="60"/>
      <c r="N237" s="21"/>
      <c r="O237" s="59"/>
      <c r="P237" s="21"/>
      <c r="Q237" s="59"/>
      <c r="R237" s="21"/>
      <c r="S237" s="21"/>
      <c r="T237" s="59"/>
      <c r="U237" s="60">
        <f t="shared" si="28"/>
        <v>0</v>
      </c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>
        <v>23052200</v>
      </c>
      <c r="AZ237" s="60"/>
      <c r="BA237" s="60">
        <f>VLOOKUP(B237,[2]Hoja3!J$3:K$674,2,0)</f>
        <v>43289221</v>
      </c>
      <c r="BB237" s="60"/>
      <c r="BC237" s="61">
        <f t="shared" si="29"/>
        <v>66341421</v>
      </c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>
        <v>4610440</v>
      </c>
      <c r="BO237" s="60"/>
      <c r="BP237" s="61">
        <v>70951861</v>
      </c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>
        <v>4610440</v>
      </c>
      <c r="CD237" s="61"/>
      <c r="CE237" s="61"/>
      <c r="CF237" s="61"/>
      <c r="CG237" s="61">
        <f t="shared" si="30"/>
        <v>75562301</v>
      </c>
      <c r="CH237" s="62">
        <f>VLOOKUP(B237,[1]RPTNCT049_ConsultaSaldosContabl!I$4:K$7987,3,0)</f>
        <v>32273080</v>
      </c>
      <c r="CI237" s="62">
        <f t="shared" si="31"/>
        <v>43289221</v>
      </c>
      <c r="CJ237" s="63">
        <f t="shared" si="32"/>
        <v>75562301</v>
      </c>
      <c r="CK237" s="64">
        <f t="shared" si="33"/>
        <v>0</v>
      </c>
      <c r="CL237" s="16"/>
      <c r="CM237" s="16"/>
      <c r="CN237" s="16"/>
    </row>
    <row r="238" spans="1:96" ht="15" customHeight="1" x14ac:dyDescent="0.2">
      <c r="A238" s="1">
        <v>8001040601</v>
      </c>
      <c r="B238" s="1">
        <v>800104060</v>
      </c>
      <c r="C238" s="9">
        <v>210768207</v>
      </c>
      <c r="D238" s="10" t="s">
        <v>830</v>
      </c>
      <c r="E238" s="45" t="s">
        <v>1845</v>
      </c>
      <c r="F238" s="21"/>
      <c r="G238" s="59"/>
      <c r="H238" s="21"/>
      <c r="I238" s="59"/>
      <c r="J238" s="21"/>
      <c r="K238" s="21"/>
      <c r="L238" s="59"/>
      <c r="M238" s="60"/>
      <c r="N238" s="21"/>
      <c r="O238" s="59"/>
      <c r="P238" s="21"/>
      <c r="Q238" s="59"/>
      <c r="R238" s="21"/>
      <c r="S238" s="21"/>
      <c r="T238" s="59"/>
      <c r="U238" s="60">
        <f t="shared" si="28"/>
        <v>0</v>
      </c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>
        <v>31156565</v>
      </c>
      <c r="AZ238" s="60"/>
      <c r="BA238" s="60">
        <f>VLOOKUP(B238,[2]Hoja3!J$3:K$674,2,0)</f>
        <v>69554959</v>
      </c>
      <c r="BB238" s="60"/>
      <c r="BC238" s="61">
        <f t="shared" si="29"/>
        <v>100711524</v>
      </c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>
        <v>6231313</v>
      </c>
      <c r="BO238" s="60"/>
      <c r="BP238" s="61">
        <v>106942837</v>
      </c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>
        <v>6231313</v>
      </c>
      <c r="CD238" s="61"/>
      <c r="CE238" s="61"/>
      <c r="CF238" s="61"/>
      <c r="CG238" s="61">
        <f t="shared" si="30"/>
        <v>113174150</v>
      </c>
      <c r="CH238" s="62">
        <f>VLOOKUP(B238,[1]RPTNCT049_ConsultaSaldosContabl!I$4:K$7987,3,0)</f>
        <v>43619191</v>
      </c>
      <c r="CI238" s="62">
        <f t="shared" si="31"/>
        <v>69554959</v>
      </c>
      <c r="CJ238" s="63">
        <f t="shared" si="32"/>
        <v>113174150</v>
      </c>
      <c r="CK238" s="64">
        <f t="shared" si="33"/>
        <v>0</v>
      </c>
      <c r="CL238" s="16"/>
      <c r="CM238" s="16"/>
      <c r="CN238" s="16"/>
    </row>
    <row r="239" spans="1:96" ht="15" customHeight="1" x14ac:dyDescent="0.2">
      <c r="A239" s="1">
        <v>8909822618</v>
      </c>
      <c r="B239" s="1">
        <v>890982261</v>
      </c>
      <c r="C239" s="9">
        <v>210905209</v>
      </c>
      <c r="D239" s="10" t="s">
        <v>80</v>
      </c>
      <c r="E239" s="45" t="s">
        <v>1111</v>
      </c>
      <c r="F239" s="21"/>
      <c r="G239" s="59"/>
      <c r="H239" s="21"/>
      <c r="I239" s="59"/>
      <c r="J239" s="21"/>
      <c r="K239" s="21"/>
      <c r="L239" s="59"/>
      <c r="M239" s="60"/>
      <c r="N239" s="21"/>
      <c r="O239" s="59"/>
      <c r="P239" s="21"/>
      <c r="Q239" s="59"/>
      <c r="R239" s="21"/>
      <c r="S239" s="21"/>
      <c r="T239" s="59"/>
      <c r="U239" s="60">
        <f t="shared" si="28"/>
        <v>0</v>
      </c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>
        <v>234807278</v>
      </c>
      <c r="AN239" s="60">
        <f>SUBTOTAL(9,AC239:AM239)</f>
        <v>234807278</v>
      </c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>
        <v>113442840</v>
      </c>
      <c r="AZ239" s="60"/>
      <c r="BA239" s="60"/>
      <c r="BB239" s="60"/>
      <c r="BC239" s="61">
        <f t="shared" si="29"/>
        <v>348250118</v>
      </c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>
        <v>22688568</v>
      </c>
      <c r="BO239" s="60"/>
      <c r="BP239" s="61">
        <v>370938686</v>
      </c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>
        <v>22688568</v>
      </c>
      <c r="CD239" s="61"/>
      <c r="CE239" s="61"/>
      <c r="CF239" s="61"/>
      <c r="CG239" s="61">
        <f t="shared" si="30"/>
        <v>393627254</v>
      </c>
      <c r="CH239" s="62">
        <f>VLOOKUP(B239,[1]RPTNCT049_ConsultaSaldosContabl!I$4:K$7987,3,0)</f>
        <v>158819976</v>
      </c>
      <c r="CI239" s="62">
        <f t="shared" si="31"/>
        <v>234807278</v>
      </c>
      <c r="CJ239" s="63">
        <f t="shared" si="32"/>
        <v>393627254</v>
      </c>
      <c r="CK239" s="64">
        <f t="shared" si="33"/>
        <v>0</v>
      </c>
      <c r="CL239" s="16"/>
      <c r="CM239" s="16"/>
      <c r="CN239" s="16"/>
    </row>
    <row r="240" spans="1:96" ht="15" customHeight="1" x14ac:dyDescent="0.2">
      <c r="A240" s="1">
        <v>8190032255</v>
      </c>
      <c r="B240" s="1">
        <v>819003225</v>
      </c>
      <c r="C240" s="9">
        <v>210547205</v>
      </c>
      <c r="D240" s="10" t="s">
        <v>644</v>
      </c>
      <c r="E240" s="48" t="s">
        <v>2099</v>
      </c>
      <c r="F240" s="21"/>
      <c r="G240" s="59"/>
      <c r="H240" s="21"/>
      <c r="I240" s="59"/>
      <c r="J240" s="21"/>
      <c r="K240" s="21"/>
      <c r="L240" s="59"/>
      <c r="M240" s="60"/>
      <c r="N240" s="21"/>
      <c r="O240" s="59"/>
      <c r="P240" s="21"/>
      <c r="Q240" s="59"/>
      <c r="R240" s="21"/>
      <c r="S240" s="21"/>
      <c r="T240" s="59"/>
      <c r="U240" s="60">
        <f t="shared" si="28"/>
        <v>0</v>
      </c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>
        <v>122916880</v>
      </c>
      <c r="AN240" s="60">
        <f>SUBTOTAL(9,AC240:AM240)</f>
        <v>122916880</v>
      </c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>
        <v>138267615</v>
      </c>
      <c r="AZ240" s="60"/>
      <c r="BA240" s="60">
        <f>VLOOKUP(B240,[2]Hoja3!J$3:K$674,2,0)</f>
        <v>100306861</v>
      </c>
      <c r="BB240" s="60"/>
      <c r="BC240" s="61">
        <f t="shared" si="29"/>
        <v>361491356</v>
      </c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>
        <v>27653523</v>
      </c>
      <c r="BO240" s="60"/>
      <c r="BP240" s="61">
        <v>389144879</v>
      </c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>
        <v>27653523</v>
      </c>
      <c r="CD240" s="61"/>
      <c r="CE240" s="61"/>
      <c r="CF240" s="61"/>
      <c r="CG240" s="61">
        <f t="shared" si="30"/>
        <v>416798402</v>
      </c>
      <c r="CH240" s="62">
        <f>VLOOKUP(B240,[1]RPTNCT049_ConsultaSaldosContabl!I$4:K$7987,3,0)</f>
        <v>193574661</v>
      </c>
      <c r="CI240" s="62">
        <f t="shared" si="31"/>
        <v>223223741</v>
      </c>
      <c r="CJ240" s="63">
        <f t="shared" si="32"/>
        <v>416798402</v>
      </c>
      <c r="CK240" s="64">
        <f t="shared" si="33"/>
        <v>0</v>
      </c>
      <c r="CL240" s="16"/>
      <c r="CM240" s="16"/>
      <c r="CN240" s="8"/>
      <c r="CO240" s="8"/>
      <c r="CP240" s="8"/>
      <c r="CQ240" s="8"/>
      <c r="CR240" s="8"/>
    </row>
    <row r="241" spans="1:96" ht="15" customHeight="1" x14ac:dyDescent="0.2">
      <c r="A241" s="1">
        <v>8916800579</v>
      </c>
      <c r="B241" s="1">
        <v>891680057</v>
      </c>
      <c r="C241" s="9">
        <v>210527205</v>
      </c>
      <c r="D241" s="10" t="s">
        <v>577</v>
      </c>
      <c r="E241" s="45" t="s">
        <v>1597</v>
      </c>
      <c r="F241" s="21"/>
      <c r="G241" s="59"/>
      <c r="H241" s="21"/>
      <c r="I241" s="59"/>
      <c r="J241" s="21"/>
      <c r="K241" s="21"/>
      <c r="L241" s="59"/>
      <c r="M241" s="60"/>
      <c r="N241" s="21"/>
      <c r="O241" s="59"/>
      <c r="P241" s="21"/>
      <c r="Q241" s="59"/>
      <c r="R241" s="21"/>
      <c r="S241" s="21"/>
      <c r="T241" s="59"/>
      <c r="U241" s="60">
        <f t="shared" si="28"/>
        <v>0</v>
      </c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>
        <v>301663975</v>
      </c>
      <c r="AN241" s="60">
        <f>SUBTOTAL(9,AC241:AM241)</f>
        <v>301663975</v>
      </c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>
        <v>174836405</v>
      </c>
      <c r="AZ241" s="60"/>
      <c r="BA241" s="60"/>
      <c r="BB241" s="60"/>
      <c r="BC241" s="61">
        <f t="shared" si="29"/>
        <v>476500380</v>
      </c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>
        <v>34967281</v>
      </c>
      <c r="BO241" s="60"/>
      <c r="BP241" s="61">
        <v>511467661</v>
      </c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>
        <v>34967281</v>
      </c>
      <c r="CD241" s="61"/>
      <c r="CE241" s="61"/>
      <c r="CF241" s="61"/>
      <c r="CG241" s="61">
        <f t="shared" si="30"/>
        <v>546434942</v>
      </c>
      <c r="CH241" s="62">
        <f>VLOOKUP(B241,[1]RPTNCT049_ConsultaSaldosContabl!I$4:K$7987,3,0)</f>
        <v>244770967</v>
      </c>
      <c r="CI241" s="62">
        <f t="shared" si="31"/>
        <v>301663975</v>
      </c>
      <c r="CJ241" s="63">
        <f t="shared" si="32"/>
        <v>546434942</v>
      </c>
      <c r="CK241" s="64">
        <f t="shared" si="33"/>
        <v>0</v>
      </c>
      <c r="CL241" s="16"/>
      <c r="CM241" s="16"/>
      <c r="CN241" s="16"/>
    </row>
    <row r="242" spans="1:96" ht="15" customHeight="1" x14ac:dyDescent="0.2">
      <c r="A242" s="1">
        <v>8902089473</v>
      </c>
      <c r="B242" s="1">
        <v>890208947</v>
      </c>
      <c r="C242" s="9">
        <v>210968209</v>
      </c>
      <c r="D242" s="10" t="s">
        <v>831</v>
      </c>
      <c r="E242" s="45" t="s">
        <v>1846</v>
      </c>
      <c r="F242" s="21"/>
      <c r="G242" s="59"/>
      <c r="H242" s="21"/>
      <c r="I242" s="59"/>
      <c r="J242" s="21"/>
      <c r="K242" s="21"/>
      <c r="L242" s="59"/>
      <c r="M242" s="60"/>
      <c r="N242" s="21"/>
      <c r="O242" s="59"/>
      <c r="P242" s="21"/>
      <c r="Q242" s="59"/>
      <c r="R242" s="21"/>
      <c r="S242" s="21"/>
      <c r="T242" s="59"/>
      <c r="U242" s="60">
        <f t="shared" si="28"/>
        <v>0</v>
      </c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>
        <v>14206310</v>
      </c>
      <c r="AZ242" s="60"/>
      <c r="BA242" s="60">
        <f>VLOOKUP(B242,[2]Hoja3!J$3:K$674,2,0)</f>
        <v>35539889</v>
      </c>
      <c r="BB242" s="60"/>
      <c r="BC242" s="61">
        <f t="shared" si="29"/>
        <v>49746199</v>
      </c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>
        <v>2841262</v>
      </c>
      <c r="BO242" s="60"/>
      <c r="BP242" s="61">
        <v>52587461</v>
      </c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>
        <v>2841262</v>
      </c>
      <c r="CD242" s="61"/>
      <c r="CE242" s="61"/>
      <c r="CF242" s="61"/>
      <c r="CG242" s="61">
        <f t="shared" si="30"/>
        <v>55428723</v>
      </c>
      <c r="CH242" s="62">
        <f>VLOOKUP(B242,[1]RPTNCT049_ConsultaSaldosContabl!I$4:K$7987,3,0)</f>
        <v>19888834</v>
      </c>
      <c r="CI242" s="62">
        <f t="shared" si="31"/>
        <v>35539889</v>
      </c>
      <c r="CJ242" s="63">
        <f t="shared" si="32"/>
        <v>55428723</v>
      </c>
      <c r="CK242" s="64">
        <f t="shared" si="33"/>
        <v>0</v>
      </c>
      <c r="CL242" s="16"/>
      <c r="CM242" s="16"/>
      <c r="CN242" s="16"/>
    </row>
    <row r="243" spans="1:96" ht="15" customHeight="1" x14ac:dyDescent="0.2">
      <c r="A243" s="1">
        <v>8000190006</v>
      </c>
      <c r="B243" s="1">
        <v>800019000</v>
      </c>
      <c r="C243" s="9">
        <v>210752207</v>
      </c>
      <c r="D243" s="10" t="s">
        <v>699</v>
      </c>
      <c r="E243" s="45" t="s">
        <v>2088</v>
      </c>
      <c r="F243" s="21"/>
      <c r="G243" s="59"/>
      <c r="H243" s="21"/>
      <c r="I243" s="59"/>
      <c r="J243" s="21"/>
      <c r="K243" s="21"/>
      <c r="L243" s="59"/>
      <c r="M243" s="60"/>
      <c r="N243" s="21"/>
      <c r="O243" s="59"/>
      <c r="P243" s="21"/>
      <c r="Q243" s="59"/>
      <c r="R243" s="21"/>
      <c r="S243" s="21"/>
      <c r="T243" s="59"/>
      <c r="U243" s="60">
        <f t="shared" si="28"/>
        <v>0</v>
      </c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>
        <v>44073262</v>
      </c>
      <c r="AN243" s="60">
        <f>SUBTOTAL(9,AC243:AM243)</f>
        <v>44073262</v>
      </c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>
        <f>VLOOKUP(B243,[2]Hoja3!J$3:K$674,2,0)</f>
        <v>94611224</v>
      </c>
      <c r="BB243" s="60"/>
      <c r="BC243" s="61">
        <f t="shared" si="29"/>
        <v>138684486</v>
      </c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>
        <v>0</v>
      </c>
      <c r="BO243" s="60"/>
      <c r="BP243" s="61">
        <v>138684486</v>
      </c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>
        <f t="shared" si="30"/>
        <v>138684486</v>
      </c>
      <c r="CH243" s="62"/>
      <c r="CI243" s="62">
        <f t="shared" si="31"/>
        <v>138684486</v>
      </c>
      <c r="CJ243" s="63">
        <f t="shared" si="32"/>
        <v>138684486</v>
      </c>
      <c r="CK243" s="64"/>
      <c r="CL243" s="16"/>
      <c r="CM243" s="16"/>
      <c r="CN243" s="16"/>
    </row>
    <row r="244" spans="1:96" ht="15" customHeight="1" x14ac:dyDescent="0.2">
      <c r="A244" s="1">
        <v>8000990649</v>
      </c>
      <c r="B244" s="1">
        <v>800099064</v>
      </c>
      <c r="C244" s="9">
        <v>211052210</v>
      </c>
      <c r="D244" s="10" t="s">
        <v>700</v>
      </c>
      <c r="E244" s="45" t="s">
        <v>1722</v>
      </c>
      <c r="F244" s="21"/>
      <c r="G244" s="59"/>
      <c r="H244" s="21"/>
      <c r="I244" s="59"/>
      <c r="J244" s="21"/>
      <c r="K244" s="21"/>
      <c r="L244" s="59"/>
      <c r="M244" s="60"/>
      <c r="N244" s="21"/>
      <c r="O244" s="59"/>
      <c r="P244" s="21"/>
      <c r="Q244" s="59"/>
      <c r="R244" s="21"/>
      <c r="S244" s="21"/>
      <c r="T244" s="59"/>
      <c r="U244" s="60">
        <f t="shared" si="28"/>
        <v>0</v>
      </c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>
        <v>62763495</v>
      </c>
      <c r="AN244" s="60">
        <f>SUBTOTAL(9,AC244:AM244)</f>
        <v>62763495</v>
      </c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>
        <v>41881990</v>
      </c>
      <c r="AZ244" s="60"/>
      <c r="BA244" s="60"/>
      <c r="BB244" s="60"/>
      <c r="BC244" s="61">
        <f t="shared" si="29"/>
        <v>104645485</v>
      </c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>
        <v>8376398</v>
      </c>
      <c r="BO244" s="60"/>
      <c r="BP244" s="61">
        <v>113021883</v>
      </c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>
        <v>8376398</v>
      </c>
      <c r="CD244" s="61"/>
      <c r="CE244" s="61"/>
      <c r="CF244" s="61"/>
      <c r="CG244" s="61">
        <f t="shared" si="30"/>
        <v>121398281</v>
      </c>
      <c r="CH244" s="62">
        <f>VLOOKUP(B244,[1]RPTNCT049_ConsultaSaldosContabl!I$4:K$7987,3,0)</f>
        <v>58634786</v>
      </c>
      <c r="CI244" s="62">
        <f t="shared" si="31"/>
        <v>62763495</v>
      </c>
      <c r="CJ244" s="63">
        <f t="shared" si="32"/>
        <v>121398281</v>
      </c>
      <c r="CK244" s="64">
        <f t="shared" si="33"/>
        <v>0</v>
      </c>
      <c r="CL244" s="16"/>
      <c r="CM244" s="16"/>
      <c r="CN244" s="16"/>
    </row>
    <row r="245" spans="1:96" ht="15" customHeight="1" x14ac:dyDescent="0.2">
      <c r="A245" s="1">
        <v>8902060581</v>
      </c>
      <c r="B245" s="1">
        <v>890206058</v>
      </c>
      <c r="C245" s="9">
        <v>211168211</v>
      </c>
      <c r="D245" s="10" t="s">
        <v>832</v>
      </c>
      <c r="E245" s="27" t="s">
        <v>1847</v>
      </c>
      <c r="F245" s="21"/>
      <c r="G245" s="59"/>
      <c r="H245" s="21"/>
      <c r="I245" s="59"/>
      <c r="J245" s="21"/>
      <c r="K245" s="21"/>
      <c r="L245" s="59"/>
      <c r="M245" s="60"/>
      <c r="N245" s="21"/>
      <c r="O245" s="59"/>
      <c r="P245" s="21"/>
      <c r="Q245" s="59"/>
      <c r="R245" s="21"/>
      <c r="S245" s="21"/>
      <c r="T245" s="59"/>
      <c r="U245" s="60">
        <f t="shared" si="28"/>
        <v>0</v>
      </c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1">
        <f t="shared" si="29"/>
        <v>0</v>
      </c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>
        <v>0</v>
      </c>
      <c r="BO245" s="60"/>
      <c r="BP245" s="60">
        <v>0</v>
      </c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>
        <v>38963757</v>
      </c>
      <c r="CD245" s="61"/>
      <c r="CE245" s="61"/>
      <c r="CF245" s="61"/>
      <c r="CG245" s="61">
        <f t="shared" si="30"/>
        <v>38963757</v>
      </c>
      <c r="CH245" s="62">
        <f>VLOOKUP(B245,[1]RPTNCT049_ConsultaSaldosContabl!I$4:K$7987,3,0)</f>
        <v>38963757</v>
      </c>
      <c r="CI245" s="62">
        <f t="shared" si="31"/>
        <v>0</v>
      </c>
      <c r="CJ245" s="63">
        <f t="shared" si="32"/>
        <v>38963757</v>
      </c>
      <c r="CK245" s="64">
        <f t="shared" si="33"/>
        <v>0</v>
      </c>
      <c r="CL245" s="16"/>
      <c r="CM245" s="16"/>
      <c r="CN245" s="8"/>
      <c r="CO245" s="8"/>
      <c r="CP245" s="8"/>
      <c r="CQ245" s="8"/>
      <c r="CR245" s="8"/>
    </row>
    <row r="246" spans="1:96" ht="15" customHeight="1" x14ac:dyDescent="0.2">
      <c r="A246" s="1">
        <v>8000992369</v>
      </c>
      <c r="B246" s="1">
        <v>800099236</v>
      </c>
      <c r="C246" s="9">
        <v>210654206</v>
      </c>
      <c r="D246" s="10" t="s">
        <v>759</v>
      </c>
      <c r="E246" s="45" t="s">
        <v>1777</v>
      </c>
      <c r="F246" s="21"/>
      <c r="G246" s="59"/>
      <c r="H246" s="21"/>
      <c r="I246" s="59"/>
      <c r="J246" s="21"/>
      <c r="K246" s="21"/>
      <c r="L246" s="59"/>
      <c r="M246" s="60"/>
      <c r="N246" s="21"/>
      <c r="O246" s="59"/>
      <c r="P246" s="21"/>
      <c r="Q246" s="59"/>
      <c r="R246" s="21"/>
      <c r="S246" s="21"/>
      <c r="T246" s="59"/>
      <c r="U246" s="60">
        <f t="shared" si="28"/>
        <v>0</v>
      </c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>
        <v>182840865</v>
      </c>
      <c r="AZ246" s="60"/>
      <c r="BA246" s="60">
        <f>VLOOKUP(B246,[2]Hoja3!J$3:K$674,2,0)</f>
        <v>271332955</v>
      </c>
      <c r="BB246" s="60"/>
      <c r="BC246" s="61">
        <f t="shared" si="29"/>
        <v>454173820</v>
      </c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>
        <v>36568173</v>
      </c>
      <c r="BO246" s="60"/>
      <c r="BP246" s="61">
        <v>490741993</v>
      </c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>
        <v>36568173</v>
      </c>
      <c r="CD246" s="61"/>
      <c r="CE246" s="61"/>
      <c r="CF246" s="61"/>
      <c r="CG246" s="61">
        <f t="shared" si="30"/>
        <v>527310166</v>
      </c>
      <c r="CH246" s="62">
        <f>VLOOKUP(B246,[1]RPTNCT049_ConsultaSaldosContabl!I$4:K$7987,3,0)</f>
        <v>255977211</v>
      </c>
      <c r="CI246" s="62">
        <f t="shared" si="31"/>
        <v>271332955</v>
      </c>
      <c r="CJ246" s="63">
        <f t="shared" si="32"/>
        <v>527310166</v>
      </c>
      <c r="CK246" s="64">
        <f t="shared" si="33"/>
        <v>0</v>
      </c>
      <c r="CL246" s="16"/>
      <c r="CM246" s="16"/>
      <c r="CN246" s="16"/>
    </row>
    <row r="247" spans="1:96" ht="15" customHeight="1" x14ac:dyDescent="0.2">
      <c r="A247" s="1">
        <v>8909807673</v>
      </c>
      <c r="B247" s="1">
        <v>890980767</v>
      </c>
      <c r="C247" s="9">
        <v>211205212</v>
      </c>
      <c r="D247" s="10" t="s">
        <v>81</v>
      </c>
      <c r="E247" s="45" t="s">
        <v>1112</v>
      </c>
      <c r="F247" s="21"/>
      <c r="G247" s="59"/>
      <c r="H247" s="21"/>
      <c r="I247" s="59"/>
      <c r="J247" s="21"/>
      <c r="K247" s="21"/>
      <c r="L247" s="59"/>
      <c r="M247" s="60"/>
      <c r="N247" s="21"/>
      <c r="O247" s="59"/>
      <c r="P247" s="21"/>
      <c r="Q247" s="59"/>
      <c r="R247" s="21"/>
      <c r="S247" s="21"/>
      <c r="T247" s="59"/>
      <c r="U247" s="60">
        <f t="shared" si="28"/>
        <v>0</v>
      </c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>
        <v>393179934</v>
      </c>
      <c r="AN247" s="60">
        <f>SUBTOTAL(9,AC247:AM247)</f>
        <v>393179934</v>
      </c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>
        <f>VLOOKUP(B247,[2]Hoja3!J$3:K$674,2,0)</f>
        <v>345267665</v>
      </c>
      <c r="BB247" s="60"/>
      <c r="BC247" s="61">
        <f t="shared" si="29"/>
        <v>738447599</v>
      </c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>
        <v>0</v>
      </c>
      <c r="BO247" s="60"/>
      <c r="BP247" s="61">
        <v>738447599</v>
      </c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>
        <v>71152280</v>
      </c>
      <c r="CD247" s="61">
        <v>426913680</v>
      </c>
      <c r="CE247" s="61"/>
      <c r="CF247" s="61"/>
      <c r="CG247" s="61">
        <f t="shared" si="30"/>
        <v>1236513559</v>
      </c>
      <c r="CH247" s="62">
        <f>VLOOKUP(B247,[1]RPTNCT049_ConsultaSaldosContabl!I$4:K$7987,3,0)</f>
        <v>498065960</v>
      </c>
      <c r="CI247" s="62">
        <f t="shared" si="31"/>
        <v>738447599</v>
      </c>
      <c r="CJ247" s="63">
        <f t="shared" si="32"/>
        <v>1236513559</v>
      </c>
      <c r="CK247" s="64">
        <f t="shared" si="33"/>
        <v>0</v>
      </c>
      <c r="CL247" s="16"/>
      <c r="CM247" s="16"/>
      <c r="CN247" s="16"/>
    </row>
    <row r="248" spans="1:96" ht="15" customHeight="1" x14ac:dyDescent="0.2">
      <c r="A248" s="1">
        <v>8918013639</v>
      </c>
      <c r="B248" s="1">
        <v>891801363</v>
      </c>
      <c r="C248" s="9">
        <v>211215212</v>
      </c>
      <c r="D248" s="10" t="s">
        <v>239</v>
      </c>
      <c r="E248" s="45" t="s">
        <v>1274</v>
      </c>
      <c r="F248" s="21"/>
      <c r="G248" s="59"/>
      <c r="H248" s="21"/>
      <c r="I248" s="59"/>
      <c r="J248" s="21"/>
      <c r="K248" s="21"/>
      <c r="L248" s="59"/>
      <c r="M248" s="60"/>
      <c r="N248" s="21"/>
      <c r="O248" s="59"/>
      <c r="P248" s="21"/>
      <c r="Q248" s="59"/>
      <c r="R248" s="21"/>
      <c r="S248" s="21"/>
      <c r="T248" s="59"/>
      <c r="U248" s="60">
        <f t="shared" si="28"/>
        <v>0</v>
      </c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>
        <v>51372672</v>
      </c>
      <c r="AN248" s="60">
        <f>SUBTOTAL(9,AC248:AM248)</f>
        <v>51372672</v>
      </c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>
        <v>28409895</v>
      </c>
      <c r="AZ248" s="60"/>
      <c r="BA248" s="60"/>
      <c r="BB248" s="60"/>
      <c r="BC248" s="61">
        <f t="shared" si="29"/>
        <v>79782567</v>
      </c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>
        <v>5681979</v>
      </c>
      <c r="BO248" s="60"/>
      <c r="BP248" s="61">
        <v>85464546</v>
      </c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>
        <v>5681979</v>
      </c>
      <c r="CD248" s="61"/>
      <c r="CE248" s="61"/>
      <c r="CF248" s="61"/>
      <c r="CG248" s="61">
        <f t="shared" si="30"/>
        <v>91146525</v>
      </c>
      <c r="CH248" s="62">
        <f>VLOOKUP(B248,[1]RPTNCT049_ConsultaSaldosContabl!I$4:K$7987,3,0)</f>
        <v>39773853</v>
      </c>
      <c r="CI248" s="62">
        <f t="shared" si="31"/>
        <v>51372672</v>
      </c>
      <c r="CJ248" s="63">
        <f t="shared" si="32"/>
        <v>91146525</v>
      </c>
      <c r="CK248" s="64">
        <f t="shared" si="33"/>
        <v>0</v>
      </c>
      <c r="CL248" s="16"/>
      <c r="CM248" s="16"/>
      <c r="CN248" s="8"/>
      <c r="CO248" s="8"/>
      <c r="CP248" s="8"/>
      <c r="CQ248" s="8"/>
      <c r="CR248" s="8"/>
    </row>
    <row r="249" spans="1:96" ht="15" customHeight="1" x14ac:dyDescent="0.2">
      <c r="A249" s="1">
        <v>8000386131</v>
      </c>
      <c r="B249" s="1">
        <v>800038613</v>
      </c>
      <c r="C249" s="9">
        <v>211213212</v>
      </c>
      <c r="D249" s="10" t="s">
        <v>189</v>
      </c>
      <c r="E249" s="45" t="s">
        <v>1219</v>
      </c>
      <c r="F249" s="21"/>
      <c r="G249" s="59"/>
      <c r="H249" s="21"/>
      <c r="I249" s="59"/>
      <c r="J249" s="21"/>
      <c r="K249" s="21"/>
      <c r="L249" s="59"/>
      <c r="M249" s="60"/>
      <c r="N249" s="21"/>
      <c r="O249" s="59"/>
      <c r="P249" s="21"/>
      <c r="Q249" s="59"/>
      <c r="R249" s="21"/>
      <c r="S249" s="21"/>
      <c r="T249" s="59"/>
      <c r="U249" s="60">
        <f t="shared" si="28"/>
        <v>0</v>
      </c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>
        <v>327157920</v>
      </c>
      <c r="AN249" s="60">
        <f>SUBTOTAL(9,AC249:AM249)</f>
        <v>327157920</v>
      </c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1">
        <f t="shared" si="29"/>
        <v>327157920</v>
      </c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>
        <v>0</v>
      </c>
      <c r="BO249" s="60"/>
      <c r="BP249" s="61">
        <v>327157920</v>
      </c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>
        <v>0</v>
      </c>
      <c r="CD249" s="61"/>
      <c r="CE249" s="61"/>
      <c r="CF249" s="61"/>
      <c r="CG249" s="61">
        <f t="shared" si="30"/>
        <v>327157920</v>
      </c>
      <c r="CH249" s="62"/>
      <c r="CI249" s="62">
        <f t="shared" si="31"/>
        <v>327157920</v>
      </c>
      <c r="CJ249" s="63">
        <f t="shared" si="32"/>
        <v>327157920</v>
      </c>
      <c r="CK249" s="64">
        <f t="shared" si="33"/>
        <v>0</v>
      </c>
      <c r="CL249" s="16"/>
      <c r="CM249" s="16"/>
      <c r="CN249" s="8"/>
      <c r="CO249" s="8"/>
      <c r="CP249" s="8"/>
      <c r="CQ249" s="8"/>
      <c r="CR249" s="8"/>
    </row>
    <row r="250" spans="1:96" ht="15" customHeight="1" x14ac:dyDescent="0.2">
      <c r="A250" s="1">
        <v>8000350241</v>
      </c>
      <c r="B250" s="1">
        <v>800035024</v>
      </c>
      <c r="C250" s="9">
        <v>211552215</v>
      </c>
      <c r="D250" s="10" t="s">
        <v>701</v>
      </c>
      <c r="E250" s="45" t="s">
        <v>1723</v>
      </c>
      <c r="F250" s="21"/>
      <c r="G250" s="59"/>
      <c r="H250" s="21"/>
      <c r="I250" s="59"/>
      <c r="J250" s="21"/>
      <c r="K250" s="21"/>
      <c r="L250" s="59"/>
      <c r="M250" s="60"/>
      <c r="N250" s="21"/>
      <c r="O250" s="59"/>
      <c r="P250" s="21"/>
      <c r="Q250" s="59"/>
      <c r="R250" s="21"/>
      <c r="S250" s="21"/>
      <c r="T250" s="59"/>
      <c r="U250" s="60">
        <f t="shared" si="28"/>
        <v>0</v>
      </c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>
        <v>228505542</v>
      </c>
      <c r="AN250" s="60">
        <f>SUBTOTAL(9,AC250:AM250)</f>
        <v>228505542</v>
      </c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1">
        <f t="shared" si="29"/>
        <v>228505542</v>
      </c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>
        <v>0</v>
      </c>
      <c r="BO250" s="60"/>
      <c r="BP250" s="61">
        <v>228505542</v>
      </c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>
        <v>217377391</v>
      </c>
      <c r="CD250" s="61"/>
      <c r="CE250" s="61"/>
      <c r="CF250" s="61"/>
      <c r="CG250" s="61">
        <f t="shared" si="30"/>
        <v>445882933</v>
      </c>
      <c r="CH250" s="62">
        <f>VLOOKUP(B250,[1]RPTNCT049_ConsultaSaldosContabl!I$4:K$7987,3,0)</f>
        <v>217377391</v>
      </c>
      <c r="CI250" s="62">
        <f t="shared" si="31"/>
        <v>228505542</v>
      </c>
      <c r="CJ250" s="63">
        <f t="shared" si="32"/>
        <v>445882933</v>
      </c>
      <c r="CK250" s="64">
        <f t="shared" si="33"/>
        <v>0</v>
      </c>
      <c r="CL250" s="16"/>
      <c r="CM250" s="16"/>
      <c r="CN250" s="16"/>
    </row>
    <row r="251" spans="1:96" ht="15" customHeight="1" x14ac:dyDescent="0.2">
      <c r="A251" s="1">
        <v>8900010613</v>
      </c>
      <c r="B251" s="1">
        <v>890001061</v>
      </c>
      <c r="C251" s="9">
        <v>211263212</v>
      </c>
      <c r="D251" s="10" t="s">
        <v>792</v>
      </c>
      <c r="E251" s="45" t="s">
        <v>1809</v>
      </c>
      <c r="F251" s="21"/>
      <c r="G251" s="59"/>
      <c r="H251" s="21"/>
      <c r="I251" s="59"/>
      <c r="J251" s="21"/>
      <c r="K251" s="21"/>
      <c r="L251" s="59"/>
      <c r="M251" s="60"/>
      <c r="N251" s="21"/>
      <c r="O251" s="59"/>
      <c r="P251" s="21"/>
      <c r="Q251" s="59"/>
      <c r="R251" s="21"/>
      <c r="S251" s="21"/>
      <c r="T251" s="59"/>
      <c r="U251" s="60">
        <f t="shared" si="28"/>
        <v>0</v>
      </c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>
        <v>39296840</v>
      </c>
      <c r="AZ251" s="60"/>
      <c r="BA251" s="60">
        <f>VLOOKUP(B251,[2]Hoja3!J$3:K$674,2,0)</f>
        <v>73717037</v>
      </c>
      <c r="BB251" s="60"/>
      <c r="BC251" s="61">
        <f t="shared" si="29"/>
        <v>113013877</v>
      </c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>
        <v>7859368</v>
      </c>
      <c r="BO251" s="60"/>
      <c r="BP251" s="61">
        <v>120873245</v>
      </c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>
        <v>7859368</v>
      </c>
      <c r="CD251" s="61"/>
      <c r="CE251" s="61"/>
      <c r="CF251" s="61"/>
      <c r="CG251" s="61">
        <f t="shared" si="30"/>
        <v>128732613</v>
      </c>
      <c r="CH251" s="62">
        <f>VLOOKUP(B251,[1]RPTNCT049_ConsultaSaldosContabl!I$4:K$7987,3,0)</f>
        <v>55015576</v>
      </c>
      <c r="CI251" s="62">
        <f t="shared" si="31"/>
        <v>73717037</v>
      </c>
      <c r="CJ251" s="63">
        <f t="shared" si="32"/>
        <v>128732613</v>
      </c>
      <c r="CK251" s="64">
        <f t="shared" si="33"/>
        <v>0</v>
      </c>
      <c r="CL251" s="16"/>
      <c r="CM251" s="16"/>
      <c r="CN251" s="16"/>
    </row>
    <row r="252" spans="1:96" ht="15" customHeight="1" x14ac:dyDescent="0.2">
      <c r="A252" s="1">
        <v>8915012830</v>
      </c>
      <c r="B252" s="1">
        <v>891501283</v>
      </c>
      <c r="C252" s="9">
        <v>211219212</v>
      </c>
      <c r="D252" s="10" t="s">
        <v>381</v>
      </c>
      <c r="E252" s="45" t="s">
        <v>1413</v>
      </c>
      <c r="F252" s="21"/>
      <c r="G252" s="59"/>
      <c r="H252" s="21"/>
      <c r="I252" s="59"/>
      <c r="J252" s="21"/>
      <c r="K252" s="21"/>
      <c r="L252" s="59"/>
      <c r="M252" s="60"/>
      <c r="N252" s="21"/>
      <c r="O252" s="59"/>
      <c r="P252" s="21"/>
      <c r="Q252" s="59"/>
      <c r="R252" s="21"/>
      <c r="S252" s="21"/>
      <c r="T252" s="59"/>
      <c r="U252" s="60">
        <f t="shared" si="28"/>
        <v>0</v>
      </c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>
        <v>232861575</v>
      </c>
      <c r="AZ252" s="60"/>
      <c r="BA252" s="60">
        <f>VLOOKUP(B252,[2]Hoja3!J$3:K$674,2,0)</f>
        <v>288702327</v>
      </c>
      <c r="BB252" s="60"/>
      <c r="BC252" s="61">
        <f t="shared" si="29"/>
        <v>521563902</v>
      </c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>
        <v>46572315</v>
      </c>
      <c r="BO252" s="60"/>
      <c r="BP252" s="61">
        <v>568136217</v>
      </c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>
        <v>46572315</v>
      </c>
      <c r="CD252" s="61"/>
      <c r="CE252" s="61"/>
      <c r="CF252" s="61"/>
      <c r="CG252" s="61">
        <f t="shared" si="30"/>
        <v>614708532</v>
      </c>
      <c r="CH252" s="62">
        <f>VLOOKUP(B252,[1]RPTNCT049_ConsultaSaldosContabl!I$4:K$7987,3,0)</f>
        <v>326006205</v>
      </c>
      <c r="CI252" s="62">
        <f t="shared" si="31"/>
        <v>288702327</v>
      </c>
      <c r="CJ252" s="63">
        <f t="shared" si="32"/>
        <v>614708532</v>
      </c>
      <c r="CK252" s="64">
        <f t="shared" si="33"/>
        <v>0</v>
      </c>
      <c r="CL252" s="16"/>
      <c r="CM252" s="16"/>
      <c r="CN252" s="16"/>
    </row>
    <row r="253" spans="1:96" ht="15" customHeight="1" x14ac:dyDescent="0.2">
      <c r="A253" s="1">
        <v>8902050587</v>
      </c>
      <c r="B253" s="1">
        <v>890205058</v>
      </c>
      <c r="C253" s="9">
        <v>211768217</v>
      </c>
      <c r="D253" s="10" t="s">
        <v>833</v>
      </c>
      <c r="E253" s="45" t="s">
        <v>1848</v>
      </c>
      <c r="F253" s="21"/>
      <c r="G253" s="59"/>
      <c r="H253" s="21"/>
      <c r="I253" s="59"/>
      <c r="J253" s="21"/>
      <c r="K253" s="21"/>
      <c r="L253" s="59"/>
      <c r="M253" s="60"/>
      <c r="N253" s="21"/>
      <c r="O253" s="59"/>
      <c r="P253" s="21"/>
      <c r="Q253" s="59"/>
      <c r="R253" s="21"/>
      <c r="S253" s="21"/>
      <c r="T253" s="59"/>
      <c r="U253" s="60">
        <f t="shared" si="28"/>
        <v>0</v>
      </c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>
        <v>46798068</v>
      </c>
      <c r="AN253" s="60">
        <f>SUBTOTAL(9,AC253:AM253)</f>
        <v>46798068</v>
      </c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>
        <v>37283645</v>
      </c>
      <c r="AZ253" s="60"/>
      <c r="BA253" s="60">
        <f>VLOOKUP(B253,[2]Hoja3!J$3:K$674,2,0)</f>
        <v>38014824</v>
      </c>
      <c r="BB253" s="60"/>
      <c r="BC253" s="61">
        <f t="shared" si="29"/>
        <v>122096537</v>
      </c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>
        <v>7456729</v>
      </c>
      <c r="BO253" s="60"/>
      <c r="BP253" s="61">
        <v>129553266</v>
      </c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>
        <v>7456729</v>
      </c>
      <c r="CD253" s="61"/>
      <c r="CE253" s="61"/>
      <c r="CF253" s="61"/>
      <c r="CG253" s="61">
        <f t="shared" si="30"/>
        <v>137009995</v>
      </c>
      <c r="CH253" s="62">
        <f>VLOOKUP(B253,[1]RPTNCT049_ConsultaSaldosContabl!I$4:K$7987,3,0)</f>
        <v>52197103</v>
      </c>
      <c r="CI253" s="62">
        <f t="shared" si="31"/>
        <v>84812892</v>
      </c>
      <c r="CJ253" s="63">
        <f t="shared" si="32"/>
        <v>137009995</v>
      </c>
      <c r="CK253" s="64">
        <f t="shared" si="33"/>
        <v>0</v>
      </c>
      <c r="CL253" s="16"/>
      <c r="CM253" s="16"/>
      <c r="CN253" s="16"/>
    </row>
    <row r="254" spans="1:96" ht="15" customHeight="1" x14ac:dyDescent="0.2">
      <c r="A254" s="1">
        <v>8922800322</v>
      </c>
      <c r="B254" s="1">
        <v>892280032</v>
      </c>
      <c r="C254" s="9">
        <v>211570215</v>
      </c>
      <c r="D254" s="10" t="s">
        <v>893</v>
      </c>
      <c r="E254" s="45" t="s">
        <v>1906</v>
      </c>
      <c r="F254" s="21"/>
      <c r="G254" s="59"/>
      <c r="H254" s="21"/>
      <c r="I254" s="59"/>
      <c r="J254" s="21"/>
      <c r="K254" s="21"/>
      <c r="L254" s="59"/>
      <c r="M254" s="60"/>
      <c r="N254" s="21"/>
      <c r="O254" s="59"/>
      <c r="P254" s="21"/>
      <c r="Q254" s="59"/>
      <c r="R254" s="21"/>
      <c r="S254" s="21"/>
      <c r="T254" s="59"/>
      <c r="U254" s="60">
        <f t="shared" si="28"/>
        <v>0</v>
      </c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>
        <v>644769541</v>
      </c>
      <c r="AN254" s="60">
        <f>SUBTOTAL(9,AC254:AM254)</f>
        <v>644769541</v>
      </c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>
        <v>527732675</v>
      </c>
      <c r="AZ254" s="60"/>
      <c r="BA254" s="60">
        <f>VLOOKUP(B254,[2]Hoja3!J$3:K$674,2,0)</f>
        <v>328607176</v>
      </c>
      <c r="BB254" s="60"/>
      <c r="BC254" s="61">
        <f t="shared" si="29"/>
        <v>1501109392</v>
      </c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>
        <v>105546535</v>
      </c>
      <c r="BO254" s="60"/>
      <c r="BP254" s="61">
        <v>1606655927</v>
      </c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>
        <v>105546535</v>
      </c>
      <c r="CD254" s="61"/>
      <c r="CE254" s="61"/>
      <c r="CF254" s="61"/>
      <c r="CG254" s="61">
        <f t="shared" si="30"/>
        <v>1712202462</v>
      </c>
      <c r="CH254" s="62">
        <f>VLOOKUP(B254,[1]RPTNCT049_ConsultaSaldosContabl!I$4:K$7987,3,0)</f>
        <v>738825745</v>
      </c>
      <c r="CI254" s="62">
        <f t="shared" si="31"/>
        <v>973376717</v>
      </c>
      <c r="CJ254" s="63">
        <f t="shared" si="32"/>
        <v>1712202462</v>
      </c>
      <c r="CK254" s="64">
        <f t="shared" si="33"/>
        <v>0</v>
      </c>
      <c r="CL254" s="16"/>
      <c r="CM254" s="16"/>
      <c r="CN254" s="16"/>
    </row>
    <row r="255" spans="1:96" ht="15" customHeight="1" x14ac:dyDescent="0.2">
      <c r="A255" s="1">
        <v>8918557482</v>
      </c>
      <c r="B255" s="1">
        <v>891855748</v>
      </c>
      <c r="C255" s="9">
        <v>211515215</v>
      </c>
      <c r="D255" s="10" t="s">
        <v>240</v>
      </c>
      <c r="E255" s="45" t="s">
        <v>1275</v>
      </c>
      <c r="F255" s="21"/>
      <c r="G255" s="59"/>
      <c r="H255" s="21"/>
      <c r="I255" s="59"/>
      <c r="J255" s="21"/>
      <c r="K255" s="21"/>
      <c r="L255" s="59"/>
      <c r="M255" s="60"/>
      <c r="N255" s="21"/>
      <c r="O255" s="59"/>
      <c r="P255" s="21"/>
      <c r="Q255" s="59"/>
      <c r="R255" s="21"/>
      <c r="S255" s="21"/>
      <c r="T255" s="59"/>
      <c r="U255" s="60">
        <f t="shared" si="28"/>
        <v>0</v>
      </c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>
        <v>34042595</v>
      </c>
      <c r="AN255" s="60">
        <f>SUBTOTAL(9,AC255:AM255)</f>
        <v>34042595</v>
      </c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>
        <v>15463165</v>
      </c>
      <c r="AZ255" s="60"/>
      <c r="BA255" s="60"/>
      <c r="BB255" s="60"/>
      <c r="BC255" s="61">
        <f t="shared" si="29"/>
        <v>49505760</v>
      </c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>
        <v>3092633</v>
      </c>
      <c r="BO255" s="60"/>
      <c r="BP255" s="61">
        <v>52598393</v>
      </c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>
        <v>3092633</v>
      </c>
      <c r="CD255" s="61"/>
      <c r="CE255" s="61"/>
      <c r="CF255" s="61"/>
      <c r="CG255" s="61">
        <f t="shared" si="30"/>
        <v>55691026</v>
      </c>
      <c r="CH255" s="62">
        <f>VLOOKUP(B255,[1]RPTNCT049_ConsultaSaldosContabl!I$4:K$7987,3,0)</f>
        <v>21648431</v>
      </c>
      <c r="CI255" s="62">
        <f t="shared" si="31"/>
        <v>34042595</v>
      </c>
      <c r="CJ255" s="63">
        <f t="shared" si="32"/>
        <v>55691026</v>
      </c>
      <c r="CK255" s="64">
        <f t="shared" si="33"/>
        <v>0</v>
      </c>
      <c r="CL255" s="16"/>
      <c r="CM255" s="16"/>
      <c r="CN255" s="8"/>
      <c r="CO255" s="8"/>
      <c r="CP255" s="8"/>
      <c r="CQ255" s="8"/>
      <c r="CR255" s="8"/>
    </row>
    <row r="256" spans="1:96" ht="15" customHeight="1" x14ac:dyDescent="0.2">
      <c r="A256" s="1">
        <v>8999997053</v>
      </c>
      <c r="B256" s="1">
        <v>899999705</v>
      </c>
      <c r="C256" s="9">
        <v>211425214</v>
      </c>
      <c r="D256" s="10" t="s">
        <v>480</v>
      </c>
      <c r="E256" s="45" t="s">
        <v>1506</v>
      </c>
      <c r="F256" s="21"/>
      <c r="G256" s="59"/>
      <c r="H256" s="21"/>
      <c r="I256" s="59"/>
      <c r="J256" s="21"/>
      <c r="K256" s="21"/>
      <c r="L256" s="59"/>
      <c r="M256" s="60"/>
      <c r="N256" s="21"/>
      <c r="O256" s="59"/>
      <c r="P256" s="21"/>
      <c r="Q256" s="59"/>
      <c r="R256" s="21"/>
      <c r="S256" s="21"/>
      <c r="T256" s="59"/>
      <c r="U256" s="60">
        <f t="shared" si="28"/>
        <v>0</v>
      </c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>
        <v>274239706</v>
      </c>
      <c r="AN256" s="60">
        <f>SUBTOTAL(9,AC256:AM256)</f>
        <v>274239706</v>
      </c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1">
        <f t="shared" si="29"/>
        <v>274239706</v>
      </c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>
        <v>0</v>
      </c>
      <c r="BO256" s="60"/>
      <c r="BP256" s="61">
        <v>274239706</v>
      </c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>
        <v>0</v>
      </c>
      <c r="CD256" s="61"/>
      <c r="CE256" s="61"/>
      <c r="CF256" s="61"/>
      <c r="CG256" s="61">
        <f t="shared" si="30"/>
        <v>274239706</v>
      </c>
      <c r="CH256" s="62"/>
      <c r="CI256" s="62">
        <f t="shared" si="31"/>
        <v>274239706</v>
      </c>
      <c r="CJ256" s="63">
        <f t="shared" si="32"/>
        <v>274239706</v>
      </c>
      <c r="CK256" s="64">
        <f t="shared" si="33"/>
        <v>0</v>
      </c>
      <c r="CL256" s="16"/>
      <c r="CM256" s="16"/>
      <c r="CN256" s="16"/>
    </row>
    <row r="257" spans="1:96" ht="15" customHeight="1" x14ac:dyDescent="0.2">
      <c r="A257" s="1">
        <v>8120016751</v>
      </c>
      <c r="B257" s="1">
        <v>812001675</v>
      </c>
      <c r="C257" s="9">
        <v>210023300</v>
      </c>
      <c r="D257" s="10" t="s">
        <v>444</v>
      </c>
      <c r="E257" s="45" t="s">
        <v>1471</v>
      </c>
      <c r="F257" s="21"/>
      <c r="G257" s="59"/>
      <c r="H257" s="21"/>
      <c r="I257" s="59"/>
      <c r="J257" s="21"/>
      <c r="K257" s="21"/>
      <c r="L257" s="59"/>
      <c r="M257" s="60"/>
      <c r="N257" s="21"/>
      <c r="O257" s="59"/>
      <c r="P257" s="21"/>
      <c r="Q257" s="59"/>
      <c r="R257" s="21"/>
      <c r="S257" s="21"/>
      <c r="T257" s="59"/>
      <c r="U257" s="60">
        <f t="shared" si="28"/>
        <v>0</v>
      </c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>
        <v>184977527</v>
      </c>
      <c r="AN257" s="60">
        <f>SUBTOTAL(9,AC257:AM257)</f>
        <v>184977527</v>
      </c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>
        <f>VLOOKUP(B257,[2]Hoja3!J$3:K$674,2,0)</f>
        <v>87755393</v>
      </c>
      <c r="BB257" s="60"/>
      <c r="BC257" s="61">
        <f t="shared" si="29"/>
        <v>272732920</v>
      </c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>
        <v>33845731</v>
      </c>
      <c r="BO257" s="60"/>
      <c r="BP257" s="61">
        <v>306578651</v>
      </c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>
        <v>33845731</v>
      </c>
      <c r="CD257" s="61">
        <v>169228655</v>
      </c>
      <c r="CE257" s="61"/>
      <c r="CF257" s="61"/>
      <c r="CG257" s="61">
        <f t="shared" si="30"/>
        <v>509653037</v>
      </c>
      <c r="CH257" s="62">
        <f>VLOOKUP(B257,[1]RPTNCT049_ConsultaSaldosContabl!I$4:K$7987,3,0)</f>
        <v>236920117</v>
      </c>
      <c r="CI257" s="62">
        <f t="shared" si="31"/>
        <v>272732920</v>
      </c>
      <c r="CJ257" s="63">
        <f t="shared" si="32"/>
        <v>509653037</v>
      </c>
      <c r="CK257" s="64">
        <f t="shared" si="33"/>
        <v>0</v>
      </c>
      <c r="CL257" s="16"/>
      <c r="CM257" s="16"/>
      <c r="CN257" s="16"/>
    </row>
    <row r="258" spans="1:96" ht="15" customHeight="1" x14ac:dyDescent="0.2">
      <c r="A258" s="1">
        <v>8918579202</v>
      </c>
      <c r="B258" s="1">
        <v>891857920</v>
      </c>
      <c r="C258" s="9">
        <v>211815218</v>
      </c>
      <c r="D258" s="10" t="s">
        <v>241</v>
      </c>
      <c r="E258" s="45" t="s">
        <v>1276</v>
      </c>
      <c r="F258" s="21"/>
      <c r="G258" s="59"/>
      <c r="H258" s="21"/>
      <c r="I258" s="59"/>
      <c r="J258" s="21"/>
      <c r="K258" s="21"/>
      <c r="L258" s="59"/>
      <c r="M258" s="60"/>
      <c r="N258" s="21"/>
      <c r="O258" s="59"/>
      <c r="P258" s="21"/>
      <c r="Q258" s="59"/>
      <c r="R258" s="21"/>
      <c r="S258" s="21"/>
      <c r="T258" s="59"/>
      <c r="U258" s="60">
        <f t="shared" si="28"/>
        <v>0</v>
      </c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>
        <f>VLOOKUP(B258,[2]Hoja3!J$3:K$674,2,0)</f>
        <v>38026929</v>
      </c>
      <c r="BB258" s="60"/>
      <c r="BC258" s="61">
        <f t="shared" si="29"/>
        <v>38026929</v>
      </c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>
        <v>0</v>
      </c>
      <c r="BO258" s="60"/>
      <c r="BP258" s="61">
        <v>38026929</v>
      </c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>
        <v>0</v>
      </c>
      <c r="CD258" s="61"/>
      <c r="CE258" s="61"/>
      <c r="CF258" s="61"/>
      <c r="CG258" s="61">
        <f t="shared" si="30"/>
        <v>38026929</v>
      </c>
      <c r="CH258" s="62"/>
      <c r="CI258" s="62">
        <f t="shared" si="31"/>
        <v>38026929</v>
      </c>
      <c r="CJ258" s="63">
        <f t="shared" si="32"/>
        <v>38026929</v>
      </c>
      <c r="CK258" s="64">
        <f t="shared" si="33"/>
        <v>0</v>
      </c>
      <c r="CL258" s="16"/>
      <c r="CM258" s="16"/>
      <c r="CN258" s="8"/>
      <c r="CO258" s="8"/>
      <c r="CP258" s="8"/>
      <c r="CQ258" s="8"/>
      <c r="CR258" s="8"/>
    </row>
    <row r="259" spans="1:96" ht="15" customHeight="1" x14ac:dyDescent="0.2">
      <c r="A259" s="1">
        <v>8230035437</v>
      </c>
      <c r="B259" s="1">
        <v>823003543</v>
      </c>
      <c r="C259" s="9">
        <v>89970221</v>
      </c>
      <c r="D259" s="10" t="s">
        <v>894</v>
      </c>
      <c r="E259" s="45" t="s">
        <v>1907</v>
      </c>
      <c r="F259" s="21"/>
      <c r="G259" s="59"/>
      <c r="H259" s="21"/>
      <c r="I259" s="59"/>
      <c r="J259" s="21"/>
      <c r="K259" s="21"/>
      <c r="L259" s="59"/>
      <c r="M259" s="60"/>
      <c r="N259" s="21"/>
      <c r="O259" s="59"/>
      <c r="P259" s="21"/>
      <c r="Q259" s="59"/>
      <c r="R259" s="21"/>
      <c r="S259" s="21"/>
      <c r="T259" s="59"/>
      <c r="U259" s="60">
        <f t="shared" ref="U259:U322" si="36">SUM(M259:T259)</f>
        <v>0</v>
      </c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>
        <v>174356907</v>
      </c>
      <c r="AN259" s="60">
        <f>SUBTOTAL(9,AC259:AM259)</f>
        <v>174356907</v>
      </c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>
        <v>143848070</v>
      </c>
      <c r="AZ259" s="60"/>
      <c r="BA259" s="60">
        <f>VLOOKUP(B259,[2]Hoja3!J$3:K$674,2,0)</f>
        <v>97396083</v>
      </c>
      <c r="BB259" s="60">
        <f>VLOOKUP(B259,'[3]anuladas en mayo gratuidad}'!K$2:L$55,2,0)</f>
        <v>30279439</v>
      </c>
      <c r="BC259" s="61">
        <f t="shared" si="29"/>
        <v>385321621</v>
      </c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>
        <v>28769614</v>
      </c>
      <c r="BO259" s="60"/>
      <c r="BP259" s="61">
        <v>414091235</v>
      </c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>
        <v>28769614</v>
      </c>
      <c r="CD259" s="61"/>
      <c r="CE259" s="61"/>
      <c r="CF259" s="61"/>
      <c r="CG259" s="61">
        <f t="shared" si="30"/>
        <v>442860849</v>
      </c>
      <c r="CH259" s="62">
        <f>VLOOKUP(B259,[1]RPTNCT049_ConsultaSaldosContabl!I$4:K$7987,3,0)</f>
        <v>201387298</v>
      </c>
      <c r="CI259" s="62">
        <f t="shared" si="31"/>
        <v>241473551</v>
      </c>
      <c r="CJ259" s="63">
        <f t="shared" si="32"/>
        <v>442860849</v>
      </c>
      <c r="CK259" s="64">
        <f t="shared" si="33"/>
        <v>0</v>
      </c>
      <c r="CL259" s="16"/>
      <c r="CM259" s="16"/>
      <c r="CN259" s="16"/>
    </row>
    <row r="260" spans="1:96" ht="15" customHeight="1" x14ac:dyDescent="0.2">
      <c r="A260" s="1">
        <v>8907020231</v>
      </c>
      <c r="B260" s="1">
        <v>890702023</v>
      </c>
      <c r="C260" s="9">
        <v>211773217</v>
      </c>
      <c r="D260" s="10" t="s">
        <v>2212</v>
      </c>
      <c r="E260" s="45" t="s">
        <v>1939</v>
      </c>
      <c r="F260" s="21"/>
      <c r="G260" s="59"/>
      <c r="H260" s="21"/>
      <c r="I260" s="59"/>
      <c r="J260" s="21"/>
      <c r="K260" s="21"/>
      <c r="L260" s="59"/>
      <c r="M260" s="60"/>
      <c r="N260" s="21"/>
      <c r="O260" s="59"/>
      <c r="P260" s="21"/>
      <c r="Q260" s="59"/>
      <c r="R260" s="21"/>
      <c r="S260" s="21"/>
      <c r="T260" s="59"/>
      <c r="U260" s="60">
        <f t="shared" si="36"/>
        <v>0</v>
      </c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>
        <v>311500355</v>
      </c>
      <c r="AZ260" s="60"/>
      <c r="BA260" s="60">
        <f>VLOOKUP(B260,[2]Hoja3!J$3:K$674,2,0)</f>
        <v>523410309</v>
      </c>
      <c r="BB260" s="60"/>
      <c r="BC260" s="61">
        <f t="shared" ref="BC260:BC323" si="37">SUM(AN260:BA260)-BB260</f>
        <v>834910664</v>
      </c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>
        <v>62300071</v>
      </c>
      <c r="BO260" s="60"/>
      <c r="BP260" s="61">
        <v>897210735</v>
      </c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>
        <v>62300071</v>
      </c>
      <c r="CD260" s="61"/>
      <c r="CE260" s="61"/>
      <c r="CF260" s="61"/>
      <c r="CG260" s="61">
        <f t="shared" ref="CG260:CG323" si="38">SUM(BP260:CF260)</f>
        <v>959510806</v>
      </c>
      <c r="CH260" s="62">
        <f>VLOOKUP(B260,[1]RPTNCT049_ConsultaSaldosContabl!I$4:K$7987,3,0)</f>
        <v>436100497</v>
      </c>
      <c r="CI260" s="62">
        <f t="shared" ref="CI260:CI323" si="39">+AM260+BA260-BB260+BO260+CE260+CF260</f>
        <v>523410309</v>
      </c>
      <c r="CJ260" s="63">
        <f t="shared" ref="CJ260:CJ323" si="40">+CH260+CI260</f>
        <v>959510806</v>
      </c>
      <c r="CK260" s="64">
        <f t="shared" ref="CK260:CK323" si="41">+CG260-CJ260</f>
        <v>0</v>
      </c>
      <c r="CL260" s="16"/>
      <c r="CM260" s="16"/>
      <c r="CN260" s="16"/>
    </row>
    <row r="261" spans="1:96" ht="15" customHeight="1" x14ac:dyDescent="0.2">
      <c r="A261" s="1">
        <v>8000144346</v>
      </c>
      <c r="B261" s="1">
        <v>800014434</v>
      </c>
      <c r="C261" s="9">
        <v>212081220</v>
      </c>
      <c r="D261" s="10" t="s">
        <v>950</v>
      </c>
      <c r="E261" s="45" t="s">
        <v>2010</v>
      </c>
      <c r="F261" s="21"/>
      <c r="G261" s="59"/>
      <c r="H261" s="21"/>
      <c r="I261" s="59"/>
      <c r="J261" s="21"/>
      <c r="K261" s="21"/>
      <c r="L261" s="59"/>
      <c r="M261" s="60"/>
      <c r="N261" s="21"/>
      <c r="O261" s="59"/>
      <c r="P261" s="21"/>
      <c r="Q261" s="59"/>
      <c r="R261" s="21"/>
      <c r="S261" s="21"/>
      <c r="T261" s="59"/>
      <c r="U261" s="60">
        <f t="shared" si="36"/>
        <v>0</v>
      </c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>
        <v>52999702</v>
      </c>
      <c r="AN261" s="60">
        <f>SUBTOTAL(9,AC261:AM261)</f>
        <v>52999702</v>
      </c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>
        <v>30823710</v>
      </c>
      <c r="AZ261" s="60"/>
      <c r="BA261" s="60"/>
      <c r="BB261" s="60"/>
      <c r="BC261" s="61">
        <f t="shared" si="37"/>
        <v>83823412</v>
      </c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>
        <v>6164742</v>
      </c>
      <c r="BO261" s="60"/>
      <c r="BP261" s="61">
        <v>89988154</v>
      </c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>
        <v>6164742</v>
      </c>
      <c r="CD261" s="61"/>
      <c r="CE261" s="61"/>
      <c r="CF261" s="61"/>
      <c r="CG261" s="61">
        <f t="shared" si="38"/>
        <v>96152896</v>
      </c>
      <c r="CH261" s="62">
        <f>VLOOKUP(B261,[1]RPTNCT049_ConsultaSaldosContabl!I$4:K$7987,3,0)</f>
        <v>43153194</v>
      </c>
      <c r="CI261" s="62">
        <f t="shared" si="39"/>
        <v>52999702</v>
      </c>
      <c r="CJ261" s="63">
        <f t="shared" si="40"/>
        <v>96152896</v>
      </c>
      <c r="CK261" s="64">
        <f t="shared" si="41"/>
        <v>0</v>
      </c>
      <c r="CL261" s="16"/>
      <c r="CM261" s="16"/>
      <c r="CN261" s="16"/>
    </row>
    <row r="262" spans="1:96" ht="15" customHeight="1" x14ac:dyDescent="0.2">
      <c r="A262" s="1">
        <v>8000990703</v>
      </c>
      <c r="B262" s="1">
        <v>800099070</v>
      </c>
      <c r="C262" s="9">
        <v>212452224</v>
      </c>
      <c r="D262" s="10" t="s">
        <v>702</v>
      </c>
      <c r="E262" s="45" t="s">
        <v>1724</v>
      </c>
      <c r="F262" s="21"/>
      <c r="G262" s="59"/>
      <c r="H262" s="21"/>
      <c r="I262" s="59"/>
      <c r="J262" s="21"/>
      <c r="K262" s="21"/>
      <c r="L262" s="59"/>
      <c r="M262" s="60"/>
      <c r="N262" s="21"/>
      <c r="O262" s="59"/>
      <c r="P262" s="21"/>
      <c r="Q262" s="59"/>
      <c r="R262" s="21"/>
      <c r="S262" s="21"/>
      <c r="T262" s="59"/>
      <c r="U262" s="60">
        <f t="shared" si="36"/>
        <v>0</v>
      </c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>
        <v>104897894</v>
      </c>
      <c r="AN262" s="60">
        <f>SUBTOTAL(9,AC262:AM262)</f>
        <v>104897894</v>
      </c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>
        <v>53415685</v>
      </c>
      <c r="AZ262" s="60"/>
      <c r="BA262" s="60"/>
      <c r="BB262" s="60"/>
      <c r="BC262" s="61">
        <f t="shared" si="37"/>
        <v>158313579</v>
      </c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>
        <v>10683137</v>
      </c>
      <c r="BO262" s="60"/>
      <c r="BP262" s="61">
        <v>168996716</v>
      </c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>
        <v>10683137</v>
      </c>
      <c r="CD262" s="61"/>
      <c r="CE262" s="61"/>
      <c r="CF262" s="61"/>
      <c r="CG262" s="61">
        <f t="shared" si="38"/>
        <v>179679853</v>
      </c>
      <c r="CH262" s="62">
        <f>VLOOKUP(B262,[1]RPTNCT049_ConsultaSaldosContabl!I$4:K$7987,3,0)</f>
        <v>74781959</v>
      </c>
      <c r="CI262" s="62">
        <f t="shared" si="39"/>
        <v>104897894</v>
      </c>
      <c r="CJ262" s="63">
        <f t="shared" si="40"/>
        <v>179679853</v>
      </c>
      <c r="CK262" s="64">
        <f t="shared" si="41"/>
        <v>0</v>
      </c>
      <c r="CL262" s="16"/>
      <c r="CM262" s="16"/>
      <c r="CN262" s="16"/>
    </row>
    <row r="263" spans="1:96" ht="15" customHeight="1" x14ac:dyDescent="0.2">
      <c r="A263" s="1">
        <v>8000991962</v>
      </c>
      <c r="B263" s="1">
        <v>800099196</v>
      </c>
      <c r="C263" s="9">
        <v>212315223</v>
      </c>
      <c r="D263" s="10" t="s">
        <v>242</v>
      </c>
      <c r="E263" s="45" t="s">
        <v>1277</v>
      </c>
      <c r="F263" s="21"/>
      <c r="G263" s="59"/>
      <c r="H263" s="21"/>
      <c r="I263" s="59"/>
      <c r="J263" s="21"/>
      <c r="K263" s="21"/>
      <c r="L263" s="59"/>
      <c r="M263" s="60"/>
      <c r="N263" s="21"/>
      <c r="O263" s="59"/>
      <c r="P263" s="21"/>
      <c r="Q263" s="59"/>
      <c r="R263" s="21"/>
      <c r="S263" s="21"/>
      <c r="T263" s="59"/>
      <c r="U263" s="60">
        <f t="shared" si="36"/>
        <v>0</v>
      </c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>
        <v>52506130</v>
      </c>
      <c r="AZ263" s="60"/>
      <c r="BA263" s="60">
        <f>VLOOKUP(B263,[2]Hoja3!J$3:K$674,2,0)</f>
        <v>100586290</v>
      </c>
      <c r="BB263" s="60"/>
      <c r="BC263" s="61">
        <f t="shared" si="37"/>
        <v>153092420</v>
      </c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>
        <v>10501226</v>
      </c>
      <c r="BO263" s="60"/>
      <c r="BP263" s="61">
        <v>163593646</v>
      </c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>
        <v>10501226</v>
      </c>
      <c r="CD263" s="61"/>
      <c r="CE263" s="61"/>
      <c r="CF263" s="61"/>
      <c r="CG263" s="61">
        <f t="shared" si="38"/>
        <v>174094872</v>
      </c>
      <c r="CH263" s="62">
        <f>VLOOKUP(B263,[1]RPTNCT049_ConsultaSaldosContabl!I$4:K$7987,3,0)</f>
        <v>73508582</v>
      </c>
      <c r="CI263" s="62">
        <f t="shared" si="39"/>
        <v>100586290</v>
      </c>
      <c r="CJ263" s="63">
        <f t="shared" si="40"/>
        <v>174094872</v>
      </c>
      <c r="CK263" s="64">
        <f t="shared" si="41"/>
        <v>0</v>
      </c>
      <c r="CL263" s="16"/>
      <c r="CM263" s="16"/>
      <c r="CN263" s="8"/>
      <c r="CO263" s="8"/>
      <c r="CP263" s="8"/>
      <c r="CQ263" s="8"/>
      <c r="CR263" s="8"/>
    </row>
    <row r="264" spans="1:96" ht="15" customHeight="1" x14ac:dyDescent="0.2">
      <c r="A264" s="1">
        <v>8920008120</v>
      </c>
      <c r="B264" s="1">
        <v>892000812</v>
      </c>
      <c r="C264" s="9">
        <v>212350223</v>
      </c>
      <c r="D264" s="10" t="s">
        <v>669</v>
      </c>
      <c r="E264" s="45" t="s">
        <v>1690</v>
      </c>
      <c r="F264" s="21"/>
      <c r="G264" s="59"/>
      <c r="H264" s="21"/>
      <c r="I264" s="59"/>
      <c r="J264" s="21"/>
      <c r="K264" s="21"/>
      <c r="L264" s="59"/>
      <c r="M264" s="60"/>
      <c r="N264" s="21"/>
      <c r="O264" s="59"/>
      <c r="P264" s="21"/>
      <c r="Q264" s="59"/>
      <c r="R264" s="21"/>
      <c r="S264" s="21"/>
      <c r="T264" s="59"/>
      <c r="U264" s="60">
        <f t="shared" si="36"/>
        <v>0</v>
      </c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>
        <v>97345342</v>
      </c>
      <c r="AN264" s="60">
        <f>SUBTOTAL(9,AC264:AM264)</f>
        <v>97345342</v>
      </c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>
        <v>41967090</v>
      </c>
      <c r="AZ264" s="60"/>
      <c r="BA264" s="60"/>
      <c r="BB264" s="60"/>
      <c r="BC264" s="61">
        <f t="shared" si="37"/>
        <v>139312432</v>
      </c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>
        <v>8393418</v>
      </c>
      <c r="BO264" s="60"/>
      <c r="BP264" s="61">
        <v>147705850</v>
      </c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>
        <v>8393418</v>
      </c>
      <c r="CD264" s="61"/>
      <c r="CE264" s="61"/>
      <c r="CF264" s="61"/>
      <c r="CG264" s="61">
        <f t="shared" si="38"/>
        <v>156099268</v>
      </c>
      <c r="CH264" s="62">
        <f>VLOOKUP(B264,[1]RPTNCT049_ConsultaSaldosContabl!I$4:K$7987,3,0)</f>
        <v>58753926</v>
      </c>
      <c r="CI264" s="62">
        <f t="shared" si="39"/>
        <v>97345342</v>
      </c>
      <c r="CJ264" s="63">
        <f t="shared" si="40"/>
        <v>156099268</v>
      </c>
      <c r="CK264" s="64">
        <f t="shared" si="41"/>
        <v>0</v>
      </c>
      <c r="CL264" s="16"/>
      <c r="CM264" s="16"/>
      <c r="CN264" s="16"/>
    </row>
    <row r="265" spans="1:96" ht="15" customHeight="1" x14ac:dyDescent="0.2">
      <c r="A265" s="1">
        <v>8918020891</v>
      </c>
      <c r="B265" s="1">
        <v>891802089</v>
      </c>
      <c r="C265" s="9">
        <v>212415224</v>
      </c>
      <c r="D265" s="10" t="s">
        <v>243</v>
      </c>
      <c r="E265" s="45" t="s">
        <v>1278</v>
      </c>
      <c r="F265" s="21"/>
      <c r="G265" s="59"/>
      <c r="H265" s="21"/>
      <c r="I265" s="59"/>
      <c r="J265" s="21"/>
      <c r="K265" s="21"/>
      <c r="L265" s="59"/>
      <c r="M265" s="60"/>
      <c r="N265" s="21"/>
      <c r="O265" s="59"/>
      <c r="P265" s="21"/>
      <c r="Q265" s="59"/>
      <c r="R265" s="21"/>
      <c r="S265" s="21"/>
      <c r="T265" s="59"/>
      <c r="U265" s="60">
        <f t="shared" si="36"/>
        <v>0</v>
      </c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>
        <v>67733820</v>
      </c>
      <c r="AN265" s="60">
        <f>SUBTOTAL(9,AC265:AM265)</f>
        <v>67733820</v>
      </c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>
        <v>32739755</v>
      </c>
      <c r="AZ265" s="60"/>
      <c r="BA265" s="60"/>
      <c r="BB265" s="60"/>
      <c r="BC265" s="61">
        <f t="shared" si="37"/>
        <v>100473575</v>
      </c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>
        <v>6547951</v>
      </c>
      <c r="BO265" s="60"/>
      <c r="BP265" s="61">
        <v>107021526</v>
      </c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>
        <v>6547951</v>
      </c>
      <c r="CD265" s="61"/>
      <c r="CE265" s="61"/>
      <c r="CF265" s="61"/>
      <c r="CG265" s="61">
        <f t="shared" si="38"/>
        <v>113569477</v>
      </c>
      <c r="CH265" s="62">
        <f>VLOOKUP(B265,[1]RPTNCT049_ConsultaSaldosContabl!I$4:K$7987,3,0)</f>
        <v>45835657</v>
      </c>
      <c r="CI265" s="62">
        <f t="shared" si="39"/>
        <v>67733820</v>
      </c>
      <c r="CJ265" s="63">
        <f t="shared" si="40"/>
        <v>113569477</v>
      </c>
      <c r="CK265" s="64">
        <f t="shared" si="41"/>
        <v>0</v>
      </c>
      <c r="CL265" s="16"/>
      <c r="CM265" s="16"/>
      <c r="CN265" s="8"/>
      <c r="CO265" s="8"/>
      <c r="CP265" s="8"/>
      <c r="CQ265" s="8"/>
      <c r="CR265" s="8"/>
    </row>
    <row r="266" spans="1:96" ht="15" customHeight="1" x14ac:dyDescent="0.2">
      <c r="A266" s="1">
        <v>8999994066</v>
      </c>
      <c r="B266" s="1">
        <v>899999406</v>
      </c>
      <c r="C266" s="9">
        <v>212425224</v>
      </c>
      <c r="D266" s="10" t="s">
        <v>481</v>
      </c>
      <c r="E266" s="45" t="s">
        <v>1507</v>
      </c>
      <c r="F266" s="21"/>
      <c r="G266" s="59"/>
      <c r="H266" s="21"/>
      <c r="I266" s="59"/>
      <c r="J266" s="21"/>
      <c r="K266" s="21"/>
      <c r="L266" s="59"/>
      <c r="M266" s="60"/>
      <c r="N266" s="21"/>
      <c r="O266" s="59"/>
      <c r="P266" s="21"/>
      <c r="Q266" s="59"/>
      <c r="R266" s="21"/>
      <c r="S266" s="21"/>
      <c r="T266" s="59"/>
      <c r="U266" s="60">
        <f t="shared" si="36"/>
        <v>0</v>
      </c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>
        <v>119779007</v>
      </c>
      <c r="AN266" s="60">
        <f>SUBTOTAL(9,AC266:AM266)</f>
        <v>119779007</v>
      </c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1">
        <f t="shared" si="37"/>
        <v>119779007</v>
      </c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>
        <v>0</v>
      </c>
      <c r="BO266" s="60"/>
      <c r="BP266" s="61">
        <v>119779007</v>
      </c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>
        <v>0</v>
      </c>
      <c r="CD266" s="61"/>
      <c r="CE266" s="61"/>
      <c r="CF266" s="61"/>
      <c r="CG266" s="61">
        <f t="shared" si="38"/>
        <v>119779007</v>
      </c>
      <c r="CH266" s="62"/>
      <c r="CI266" s="62">
        <f t="shared" si="39"/>
        <v>119779007</v>
      </c>
      <c r="CJ266" s="63">
        <f t="shared" si="40"/>
        <v>119779007</v>
      </c>
      <c r="CK266" s="64">
        <f t="shared" si="41"/>
        <v>0</v>
      </c>
      <c r="CL266" s="16"/>
      <c r="CM266" s="16"/>
      <c r="CN266" s="16"/>
    </row>
    <row r="267" spans="1:96" ht="15" customHeight="1" x14ac:dyDescent="0.2">
      <c r="A267" s="1">
        <v>8000132377</v>
      </c>
      <c r="B267" s="1">
        <v>800013237</v>
      </c>
      <c r="C267" s="9">
        <v>212354223</v>
      </c>
      <c r="D267" s="10" t="s">
        <v>760</v>
      </c>
      <c r="E267" s="45" t="s">
        <v>1778</v>
      </c>
      <c r="F267" s="21"/>
      <c r="G267" s="59"/>
      <c r="H267" s="21"/>
      <c r="I267" s="59"/>
      <c r="J267" s="21"/>
      <c r="K267" s="21"/>
      <c r="L267" s="59"/>
      <c r="M267" s="60"/>
      <c r="N267" s="21"/>
      <c r="O267" s="59"/>
      <c r="P267" s="21"/>
      <c r="Q267" s="59"/>
      <c r="R267" s="21"/>
      <c r="S267" s="21"/>
      <c r="T267" s="59"/>
      <c r="U267" s="60">
        <f t="shared" si="36"/>
        <v>0</v>
      </c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>
        <v>68459580</v>
      </c>
      <c r="AZ267" s="60"/>
      <c r="BA267" s="60">
        <f>VLOOKUP(B267,[2]Hoja3!J$3:K$674,2,0)</f>
        <v>127312121</v>
      </c>
      <c r="BB267" s="60"/>
      <c r="BC267" s="61">
        <f t="shared" si="37"/>
        <v>195771701</v>
      </c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>
        <v>13691916</v>
      </c>
      <c r="BO267" s="60"/>
      <c r="BP267" s="61">
        <v>209463617</v>
      </c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>
        <v>13691916</v>
      </c>
      <c r="CD267" s="61"/>
      <c r="CE267" s="61"/>
      <c r="CF267" s="61"/>
      <c r="CG267" s="61">
        <f t="shared" si="38"/>
        <v>223155533</v>
      </c>
      <c r="CH267" s="62">
        <f>VLOOKUP(B267,[1]RPTNCT049_ConsultaSaldosContabl!I$4:K$7987,3,0)</f>
        <v>95843412</v>
      </c>
      <c r="CI267" s="62">
        <f t="shared" si="39"/>
        <v>127312121</v>
      </c>
      <c r="CJ267" s="63">
        <f t="shared" si="40"/>
        <v>223155533</v>
      </c>
      <c r="CK267" s="64">
        <f t="shared" si="41"/>
        <v>0</v>
      </c>
      <c r="CL267" s="16"/>
      <c r="CM267" s="16"/>
      <c r="CN267" s="16"/>
    </row>
    <row r="268" spans="1:96" ht="15" customHeight="1" x14ac:dyDescent="0.2">
      <c r="A268" s="1">
        <v>8918557697</v>
      </c>
      <c r="B268" s="1">
        <v>891855769</v>
      </c>
      <c r="C268" s="9">
        <v>212615226</v>
      </c>
      <c r="D268" s="10" t="s">
        <v>244</v>
      </c>
      <c r="E268" s="45" t="s">
        <v>1279</v>
      </c>
      <c r="F268" s="21"/>
      <c r="G268" s="59"/>
      <c r="H268" s="21"/>
      <c r="I268" s="59"/>
      <c r="J268" s="21"/>
      <c r="K268" s="21"/>
      <c r="L268" s="59"/>
      <c r="M268" s="60"/>
      <c r="N268" s="21"/>
      <c r="O268" s="59"/>
      <c r="P268" s="21"/>
      <c r="Q268" s="59"/>
      <c r="R268" s="21"/>
      <c r="S268" s="21"/>
      <c r="T268" s="59"/>
      <c r="U268" s="60">
        <f t="shared" si="36"/>
        <v>0</v>
      </c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>
        <v>12745020</v>
      </c>
      <c r="AZ268" s="60"/>
      <c r="BA268" s="60">
        <f>VLOOKUP(B268,[2]Hoja3!J$3:K$674,2,0)</f>
        <v>28914032</v>
      </c>
      <c r="BB268" s="60"/>
      <c r="BC268" s="61">
        <f t="shared" si="37"/>
        <v>41659052</v>
      </c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>
        <v>2549004</v>
      </c>
      <c r="BO268" s="60"/>
      <c r="BP268" s="61">
        <v>44208056</v>
      </c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>
        <v>2549004</v>
      </c>
      <c r="CD268" s="61"/>
      <c r="CE268" s="61"/>
      <c r="CF268" s="61"/>
      <c r="CG268" s="61">
        <f t="shared" si="38"/>
        <v>46757060</v>
      </c>
      <c r="CH268" s="62">
        <f>VLOOKUP(B268,[1]RPTNCT049_ConsultaSaldosContabl!I$4:K$7987,3,0)</f>
        <v>17843028</v>
      </c>
      <c r="CI268" s="62">
        <f t="shared" si="39"/>
        <v>28914032</v>
      </c>
      <c r="CJ268" s="63">
        <f t="shared" si="40"/>
        <v>46757060</v>
      </c>
      <c r="CK268" s="64">
        <f t="shared" si="41"/>
        <v>0</v>
      </c>
      <c r="CL268" s="16"/>
      <c r="CM268" s="16"/>
      <c r="CN268" s="8"/>
      <c r="CO268" s="8"/>
      <c r="CP268" s="8"/>
      <c r="CQ268" s="8"/>
      <c r="CR268" s="8"/>
    </row>
    <row r="269" spans="1:96" ht="15" customHeight="1" x14ac:dyDescent="0.2">
      <c r="A269" s="1">
        <v>8920991849</v>
      </c>
      <c r="B269" s="1">
        <v>892099184</v>
      </c>
      <c r="C269" s="9">
        <v>212650226</v>
      </c>
      <c r="D269" s="10" t="s">
        <v>670</v>
      </c>
      <c r="E269" s="45" t="s">
        <v>1691</v>
      </c>
      <c r="F269" s="21"/>
      <c r="G269" s="59"/>
      <c r="H269" s="21"/>
      <c r="I269" s="59"/>
      <c r="J269" s="21"/>
      <c r="K269" s="21"/>
      <c r="L269" s="59"/>
      <c r="M269" s="60"/>
      <c r="N269" s="21"/>
      <c r="O269" s="59"/>
      <c r="P269" s="21"/>
      <c r="Q269" s="59"/>
      <c r="R269" s="21"/>
      <c r="S269" s="21"/>
      <c r="T269" s="59"/>
      <c r="U269" s="60">
        <f t="shared" si="36"/>
        <v>0</v>
      </c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>
        <v>370202217</v>
      </c>
      <c r="AN269" s="60">
        <f t="shared" ref="AN269:AN274" si="42">SUBTOTAL(9,AC269:AM269)</f>
        <v>370202217</v>
      </c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>
        <v>122880145</v>
      </c>
      <c r="AZ269" s="60"/>
      <c r="BA269" s="60"/>
      <c r="BB269" s="60"/>
      <c r="BC269" s="61">
        <f t="shared" si="37"/>
        <v>493082362</v>
      </c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>
        <v>24576029</v>
      </c>
      <c r="BO269" s="60"/>
      <c r="BP269" s="61">
        <v>517658391</v>
      </c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>
        <v>24576029</v>
      </c>
      <c r="CD269" s="61"/>
      <c r="CE269" s="61"/>
      <c r="CF269" s="61"/>
      <c r="CG269" s="61">
        <f t="shared" si="38"/>
        <v>542234420</v>
      </c>
      <c r="CH269" s="62">
        <f>VLOOKUP(B269,[1]RPTNCT049_ConsultaSaldosContabl!I$4:K$7987,3,0)</f>
        <v>172032203</v>
      </c>
      <c r="CI269" s="62">
        <f t="shared" si="39"/>
        <v>370202217</v>
      </c>
      <c r="CJ269" s="63">
        <f t="shared" si="40"/>
        <v>542234420</v>
      </c>
      <c r="CK269" s="64">
        <f t="shared" si="41"/>
        <v>0</v>
      </c>
      <c r="CL269" s="16"/>
      <c r="CM269" s="16"/>
      <c r="CN269" s="16"/>
    </row>
    <row r="270" spans="1:96" ht="15" customHeight="1" x14ac:dyDescent="0.2">
      <c r="A270" s="1">
        <v>8420000171</v>
      </c>
      <c r="B270" s="1">
        <v>842000017</v>
      </c>
      <c r="C270" s="9">
        <v>217399773</v>
      </c>
      <c r="D270" s="10" t="s">
        <v>1000</v>
      </c>
      <c r="E270" s="45" t="s">
        <v>2057</v>
      </c>
      <c r="F270" s="21"/>
      <c r="G270" s="59"/>
      <c r="H270" s="21"/>
      <c r="I270" s="59"/>
      <c r="J270" s="21"/>
      <c r="K270" s="21"/>
      <c r="L270" s="59"/>
      <c r="M270" s="60"/>
      <c r="N270" s="21"/>
      <c r="O270" s="59"/>
      <c r="P270" s="21"/>
      <c r="Q270" s="59"/>
      <c r="R270" s="21"/>
      <c r="S270" s="21"/>
      <c r="T270" s="59"/>
      <c r="U270" s="60">
        <f t="shared" si="36"/>
        <v>0</v>
      </c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>
        <v>402976569</v>
      </c>
      <c r="AN270" s="60">
        <f t="shared" si="42"/>
        <v>402976569</v>
      </c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>
        <v>637531625</v>
      </c>
      <c r="AZ270" s="60"/>
      <c r="BA270" s="60">
        <f>VLOOKUP(B270,[2]Hoja3!J$3:K$674,2,0)</f>
        <v>461717015</v>
      </c>
      <c r="BB270" s="60"/>
      <c r="BC270" s="61">
        <f t="shared" si="37"/>
        <v>1502225209</v>
      </c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>
        <v>127506325</v>
      </c>
      <c r="BO270" s="60"/>
      <c r="BP270" s="61">
        <v>1629731534</v>
      </c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>
        <v>127506325</v>
      </c>
      <c r="CD270" s="61"/>
      <c r="CE270" s="61"/>
      <c r="CF270" s="61"/>
      <c r="CG270" s="61">
        <f t="shared" si="38"/>
        <v>1757237859</v>
      </c>
      <c r="CH270" s="62">
        <f>VLOOKUP(B270,[1]RPTNCT049_ConsultaSaldosContabl!I$4:K$7987,3,0)</f>
        <v>892544275</v>
      </c>
      <c r="CI270" s="62">
        <f t="shared" si="39"/>
        <v>864693584</v>
      </c>
      <c r="CJ270" s="63">
        <f t="shared" si="40"/>
        <v>1757237859</v>
      </c>
      <c r="CK270" s="64">
        <f t="shared" si="41"/>
        <v>0</v>
      </c>
      <c r="CL270" s="16"/>
      <c r="CM270" s="16"/>
      <c r="CN270" s="16"/>
    </row>
    <row r="271" spans="1:96" ht="15" customHeight="1" x14ac:dyDescent="0.2">
      <c r="A271" s="1">
        <v>8000990663</v>
      </c>
      <c r="B271" s="1">
        <v>800099066</v>
      </c>
      <c r="C271" s="9">
        <v>212752227</v>
      </c>
      <c r="D271" s="10" t="s">
        <v>703</v>
      </c>
      <c r="E271" s="45" t="s">
        <v>1725</v>
      </c>
      <c r="F271" s="21"/>
      <c r="G271" s="59"/>
      <c r="H271" s="21"/>
      <c r="I271" s="59"/>
      <c r="J271" s="21"/>
      <c r="K271" s="21"/>
      <c r="L271" s="59"/>
      <c r="M271" s="60"/>
      <c r="N271" s="21"/>
      <c r="O271" s="59"/>
      <c r="P271" s="21"/>
      <c r="Q271" s="59"/>
      <c r="R271" s="21"/>
      <c r="S271" s="21"/>
      <c r="T271" s="59"/>
      <c r="U271" s="60">
        <f t="shared" si="36"/>
        <v>0</v>
      </c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>
        <v>231407341</v>
      </c>
      <c r="AN271" s="60">
        <f t="shared" si="42"/>
        <v>231407341</v>
      </c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>
        <v>260568575</v>
      </c>
      <c r="AZ271" s="60"/>
      <c r="BA271" s="60">
        <f>VLOOKUP(B271,[2]Hoja3!J$3:K$674,2,0)</f>
        <v>326386072</v>
      </c>
      <c r="BB271" s="60"/>
      <c r="BC271" s="61">
        <f t="shared" si="37"/>
        <v>818361988</v>
      </c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>
        <v>52113715</v>
      </c>
      <c r="BO271" s="60"/>
      <c r="BP271" s="61">
        <v>870475703</v>
      </c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>
        <v>52113715</v>
      </c>
      <c r="CD271" s="61"/>
      <c r="CE271" s="61"/>
      <c r="CF271" s="61"/>
      <c r="CG271" s="61">
        <f t="shared" si="38"/>
        <v>922589418</v>
      </c>
      <c r="CH271" s="62">
        <f>VLOOKUP(B271,[1]RPTNCT049_ConsultaSaldosContabl!I$4:K$7987,3,0)</f>
        <v>364796005</v>
      </c>
      <c r="CI271" s="62">
        <f t="shared" si="39"/>
        <v>557793413</v>
      </c>
      <c r="CJ271" s="63">
        <f t="shared" si="40"/>
        <v>922589418</v>
      </c>
      <c r="CK271" s="64">
        <f t="shared" si="41"/>
        <v>0</v>
      </c>
      <c r="CL271" s="16"/>
      <c r="CM271" s="16"/>
      <c r="CN271" s="16"/>
    </row>
    <row r="272" spans="1:96" ht="15" customHeight="1" x14ac:dyDescent="0.2">
      <c r="A272" s="1">
        <v>8000990728</v>
      </c>
      <c r="B272" s="1">
        <v>800099072</v>
      </c>
      <c r="C272" s="9">
        <v>213352233</v>
      </c>
      <c r="D272" s="10" t="s">
        <v>704</v>
      </c>
      <c r="E272" s="45" t="s">
        <v>1726</v>
      </c>
      <c r="F272" s="21"/>
      <c r="G272" s="59"/>
      <c r="H272" s="21"/>
      <c r="I272" s="59"/>
      <c r="J272" s="21"/>
      <c r="K272" s="21"/>
      <c r="L272" s="59"/>
      <c r="M272" s="60"/>
      <c r="N272" s="21"/>
      <c r="O272" s="59"/>
      <c r="P272" s="21"/>
      <c r="Q272" s="59"/>
      <c r="R272" s="21"/>
      <c r="S272" s="21"/>
      <c r="T272" s="59"/>
      <c r="U272" s="60">
        <f t="shared" si="36"/>
        <v>0</v>
      </c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>
        <v>68770184</v>
      </c>
      <c r="AN272" s="60">
        <f t="shared" si="42"/>
        <v>68770184</v>
      </c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>
        <f>VLOOKUP(B272,[2]Hoja3!J$3:K$674,2,0)</f>
        <v>49290569</v>
      </c>
      <c r="BB272" s="60"/>
      <c r="BC272" s="61">
        <f t="shared" si="37"/>
        <v>118060753</v>
      </c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>
        <v>0</v>
      </c>
      <c r="BO272" s="60"/>
      <c r="BP272" s="61">
        <v>118060753</v>
      </c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>
        <v>0</v>
      </c>
      <c r="CD272" s="61"/>
      <c r="CE272" s="61"/>
      <c r="CF272" s="61"/>
      <c r="CG272" s="61">
        <f t="shared" si="38"/>
        <v>118060753</v>
      </c>
      <c r="CH272" s="62"/>
      <c r="CI272" s="62">
        <f t="shared" si="39"/>
        <v>118060753</v>
      </c>
      <c r="CJ272" s="63">
        <f t="shared" si="40"/>
        <v>118060753</v>
      </c>
      <c r="CK272" s="64">
        <f t="shared" si="41"/>
        <v>0</v>
      </c>
      <c r="CL272" s="16"/>
      <c r="CM272" s="16"/>
      <c r="CN272" s="16"/>
    </row>
    <row r="273" spans="1:96" ht="15" customHeight="1" x14ac:dyDescent="0.2">
      <c r="A273" s="1">
        <v>8001000524</v>
      </c>
      <c r="B273" s="1">
        <v>800100052</v>
      </c>
      <c r="C273" s="9">
        <v>212673226</v>
      </c>
      <c r="D273" s="10" t="s">
        <v>2213</v>
      </c>
      <c r="E273" s="45" t="s">
        <v>1940</v>
      </c>
      <c r="F273" s="21"/>
      <c r="G273" s="59"/>
      <c r="H273" s="21"/>
      <c r="I273" s="59"/>
      <c r="J273" s="21"/>
      <c r="K273" s="21"/>
      <c r="L273" s="59"/>
      <c r="M273" s="60"/>
      <c r="N273" s="21"/>
      <c r="O273" s="59"/>
      <c r="P273" s="21"/>
      <c r="Q273" s="59"/>
      <c r="R273" s="21"/>
      <c r="S273" s="21"/>
      <c r="T273" s="59"/>
      <c r="U273" s="60">
        <f t="shared" si="36"/>
        <v>0</v>
      </c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>
        <v>81370628</v>
      </c>
      <c r="AN273" s="60">
        <f t="shared" si="42"/>
        <v>81370628</v>
      </c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>
        <v>69758500</v>
      </c>
      <c r="AZ273" s="60"/>
      <c r="BA273" s="60">
        <f>VLOOKUP(B273,[2]Hoja3!J$3:K$674,2,0)</f>
        <v>80517913</v>
      </c>
      <c r="BB273" s="60"/>
      <c r="BC273" s="61">
        <f t="shared" si="37"/>
        <v>231647041</v>
      </c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>
        <v>13951700</v>
      </c>
      <c r="BO273" s="60"/>
      <c r="BP273" s="61">
        <v>245598741</v>
      </c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>
        <v>13951700</v>
      </c>
      <c r="CD273" s="61"/>
      <c r="CE273" s="61"/>
      <c r="CF273" s="61"/>
      <c r="CG273" s="61">
        <f t="shared" si="38"/>
        <v>259550441</v>
      </c>
      <c r="CH273" s="62">
        <f>VLOOKUP(B273,[1]RPTNCT049_ConsultaSaldosContabl!I$4:K$7987,3,0)</f>
        <v>97661900</v>
      </c>
      <c r="CI273" s="62">
        <f t="shared" si="39"/>
        <v>161888541</v>
      </c>
      <c r="CJ273" s="63">
        <f t="shared" si="40"/>
        <v>259550441</v>
      </c>
      <c r="CK273" s="64">
        <f t="shared" si="41"/>
        <v>0</v>
      </c>
      <c r="CL273" s="16"/>
      <c r="CM273" s="16"/>
      <c r="CN273" s="16"/>
    </row>
    <row r="274" spans="1:96" ht="15" customHeight="1" x14ac:dyDescent="0.2">
      <c r="A274" s="1">
        <v>8000957576</v>
      </c>
      <c r="B274" s="1">
        <v>800095757</v>
      </c>
      <c r="C274" s="9">
        <v>210518205</v>
      </c>
      <c r="D274" s="10" t="s">
        <v>364</v>
      </c>
      <c r="E274" s="45" t="s">
        <v>1394</v>
      </c>
      <c r="F274" s="21"/>
      <c r="G274" s="59"/>
      <c r="H274" s="21"/>
      <c r="I274" s="59"/>
      <c r="J274" s="21"/>
      <c r="K274" s="21"/>
      <c r="L274" s="59"/>
      <c r="M274" s="60"/>
      <c r="N274" s="21"/>
      <c r="O274" s="59"/>
      <c r="P274" s="21"/>
      <c r="Q274" s="59"/>
      <c r="R274" s="21"/>
      <c r="S274" s="21"/>
      <c r="T274" s="59"/>
      <c r="U274" s="60">
        <f t="shared" si="36"/>
        <v>0</v>
      </c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>
        <v>146362696</v>
      </c>
      <c r="AN274" s="60">
        <f t="shared" si="42"/>
        <v>146362696</v>
      </c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>
        <f>VLOOKUP(B274,[2]Hoja3!J$3:K$674,2,0)</f>
        <v>13061034</v>
      </c>
      <c r="BB274" s="60"/>
      <c r="BC274" s="61">
        <f t="shared" si="37"/>
        <v>159423730</v>
      </c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>
        <v>0</v>
      </c>
      <c r="BO274" s="60"/>
      <c r="BP274" s="61">
        <v>159423730</v>
      </c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>
        <v>137076093</v>
      </c>
      <c r="CD274" s="61"/>
      <c r="CE274" s="61"/>
      <c r="CF274" s="61"/>
      <c r="CG274" s="61">
        <f t="shared" si="38"/>
        <v>296499823</v>
      </c>
      <c r="CH274" s="62">
        <f>VLOOKUP(B274,[1]RPTNCT049_ConsultaSaldosContabl!I$4:K$7987,3,0)</f>
        <v>137076093</v>
      </c>
      <c r="CI274" s="62">
        <f t="shared" si="39"/>
        <v>159423730</v>
      </c>
      <c r="CJ274" s="63">
        <f t="shared" si="40"/>
        <v>296499823</v>
      </c>
      <c r="CK274" s="64">
        <f t="shared" si="41"/>
        <v>0</v>
      </c>
      <c r="CL274" s="16"/>
      <c r="CM274" s="16"/>
      <c r="CN274" s="16"/>
    </row>
    <row r="275" spans="1:96" ht="15" customHeight="1" x14ac:dyDescent="0.2">
      <c r="A275" s="1">
        <v>8000994895</v>
      </c>
      <c r="B275" s="1">
        <v>800099489</v>
      </c>
      <c r="C275" s="9">
        <v>212968229</v>
      </c>
      <c r="D275" s="10" t="s">
        <v>834</v>
      </c>
      <c r="E275" s="45" t="s">
        <v>1831</v>
      </c>
      <c r="F275" s="21"/>
      <c r="G275" s="59"/>
      <c r="H275" s="21"/>
      <c r="I275" s="59"/>
      <c r="J275" s="21"/>
      <c r="K275" s="21"/>
      <c r="L275" s="59"/>
      <c r="M275" s="60"/>
      <c r="N275" s="21"/>
      <c r="O275" s="59"/>
      <c r="P275" s="21"/>
      <c r="Q275" s="59"/>
      <c r="R275" s="21"/>
      <c r="S275" s="21"/>
      <c r="T275" s="59"/>
      <c r="U275" s="60">
        <f t="shared" si="36"/>
        <v>0</v>
      </c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>
        <v>85170645</v>
      </c>
      <c r="AZ275" s="60"/>
      <c r="BA275" s="60">
        <f>VLOOKUP(B275,[2]Hoja3!J$3:K$674,2,0)</f>
        <v>169711582</v>
      </c>
      <c r="BB275" s="60"/>
      <c r="BC275" s="61">
        <f t="shared" si="37"/>
        <v>254882227</v>
      </c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>
        <v>17034129</v>
      </c>
      <c r="BO275" s="60"/>
      <c r="BP275" s="61">
        <v>271916356</v>
      </c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>
        <v>17034129</v>
      </c>
      <c r="CD275" s="61"/>
      <c r="CE275" s="61"/>
      <c r="CF275" s="61"/>
      <c r="CG275" s="61">
        <f t="shared" si="38"/>
        <v>288950485</v>
      </c>
      <c r="CH275" s="62">
        <f>VLOOKUP(B275,[1]RPTNCT049_ConsultaSaldosContabl!I$4:K$7987,3,0)</f>
        <v>119238903</v>
      </c>
      <c r="CI275" s="62">
        <f t="shared" si="39"/>
        <v>169711582</v>
      </c>
      <c r="CJ275" s="63">
        <f t="shared" si="40"/>
        <v>288950485</v>
      </c>
      <c r="CK275" s="64">
        <f t="shared" si="41"/>
        <v>0</v>
      </c>
      <c r="CL275" s="16"/>
      <c r="CM275" s="16"/>
      <c r="CN275" s="16"/>
    </row>
    <row r="276" spans="1:96" ht="15" customHeight="1" x14ac:dyDescent="0.2">
      <c r="A276" s="1">
        <v>8000965804</v>
      </c>
      <c r="B276" s="1">
        <v>800096580</v>
      </c>
      <c r="C276" s="9">
        <v>212820228</v>
      </c>
      <c r="D276" s="10" t="s">
        <v>420</v>
      </c>
      <c r="E276" s="45" t="s">
        <v>1448</v>
      </c>
      <c r="F276" s="21"/>
      <c r="G276" s="59"/>
      <c r="H276" s="21"/>
      <c r="I276" s="59"/>
      <c r="J276" s="21"/>
      <c r="K276" s="21"/>
      <c r="L276" s="59"/>
      <c r="M276" s="60"/>
      <c r="N276" s="21"/>
      <c r="O276" s="59"/>
      <c r="P276" s="21"/>
      <c r="Q276" s="59"/>
      <c r="R276" s="21"/>
      <c r="S276" s="21"/>
      <c r="T276" s="59"/>
      <c r="U276" s="60">
        <f t="shared" si="36"/>
        <v>0</v>
      </c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>
        <v>612080956</v>
      </c>
      <c r="AN276" s="60">
        <f>SUBTOTAL(9,AC276:AM276)</f>
        <v>612080956</v>
      </c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>
        <v>327236845</v>
      </c>
      <c r="AZ276" s="60"/>
      <c r="BA276" s="60"/>
      <c r="BB276" s="60"/>
      <c r="BC276" s="61">
        <f t="shared" si="37"/>
        <v>939317801</v>
      </c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>
        <v>65447369</v>
      </c>
      <c r="BO276" s="60"/>
      <c r="BP276" s="61">
        <v>1004765170</v>
      </c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>
        <v>65447369</v>
      </c>
      <c r="CD276" s="61"/>
      <c r="CE276" s="61"/>
      <c r="CF276" s="61"/>
      <c r="CG276" s="61">
        <f t="shared" si="38"/>
        <v>1070212539</v>
      </c>
      <c r="CH276" s="62">
        <f>VLOOKUP(B276,[1]RPTNCT049_ConsultaSaldosContabl!I$4:K$7987,3,0)</f>
        <v>458131583</v>
      </c>
      <c r="CI276" s="62">
        <f t="shared" si="39"/>
        <v>612080956</v>
      </c>
      <c r="CJ276" s="63">
        <f t="shared" si="40"/>
        <v>1070212539</v>
      </c>
      <c r="CK276" s="64">
        <f t="shared" si="41"/>
        <v>0</v>
      </c>
      <c r="CL276" s="16"/>
      <c r="CM276" s="16"/>
      <c r="CN276" s="16"/>
    </row>
    <row r="277" spans="1:96" ht="15" customHeight="1" x14ac:dyDescent="0.2">
      <c r="A277" s="1">
        <v>8909800945</v>
      </c>
      <c r="B277" s="1">
        <v>890980094</v>
      </c>
      <c r="C277" s="9">
        <v>213405234</v>
      </c>
      <c r="D277" s="10" t="s">
        <v>82</v>
      </c>
      <c r="E277" s="45" t="s">
        <v>1113</v>
      </c>
      <c r="F277" s="21"/>
      <c r="G277" s="59"/>
      <c r="H277" s="21"/>
      <c r="I277" s="59"/>
      <c r="J277" s="21"/>
      <c r="K277" s="21"/>
      <c r="L277" s="59"/>
      <c r="M277" s="60"/>
      <c r="N277" s="21"/>
      <c r="O277" s="59"/>
      <c r="P277" s="21"/>
      <c r="Q277" s="59"/>
      <c r="R277" s="21"/>
      <c r="S277" s="21"/>
      <c r="T277" s="59"/>
      <c r="U277" s="60">
        <f t="shared" si="36"/>
        <v>0</v>
      </c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>
        <v>264282305</v>
      </c>
      <c r="AZ277" s="60"/>
      <c r="BA277" s="60">
        <f>VLOOKUP(B277,[2]Hoja3!J$3:K$674,2,0)</f>
        <v>371537160</v>
      </c>
      <c r="BB277" s="60"/>
      <c r="BC277" s="61">
        <f t="shared" si="37"/>
        <v>635819465</v>
      </c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>
        <v>52856461</v>
      </c>
      <c r="BO277" s="60"/>
      <c r="BP277" s="61">
        <v>688675926</v>
      </c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>
        <v>52856461</v>
      </c>
      <c r="CD277" s="61"/>
      <c r="CE277" s="61"/>
      <c r="CF277" s="61"/>
      <c r="CG277" s="61">
        <f t="shared" si="38"/>
        <v>741532387</v>
      </c>
      <c r="CH277" s="62">
        <f>VLOOKUP(B277,[1]RPTNCT049_ConsultaSaldosContabl!I$4:K$7987,3,0)</f>
        <v>369995227</v>
      </c>
      <c r="CI277" s="62">
        <f t="shared" si="39"/>
        <v>371537160</v>
      </c>
      <c r="CJ277" s="63">
        <f t="shared" si="40"/>
        <v>741532387</v>
      </c>
      <c r="CK277" s="64">
        <f t="shared" si="41"/>
        <v>0</v>
      </c>
      <c r="CL277" s="16"/>
      <c r="CM277" s="16"/>
      <c r="CN277" s="16"/>
    </row>
    <row r="278" spans="1:96" ht="15" customHeight="1" x14ac:dyDescent="0.2">
      <c r="A278" s="1">
        <v>8001005145</v>
      </c>
      <c r="B278" s="1">
        <v>800100514</v>
      </c>
      <c r="C278" s="9">
        <v>213376233</v>
      </c>
      <c r="D278" s="10" t="s">
        <v>921</v>
      </c>
      <c r="E278" s="45" t="s">
        <v>1981</v>
      </c>
      <c r="F278" s="21"/>
      <c r="G278" s="59"/>
      <c r="H278" s="21"/>
      <c r="I278" s="59"/>
      <c r="J278" s="21"/>
      <c r="K278" s="21"/>
      <c r="L278" s="59"/>
      <c r="M278" s="60"/>
      <c r="N278" s="21"/>
      <c r="O278" s="59"/>
      <c r="P278" s="21"/>
      <c r="Q278" s="59"/>
      <c r="R278" s="21"/>
      <c r="S278" s="21"/>
      <c r="T278" s="59"/>
      <c r="U278" s="60">
        <f t="shared" si="36"/>
        <v>0</v>
      </c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>
        <v>234416238</v>
      </c>
      <c r="AN278" s="60">
        <f t="shared" ref="AN278:AN315" si="43">SUBTOTAL(9,AC278:AM278)</f>
        <v>234416238</v>
      </c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>
        <f>VLOOKUP(B278,[2]Hoja3!J$3:K$674,2,0)</f>
        <v>306277589</v>
      </c>
      <c r="BB278" s="60"/>
      <c r="BC278" s="61">
        <f t="shared" si="37"/>
        <v>540693827</v>
      </c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>
        <v>0</v>
      </c>
      <c r="BO278" s="60"/>
      <c r="BP278" s="61">
        <v>540693827</v>
      </c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>
        <v>0</v>
      </c>
      <c r="CD278" s="61"/>
      <c r="CE278" s="61"/>
      <c r="CF278" s="61"/>
      <c r="CG278" s="61">
        <f t="shared" si="38"/>
        <v>540693827</v>
      </c>
      <c r="CH278" s="62"/>
      <c r="CI278" s="62">
        <f t="shared" si="39"/>
        <v>540693827</v>
      </c>
      <c r="CJ278" s="63">
        <f t="shared" si="40"/>
        <v>540693827</v>
      </c>
      <c r="CK278" s="64">
        <f t="shared" si="41"/>
        <v>0</v>
      </c>
      <c r="CL278" s="16"/>
      <c r="CM278" s="16"/>
      <c r="CN278" s="16"/>
    </row>
    <row r="279" spans="1:96" ht="15" customHeight="1" x14ac:dyDescent="0.2">
      <c r="A279" s="1">
        <v>8909002860</v>
      </c>
      <c r="B279" s="1">
        <v>890900286</v>
      </c>
      <c r="C279" s="9">
        <v>110505000</v>
      </c>
      <c r="D279" s="10" t="s">
        <v>30</v>
      </c>
      <c r="E279" s="47" t="s">
        <v>1047</v>
      </c>
      <c r="F279" s="66">
        <f>58389452408+1385842877</f>
        <v>59775295285</v>
      </c>
      <c r="G279" s="59"/>
      <c r="H279" s="21">
        <v>2762877812</v>
      </c>
      <c r="I279" s="59"/>
      <c r="J279" s="21">
        <v>4291897593</v>
      </c>
      <c r="K279" s="21">
        <v>8672249525</v>
      </c>
      <c r="L279" s="59"/>
      <c r="M279" s="61">
        <f t="shared" ref="M279:M319" si="44">SUM(F279:L279)</f>
        <v>75502320215</v>
      </c>
      <c r="N279" s="21">
        <f>58489087769+629928580</f>
        <v>59119016349</v>
      </c>
      <c r="O279" s="59"/>
      <c r="P279" s="21">
        <f>VLOOKUP(A279,'[4]PENS-CANC'!A$2:B$37,2,0)</f>
        <v>2762877812</v>
      </c>
      <c r="Q279" s="59"/>
      <c r="R279" s="21">
        <v>4294745665</v>
      </c>
      <c r="S279" s="21">
        <f>4380351932+4294745665</f>
        <v>8675097597</v>
      </c>
      <c r="T279" s="59"/>
      <c r="U279" s="60">
        <f t="shared" si="36"/>
        <v>150354057638</v>
      </c>
      <c r="V279" s="60">
        <v>95171702708</v>
      </c>
      <c r="W279" s="60"/>
      <c r="X279" s="60">
        <v>2762877812</v>
      </c>
      <c r="Y279" s="60"/>
      <c r="Z279" s="60">
        <v>3964309847</v>
      </c>
      <c r="AA279" s="60">
        <v>9073528622</v>
      </c>
      <c r="AB279" s="60"/>
      <c r="AC279" s="60">
        <f t="shared" ref="AC260:AC323" si="45">SUM(U279:AB279)</f>
        <v>261326476627</v>
      </c>
      <c r="AD279" s="60">
        <v>59861203590</v>
      </c>
      <c r="AE279" s="60">
        <v>8689104450</v>
      </c>
      <c r="AF279" s="60"/>
      <c r="AG279" s="60">
        <v>2762877812</v>
      </c>
      <c r="AH279" s="60"/>
      <c r="AI279" s="60"/>
      <c r="AJ279" s="60">
        <v>4331714024</v>
      </c>
      <c r="AK279" s="60">
        <v>10938579222</v>
      </c>
      <c r="AL279" s="60"/>
      <c r="AM279" s="60"/>
      <c r="AN279" s="60">
        <f t="shared" si="43"/>
        <v>347909955725</v>
      </c>
      <c r="AO279" s="60">
        <v>58146870236</v>
      </c>
      <c r="AP279" s="60"/>
      <c r="AQ279" s="60"/>
      <c r="AR279" s="60">
        <v>2762877812</v>
      </c>
      <c r="AS279" s="60">
        <v>3180000504</v>
      </c>
      <c r="AT279" s="60"/>
      <c r="AU279" s="60"/>
      <c r="AV279" s="60">
        <v>4331714024</v>
      </c>
      <c r="AW279" s="60">
        <v>7415114548</v>
      </c>
      <c r="AX279" s="60"/>
      <c r="AY279" s="60"/>
      <c r="AZ279" s="60"/>
      <c r="BA279" s="60"/>
      <c r="BB279" s="60"/>
      <c r="BC279" s="61">
        <f t="shared" si="37"/>
        <v>423746532849</v>
      </c>
      <c r="BD279" s="60">
        <v>58205327401</v>
      </c>
      <c r="BE279" s="60">
        <v>7325499857</v>
      </c>
      <c r="BF279" s="60"/>
      <c r="BG279" s="60">
        <v>5525755624</v>
      </c>
      <c r="BH279" s="60"/>
      <c r="BI279" s="60"/>
      <c r="BJ279" s="60"/>
      <c r="BK279" s="60">
        <v>4710375904</v>
      </c>
      <c r="BL279" s="60">
        <v>13483307991</v>
      </c>
      <c r="BM279" s="60"/>
      <c r="BN279" s="60"/>
      <c r="BO279" s="60"/>
      <c r="BP279" s="61">
        <v>512996799626</v>
      </c>
      <c r="BQ279" s="61">
        <v>59701091766</v>
      </c>
      <c r="BR279" s="61">
        <v>0</v>
      </c>
      <c r="BS279" s="61"/>
      <c r="BT279" s="61">
        <v>2762877812</v>
      </c>
      <c r="BU279" s="61">
        <v>26554670515</v>
      </c>
      <c r="BV279" s="61"/>
      <c r="BW279" s="61"/>
      <c r="BX279" s="61"/>
      <c r="BY279" s="61"/>
      <c r="BZ279" s="61">
        <v>4667481929</v>
      </c>
      <c r="CA279" s="61">
        <v>12000774286</v>
      </c>
      <c r="CB279" s="61"/>
      <c r="CC279" s="61"/>
      <c r="CD279" s="61"/>
      <c r="CE279" s="61"/>
      <c r="CF279" s="61"/>
      <c r="CG279" s="61">
        <f t="shared" si="38"/>
        <v>618683695934</v>
      </c>
      <c r="CH279" s="62">
        <f>VLOOKUP(B279,[1]RPTNCT049_ConsultaSaldosContabl!I$4:K$7987,3,0)</f>
        <v>618683695934</v>
      </c>
      <c r="CI279" s="62">
        <f t="shared" si="39"/>
        <v>0</v>
      </c>
      <c r="CJ279" s="63">
        <f t="shared" si="40"/>
        <v>618683695934</v>
      </c>
      <c r="CK279" s="64">
        <f t="shared" si="41"/>
        <v>0</v>
      </c>
      <c r="CL279" s="16"/>
      <c r="CM279" s="16"/>
      <c r="CN279" s="8"/>
      <c r="CO279" s="8"/>
      <c r="CP279" s="8"/>
      <c r="CQ279" s="8"/>
      <c r="CR279" s="8"/>
    </row>
    <row r="280" spans="1:96" ht="15" customHeight="1" x14ac:dyDescent="0.2">
      <c r="A280" s="1">
        <v>8001028385</v>
      </c>
      <c r="B280" s="1">
        <v>800102838</v>
      </c>
      <c r="C280" s="9">
        <v>118181000</v>
      </c>
      <c r="D280" s="10" t="s">
        <v>14</v>
      </c>
      <c r="E280" s="47" t="s">
        <v>1021</v>
      </c>
      <c r="F280" s="21">
        <f>9080681231+151217321</f>
        <v>9231898552</v>
      </c>
      <c r="G280" s="59"/>
      <c r="H280" s="21">
        <v>35483017</v>
      </c>
      <c r="I280" s="59"/>
      <c r="J280" s="21">
        <v>636196461</v>
      </c>
      <c r="K280" s="21">
        <v>1286846544</v>
      </c>
      <c r="L280" s="59"/>
      <c r="M280" s="61">
        <f t="shared" si="44"/>
        <v>11190424574</v>
      </c>
      <c r="N280" s="21">
        <f>8776356106+68735146</f>
        <v>8845091252</v>
      </c>
      <c r="O280" s="59"/>
      <c r="P280" s="21">
        <f>VLOOKUP(A280,'[4]PENS-CANC'!A$2:B$37,2,0)</f>
        <v>35483017</v>
      </c>
      <c r="Q280" s="59"/>
      <c r="R280" s="21">
        <v>636196461</v>
      </c>
      <c r="S280" s="21">
        <f>650650083+636196461</f>
        <v>1286846544</v>
      </c>
      <c r="T280" s="59"/>
      <c r="U280" s="60">
        <f t="shared" si="36"/>
        <v>21994041848</v>
      </c>
      <c r="V280" s="60">
        <v>10930317841</v>
      </c>
      <c r="W280" s="60"/>
      <c r="X280" s="60">
        <v>35483017</v>
      </c>
      <c r="Y280" s="60"/>
      <c r="Z280" s="60">
        <v>529685887</v>
      </c>
      <c r="AA280" s="60">
        <v>1179673462</v>
      </c>
      <c r="AB280" s="60"/>
      <c r="AC280" s="60">
        <f t="shared" si="45"/>
        <v>34669202055</v>
      </c>
      <c r="AD280" s="60">
        <v>8652746537</v>
      </c>
      <c r="AE280" s="60">
        <v>853011120</v>
      </c>
      <c r="AF280" s="60"/>
      <c r="AG280" s="60">
        <v>35483017</v>
      </c>
      <c r="AH280" s="60"/>
      <c r="AI280" s="60"/>
      <c r="AJ280" s="60">
        <v>590234599</v>
      </c>
      <c r="AK280" s="60">
        <v>1487902940</v>
      </c>
      <c r="AL280" s="60"/>
      <c r="AM280" s="60"/>
      <c r="AN280" s="60">
        <f t="shared" si="43"/>
        <v>46288580268</v>
      </c>
      <c r="AO280" s="60">
        <v>8652746537</v>
      </c>
      <c r="AP280" s="60"/>
      <c r="AQ280" s="60"/>
      <c r="AR280" s="60">
        <v>35483017</v>
      </c>
      <c r="AS280" s="60">
        <v>0</v>
      </c>
      <c r="AT280" s="60"/>
      <c r="AU280" s="60"/>
      <c r="AV280" s="60">
        <v>590234599</v>
      </c>
      <c r="AW280" s="60">
        <v>1009455404</v>
      </c>
      <c r="AX280" s="60"/>
      <c r="AY280" s="60"/>
      <c r="AZ280" s="60"/>
      <c r="BA280" s="60"/>
      <c r="BB280" s="60"/>
      <c r="BC280" s="61">
        <f t="shared" si="37"/>
        <v>56576499825</v>
      </c>
      <c r="BD280" s="60">
        <v>9469371750</v>
      </c>
      <c r="BE280" s="60">
        <v>1007967205</v>
      </c>
      <c r="BF280" s="60"/>
      <c r="BG280" s="60">
        <v>70966034</v>
      </c>
      <c r="BH280" s="60"/>
      <c r="BI280" s="60"/>
      <c r="BJ280" s="60"/>
      <c r="BK280" s="60">
        <v>882614129</v>
      </c>
      <c r="BL280" s="60">
        <v>2149243619</v>
      </c>
      <c r="BM280" s="60"/>
      <c r="BN280" s="60"/>
      <c r="BO280" s="60"/>
      <c r="BP280" s="61">
        <v>70156662562</v>
      </c>
      <c r="BQ280" s="61">
        <v>9487792590</v>
      </c>
      <c r="BR280" s="61">
        <v>0</v>
      </c>
      <c r="BS280" s="61"/>
      <c r="BT280" s="61">
        <v>35483017</v>
      </c>
      <c r="BU280" s="61">
        <v>4181758580</v>
      </c>
      <c r="BV280" s="61"/>
      <c r="BW280" s="61"/>
      <c r="BX280" s="61"/>
      <c r="BY280" s="61"/>
      <c r="BZ280" s="61">
        <v>656030108</v>
      </c>
      <c r="CA280" s="61">
        <v>1736097813</v>
      </c>
      <c r="CB280" s="61"/>
      <c r="CC280" s="61"/>
      <c r="CD280" s="61"/>
      <c r="CE280" s="61"/>
      <c r="CF280" s="61"/>
      <c r="CG280" s="61">
        <f t="shared" si="38"/>
        <v>86253824670</v>
      </c>
      <c r="CH280" s="62">
        <f>VLOOKUP(B280,[1]RPTNCT049_ConsultaSaldosContabl!I$4:K$7987,3,0)</f>
        <v>86253824670</v>
      </c>
      <c r="CI280" s="62">
        <f t="shared" si="39"/>
        <v>0</v>
      </c>
      <c r="CJ280" s="63">
        <f t="shared" si="40"/>
        <v>86253824670</v>
      </c>
      <c r="CK280" s="64">
        <f t="shared" si="41"/>
        <v>0</v>
      </c>
      <c r="CL280" s="16"/>
      <c r="CM280" s="16"/>
      <c r="CN280" s="8"/>
      <c r="CO280" s="8"/>
      <c r="CP280" s="8"/>
      <c r="CQ280" s="8"/>
      <c r="CR280" s="8"/>
    </row>
    <row r="281" spans="1:96" ht="15" customHeight="1" x14ac:dyDescent="0.2">
      <c r="A281" s="1">
        <v>8904800591</v>
      </c>
      <c r="B281" s="1">
        <v>890480059</v>
      </c>
      <c r="C281" s="9">
        <v>111313000</v>
      </c>
      <c r="D281" s="10" t="s">
        <v>28</v>
      </c>
      <c r="E281" s="47" t="s">
        <v>1040</v>
      </c>
      <c r="F281" s="66">
        <f>32026659376+503365467</f>
        <v>32530024843</v>
      </c>
      <c r="G281" s="59"/>
      <c r="H281" s="21">
        <v>985171409</v>
      </c>
      <c r="I281" s="59"/>
      <c r="J281" s="21">
        <v>2332436867</v>
      </c>
      <c r="K281" s="21">
        <v>4734662380</v>
      </c>
      <c r="L281" s="59"/>
      <c r="M281" s="61">
        <f t="shared" si="44"/>
        <v>40582295499</v>
      </c>
      <c r="N281" s="21">
        <f>31955482129+228802485</f>
        <v>32184284614</v>
      </c>
      <c r="O281" s="59"/>
      <c r="P281" s="21">
        <f>VLOOKUP(A281,'[4]PENS-CANC'!A$2:B$37,2,0)</f>
        <v>985171409</v>
      </c>
      <c r="Q281" s="59"/>
      <c r="R281" s="21">
        <v>2333120125</v>
      </c>
      <c r="S281" s="21">
        <f>2402225513+2333120125</f>
        <v>4735345638</v>
      </c>
      <c r="T281" s="59"/>
      <c r="U281" s="60">
        <f t="shared" si="36"/>
        <v>80820217285</v>
      </c>
      <c r="V281" s="60">
        <v>46029005212</v>
      </c>
      <c r="W281" s="60"/>
      <c r="X281" s="60">
        <v>985171409</v>
      </c>
      <c r="Y281" s="60"/>
      <c r="Z281" s="60">
        <v>2274233432</v>
      </c>
      <c r="AA281" s="60">
        <v>5145670009</v>
      </c>
      <c r="AB281" s="60"/>
      <c r="AC281" s="60">
        <f t="shared" si="45"/>
        <v>135254297347</v>
      </c>
      <c r="AD281" s="60">
        <v>33394833721</v>
      </c>
      <c r="AE281" s="60">
        <v>2821811415</v>
      </c>
      <c r="AF281" s="60"/>
      <c r="AG281" s="60">
        <v>985171409</v>
      </c>
      <c r="AH281" s="60"/>
      <c r="AI281" s="60"/>
      <c r="AJ281" s="60">
        <v>2351267189</v>
      </c>
      <c r="AK281" s="60">
        <v>5942486649</v>
      </c>
      <c r="AL281" s="60"/>
      <c r="AM281" s="60"/>
      <c r="AN281" s="60">
        <f t="shared" si="43"/>
        <v>180749867730</v>
      </c>
      <c r="AO281" s="60">
        <v>33394833721</v>
      </c>
      <c r="AP281" s="60"/>
      <c r="AQ281" s="60"/>
      <c r="AR281" s="60">
        <v>985171409</v>
      </c>
      <c r="AS281" s="60">
        <v>0</v>
      </c>
      <c r="AT281" s="60"/>
      <c r="AU281" s="60"/>
      <c r="AV281" s="60">
        <v>2351267189</v>
      </c>
      <c r="AW281" s="60">
        <v>4028210797</v>
      </c>
      <c r="AX281" s="60"/>
      <c r="AY281" s="60"/>
      <c r="AZ281" s="60"/>
      <c r="BA281" s="60"/>
      <c r="BB281" s="60"/>
      <c r="BC281" s="61">
        <f t="shared" si="37"/>
        <v>221509350846</v>
      </c>
      <c r="BD281" s="60">
        <v>33665374215</v>
      </c>
      <c r="BE281" s="60">
        <v>1829209697</v>
      </c>
      <c r="BF281" s="60"/>
      <c r="BG281" s="60">
        <v>1970342818</v>
      </c>
      <c r="BH281" s="60"/>
      <c r="BI281" s="60"/>
      <c r="BJ281" s="60"/>
      <c r="BK281" s="60">
        <v>2424383744</v>
      </c>
      <c r="BL281" s="60">
        <v>6082123953</v>
      </c>
      <c r="BM281" s="60"/>
      <c r="BN281" s="60"/>
      <c r="BO281" s="60"/>
      <c r="BP281" s="61">
        <v>267480785273</v>
      </c>
      <c r="BQ281" s="61">
        <v>33893541825</v>
      </c>
      <c r="BR281" s="61">
        <v>0</v>
      </c>
      <c r="BS281" s="61"/>
      <c r="BT281" s="61">
        <v>985171409</v>
      </c>
      <c r="BU281" s="61">
        <v>14839188154</v>
      </c>
      <c r="BV281" s="61"/>
      <c r="BW281" s="61"/>
      <c r="BX281" s="61"/>
      <c r="BY281" s="61"/>
      <c r="BZ281" s="61">
        <v>2360949110</v>
      </c>
      <c r="CA281" s="61">
        <v>6320585498</v>
      </c>
      <c r="CB281" s="61"/>
      <c r="CC281" s="61"/>
      <c r="CD281" s="61"/>
      <c r="CE281" s="61"/>
      <c r="CF281" s="61"/>
      <c r="CG281" s="61">
        <f t="shared" si="38"/>
        <v>325880221269</v>
      </c>
      <c r="CH281" s="62">
        <f>VLOOKUP(B281,[1]RPTNCT049_ConsultaSaldosContabl!I$4:K$7987,3,0)</f>
        <v>325880221269</v>
      </c>
      <c r="CI281" s="62">
        <f t="shared" si="39"/>
        <v>0</v>
      </c>
      <c r="CJ281" s="63">
        <f t="shared" si="40"/>
        <v>325880221269</v>
      </c>
      <c r="CK281" s="64">
        <f t="shared" si="41"/>
        <v>0</v>
      </c>
      <c r="CL281" s="16"/>
      <c r="CM281" s="16"/>
      <c r="CN281" s="8"/>
      <c r="CO281" s="8"/>
      <c r="CP281" s="8"/>
      <c r="CQ281" s="8"/>
      <c r="CR281" s="8"/>
    </row>
    <row r="282" spans="1:96" ht="15" customHeight="1" x14ac:dyDescent="0.2">
      <c r="A282" s="1">
        <v>8918004981</v>
      </c>
      <c r="B282" s="1">
        <v>891800498</v>
      </c>
      <c r="C282" s="9">
        <v>111515000</v>
      </c>
      <c r="D282" s="10" t="s">
        <v>34</v>
      </c>
      <c r="E282" s="47" t="s">
        <v>2090</v>
      </c>
      <c r="F282" s="21">
        <f>30350471031+584388343</f>
        <v>30934859374</v>
      </c>
      <c r="G282" s="59"/>
      <c r="H282" s="21">
        <v>1803337580</v>
      </c>
      <c r="I282" s="59"/>
      <c r="J282" s="21">
        <v>1958781520</v>
      </c>
      <c r="K282" s="21">
        <v>3980764111</v>
      </c>
      <c r="L282" s="59"/>
      <c r="M282" s="61">
        <f t="shared" si="44"/>
        <v>38677742585</v>
      </c>
      <c r="N282" s="21">
        <f>30265413276+265631065</f>
        <v>30531044341</v>
      </c>
      <c r="O282" s="59"/>
      <c r="P282" s="21">
        <f>VLOOKUP(A282,'[4]PENS-CANC'!A$2:B$37,2,0)</f>
        <v>1803337580</v>
      </c>
      <c r="Q282" s="59"/>
      <c r="R282" s="21">
        <v>1958781520</v>
      </c>
      <c r="S282" s="21">
        <f>2021982591+1958781520</f>
        <v>3980764111</v>
      </c>
      <c r="T282" s="59"/>
      <c r="U282" s="60">
        <f t="shared" si="36"/>
        <v>76951670137</v>
      </c>
      <c r="V282" s="60">
        <v>39462044899</v>
      </c>
      <c r="W282" s="60"/>
      <c r="X282" s="60">
        <v>1803337580</v>
      </c>
      <c r="Y282" s="60"/>
      <c r="Z282" s="60">
        <v>1992954453</v>
      </c>
      <c r="AA282" s="60">
        <v>4273956297</v>
      </c>
      <c r="AB282" s="60"/>
      <c r="AC282" s="60">
        <f t="shared" si="45"/>
        <v>124483963366</v>
      </c>
      <c r="AD282" s="60">
        <v>29304705943</v>
      </c>
      <c r="AE282" s="60">
        <v>2685960613</v>
      </c>
      <c r="AF282" s="60"/>
      <c r="AG282" s="60">
        <v>1803337580</v>
      </c>
      <c r="AH282" s="60"/>
      <c r="AI282" s="60"/>
      <c r="AJ282" s="60">
        <v>1998552905</v>
      </c>
      <c r="AK282" s="60">
        <v>5041009858</v>
      </c>
      <c r="AL282" s="60"/>
      <c r="AM282" s="60"/>
      <c r="AN282" s="60">
        <f t="shared" si="43"/>
        <v>165317530265</v>
      </c>
      <c r="AO282" s="60">
        <v>29304705943</v>
      </c>
      <c r="AP282" s="60"/>
      <c r="AQ282" s="60"/>
      <c r="AR282" s="60">
        <v>1803337580</v>
      </c>
      <c r="AS282" s="60">
        <v>534368936</v>
      </c>
      <c r="AT282" s="60"/>
      <c r="AU282" s="60"/>
      <c r="AV282" s="60">
        <v>1998552905</v>
      </c>
      <c r="AW282" s="60">
        <v>3415019968</v>
      </c>
      <c r="AX282" s="60"/>
      <c r="AY282" s="60"/>
      <c r="AZ282" s="60"/>
      <c r="BA282" s="60"/>
      <c r="BB282" s="60"/>
      <c r="BC282" s="61">
        <f t="shared" si="37"/>
        <v>202373515597</v>
      </c>
      <c r="BD282" s="60">
        <v>30825915509</v>
      </c>
      <c r="BE282" s="60">
        <v>534368936</v>
      </c>
      <c r="BF282" s="60"/>
      <c r="BG282" s="60">
        <v>3606675160</v>
      </c>
      <c r="BH282" s="60"/>
      <c r="BI282" s="60"/>
      <c r="BJ282" s="60"/>
      <c r="BK282" s="60">
        <v>1997401317</v>
      </c>
      <c r="BL282" s="60">
        <v>5104987737</v>
      </c>
      <c r="BM282" s="60"/>
      <c r="BN282" s="60"/>
      <c r="BO282" s="60"/>
      <c r="BP282" s="61">
        <v>244442864256</v>
      </c>
      <c r="BQ282" s="61">
        <v>30779604160</v>
      </c>
      <c r="BR282" s="61">
        <v>0</v>
      </c>
      <c r="BS282" s="61"/>
      <c r="BT282" s="61">
        <v>1803337580</v>
      </c>
      <c r="BU282" s="61">
        <v>13184700947</v>
      </c>
      <c r="BV282" s="61"/>
      <c r="BW282" s="61"/>
      <c r="BX282" s="61"/>
      <c r="BY282" s="61"/>
      <c r="BZ282" s="61">
        <v>2003968550</v>
      </c>
      <c r="CA282" s="61">
        <v>5359885127</v>
      </c>
      <c r="CB282" s="61"/>
      <c r="CC282" s="61"/>
      <c r="CD282" s="61"/>
      <c r="CE282" s="61"/>
      <c r="CF282" s="61"/>
      <c r="CG282" s="61">
        <f t="shared" si="38"/>
        <v>297574360620</v>
      </c>
      <c r="CH282" s="62">
        <f>VLOOKUP(B282,[1]RPTNCT049_ConsultaSaldosContabl!I$4:K$7987,3,0)</f>
        <v>297574360620</v>
      </c>
      <c r="CI282" s="62">
        <f t="shared" si="39"/>
        <v>0</v>
      </c>
      <c r="CJ282" s="63">
        <f t="shared" si="40"/>
        <v>297574360620</v>
      </c>
      <c r="CK282" s="64">
        <f t="shared" si="41"/>
        <v>0</v>
      </c>
      <c r="CL282" s="16"/>
      <c r="CM282" s="16"/>
      <c r="CN282" s="8"/>
      <c r="CO282" s="8"/>
      <c r="CP282" s="8"/>
      <c r="CQ282" s="8"/>
      <c r="CR282" s="8"/>
    </row>
    <row r="283" spans="1:96" ht="15" customHeight="1" x14ac:dyDescent="0.2">
      <c r="A283" s="22">
        <v>8908010521</v>
      </c>
      <c r="B283" s="1">
        <v>890801052</v>
      </c>
      <c r="C283" s="9">
        <v>111717000</v>
      </c>
      <c r="D283" s="10" t="s">
        <v>29</v>
      </c>
      <c r="E283" s="47" t="s">
        <v>1045</v>
      </c>
      <c r="F283" s="21">
        <f>15593572584+428875575</f>
        <v>16022448159</v>
      </c>
      <c r="G283" s="59"/>
      <c r="H283" s="21">
        <v>0</v>
      </c>
      <c r="I283" s="59"/>
      <c r="J283" s="21">
        <v>1167545129</v>
      </c>
      <c r="K283" s="21">
        <v>2354473785</v>
      </c>
      <c r="L283" s="59"/>
      <c r="M283" s="61">
        <f t="shared" si="44"/>
        <v>19544467073</v>
      </c>
      <c r="N283" s="21">
        <f>15779474466+1991808660</f>
        <v>17771283126</v>
      </c>
      <c r="O283" s="59"/>
      <c r="P283" s="21">
        <f>VLOOKUP(A283,'[4]PENS-CANC'!A$2:B$37,2,0)</f>
        <v>0</v>
      </c>
      <c r="Q283" s="59"/>
      <c r="R283" s="21">
        <v>1184152647</v>
      </c>
      <c r="S283" s="21">
        <f>1186928656+1167545129</f>
        <v>2354473785</v>
      </c>
      <c r="T283" s="59"/>
      <c r="U283" s="60">
        <f t="shared" si="36"/>
        <v>40854376631</v>
      </c>
      <c r="V283" s="60">
        <v>22869902773</v>
      </c>
      <c r="W283" s="60"/>
      <c r="X283" s="60">
        <v>0</v>
      </c>
      <c r="Y283" s="60"/>
      <c r="Z283" s="60">
        <v>1186334175</v>
      </c>
      <c r="AA283" s="60">
        <v>2526668304</v>
      </c>
      <c r="AB283" s="60"/>
      <c r="AC283" s="60">
        <f t="shared" si="45"/>
        <v>67437281883</v>
      </c>
      <c r="AD283" s="60">
        <v>16282477813</v>
      </c>
      <c r="AE283" s="60">
        <v>2170827708</v>
      </c>
      <c r="AF283" s="60"/>
      <c r="AG283" s="60">
        <v>0</v>
      </c>
      <c r="AH283" s="60"/>
      <c r="AI283" s="60"/>
      <c r="AJ283" s="60">
        <v>1183537491</v>
      </c>
      <c r="AK283" s="60">
        <v>2988170981</v>
      </c>
      <c r="AL283" s="60"/>
      <c r="AM283" s="60"/>
      <c r="AN283" s="60">
        <f t="shared" si="43"/>
        <v>90062295876</v>
      </c>
      <c r="AO283" s="60">
        <v>16282477813</v>
      </c>
      <c r="AP283" s="60"/>
      <c r="AQ283" s="60"/>
      <c r="AR283" s="60"/>
      <c r="AS283" s="60">
        <v>968790045</v>
      </c>
      <c r="AT283" s="60"/>
      <c r="AU283" s="60"/>
      <c r="AV283" s="60">
        <v>1183537491</v>
      </c>
      <c r="AW283" s="60">
        <v>2025363477</v>
      </c>
      <c r="AX283" s="60"/>
      <c r="AY283" s="60"/>
      <c r="AZ283" s="60"/>
      <c r="BA283" s="60"/>
      <c r="BB283" s="60"/>
      <c r="BC283" s="61">
        <f t="shared" si="37"/>
        <v>110522464702</v>
      </c>
      <c r="BD283" s="60">
        <v>16840999679</v>
      </c>
      <c r="BE283" s="60">
        <v>228276358</v>
      </c>
      <c r="BF283" s="60"/>
      <c r="BG283" s="60"/>
      <c r="BH283" s="60"/>
      <c r="BI283" s="60"/>
      <c r="BJ283" s="60"/>
      <c r="BK283" s="60">
        <v>1138263150</v>
      </c>
      <c r="BL283" s="60">
        <v>3100214175</v>
      </c>
      <c r="BM283" s="60"/>
      <c r="BN283" s="60"/>
      <c r="BO283" s="60"/>
      <c r="BP283" s="61">
        <v>131830218064</v>
      </c>
      <c r="BQ283" s="61">
        <v>16674303377</v>
      </c>
      <c r="BR283" s="61">
        <v>0</v>
      </c>
      <c r="BS283" s="61"/>
      <c r="BT283" s="61">
        <v>0</v>
      </c>
      <c r="BU283" s="61">
        <v>7632142899</v>
      </c>
      <c r="BV283" s="61"/>
      <c r="BW283" s="61"/>
      <c r="BX283" s="61"/>
      <c r="BY283" s="61"/>
      <c r="BZ283" s="61">
        <v>1188740517</v>
      </c>
      <c r="CA283" s="61">
        <v>3158422600</v>
      </c>
      <c r="CB283" s="61"/>
      <c r="CC283" s="61"/>
      <c r="CD283" s="61"/>
      <c r="CE283" s="61"/>
      <c r="CF283" s="61"/>
      <c r="CG283" s="61">
        <f t="shared" si="38"/>
        <v>160483827457</v>
      </c>
      <c r="CH283" s="62">
        <f>VLOOKUP(B283,[1]RPTNCT049_ConsultaSaldosContabl!I$4:K$7987,3,0)</f>
        <v>160483827457</v>
      </c>
      <c r="CI283" s="62">
        <f t="shared" si="39"/>
        <v>0</v>
      </c>
      <c r="CJ283" s="63">
        <f t="shared" si="40"/>
        <v>160483827457</v>
      </c>
      <c r="CK283" s="64">
        <f t="shared" si="41"/>
        <v>0</v>
      </c>
      <c r="CL283" s="16"/>
      <c r="CM283" s="16"/>
      <c r="CN283" s="8"/>
      <c r="CO283" s="8"/>
      <c r="CP283" s="8"/>
      <c r="CQ283" s="8"/>
      <c r="CR283" s="8"/>
    </row>
    <row r="284" spans="1:96" ht="15" customHeight="1" x14ac:dyDescent="0.2">
      <c r="A284" s="1">
        <v>8920992166</v>
      </c>
      <c r="B284" s="1">
        <v>892099216</v>
      </c>
      <c r="C284" s="9">
        <v>118585000</v>
      </c>
      <c r="D284" s="10" t="s">
        <v>37</v>
      </c>
      <c r="E284" s="47" t="s">
        <v>1068</v>
      </c>
      <c r="F284" s="21">
        <f>7889353542+368023993</f>
        <v>8257377535</v>
      </c>
      <c r="G284" s="59"/>
      <c r="H284" s="21">
        <v>62294604</v>
      </c>
      <c r="I284" s="59"/>
      <c r="J284" s="21">
        <v>576769237</v>
      </c>
      <c r="K284" s="21">
        <v>1169157034</v>
      </c>
      <c r="L284" s="59"/>
      <c r="M284" s="61">
        <f t="shared" si="44"/>
        <v>10065598410</v>
      </c>
      <c r="N284" s="21">
        <f>7918899136+167283633</f>
        <v>8086182769</v>
      </c>
      <c r="O284" s="59"/>
      <c r="P284" s="21">
        <f>VLOOKUP(A284,'[4]PENS-CANC'!A$2:B$37,2,0)</f>
        <v>62294604</v>
      </c>
      <c r="Q284" s="59"/>
      <c r="R284" s="21">
        <v>576769237</v>
      </c>
      <c r="S284" s="21">
        <f>592387797+576769237</f>
        <v>1169157034</v>
      </c>
      <c r="T284" s="59"/>
      <c r="U284" s="60">
        <f t="shared" si="36"/>
        <v>19960002054</v>
      </c>
      <c r="V284" s="60">
        <v>11311380602</v>
      </c>
      <c r="W284" s="60"/>
      <c r="X284" s="60">
        <v>62294604</v>
      </c>
      <c r="Y284" s="60"/>
      <c r="Z284" s="60">
        <v>500150206</v>
      </c>
      <c r="AA284" s="60">
        <v>1159242813</v>
      </c>
      <c r="AB284" s="60"/>
      <c r="AC284" s="60">
        <f t="shared" si="45"/>
        <v>32993070279</v>
      </c>
      <c r="AD284" s="60">
        <v>8154076506</v>
      </c>
      <c r="AE284" s="60">
        <v>1509018837</v>
      </c>
      <c r="AF284" s="60"/>
      <c r="AG284" s="60">
        <v>62294604</v>
      </c>
      <c r="AH284" s="60"/>
      <c r="AI284" s="60"/>
      <c r="AJ284" s="60">
        <v>573110661</v>
      </c>
      <c r="AK284" s="60">
        <v>1450526673</v>
      </c>
      <c r="AL284" s="60"/>
      <c r="AM284" s="60"/>
      <c r="AN284" s="60">
        <f t="shared" si="43"/>
        <v>44742097560</v>
      </c>
      <c r="AO284" s="60">
        <v>8154076506</v>
      </c>
      <c r="AP284" s="60">
        <v>795415907</v>
      </c>
      <c r="AQ284" s="60"/>
      <c r="AR284" s="60">
        <v>62294604</v>
      </c>
      <c r="AS284" s="60">
        <v>0</v>
      </c>
      <c r="AT284" s="60"/>
      <c r="AU284" s="60"/>
      <c r="AV284" s="60">
        <v>573110661</v>
      </c>
      <c r="AW284" s="60">
        <v>984038937</v>
      </c>
      <c r="AX284" s="60"/>
      <c r="AY284" s="60"/>
      <c r="AZ284" s="60"/>
      <c r="BA284" s="60"/>
      <c r="BB284" s="60"/>
      <c r="BC284" s="61">
        <f t="shared" si="37"/>
        <v>55311034175</v>
      </c>
      <c r="BD284" s="60">
        <v>8620298557</v>
      </c>
      <c r="BE284" s="60">
        <v>139212152</v>
      </c>
      <c r="BF284" s="60"/>
      <c r="BG284" s="60">
        <v>124589208</v>
      </c>
      <c r="BH284" s="60"/>
      <c r="BI284" s="60"/>
      <c r="BJ284" s="60"/>
      <c r="BK284" s="60">
        <v>506419223</v>
      </c>
      <c r="BL284" s="60">
        <v>1078754467</v>
      </c>
      <c r="BM284" s="60"/>
      <c r="BN284" s="60"/>
      <c r="BO284" s="60"/>
      <c r="BP284" s="61">
        <v>65780307782</v>
      </c>
      <c r="BQ284" s="61">
        <v>8214466110</v>
      </c>
      <c r="BR284" s="61">
        <v>883142000</v>
      </c>
      <c r="BS284" s="61"/>
      <c r="BT284" s="61">
        <v>62294604</v>
      </c>
      <c r="BU284" s="61">
        <v>3674111999</v>
      </c>
      <c r="BV284" s="61"/>
      <c r="BW284" s="61"/>
      <c r="BX284" s="61"/>
      <c r="BY284" s="61"/>
      <c r="BZ284" s="61">
        <v>674444175</v>
      </c>
      <c r="CA284" s="61">
        <v>1638066905</v>
      </c>
      <c r="CB284" s="61"/>
      <c r="CC284" s="61"/>
      <c r="CD284" s="61"/>
      <c r="CE284" s="61"/>
      <c r="CF284" s="61"/>
      <c r="CG284" s="61">
        <f t="shared" si="38"/>
        <v>80926833575</v>
      </c>
      <c r="CH284" s="62">
        <f>VLOOKUP(B284,[1]RPTNCT049_ConsultaSaldosContabl!I$4:K$7987,3,0)</f>
        <v>80926833575</v>
      </c>
      <c r="CI284" s="62">
        <f t="shared" si="39"/>
        <v>0</v>
      </c>
      <c r="CJ284" s="63">
        <f t="shared" si="40"/>
        <v>80926833575</v>
      </c>
      <c r="CK284" s="64">
        <f t="shared" si="41"/>
        <v>0</v>
      </c>
      <c r="CL284" s="16"/>
      <c r="CM284" s="16"/>
      <c r="CN284" s="8"/>
      <c r="CO284" s="8"/>
      <c r="CP284" s="8"/>
      <c r="CQ284" s="8"/>
      <c r="CR284" s="8"/>
    </row>
    <row r="285" spans="1:96" ht="15" customHeight="1" x14ac:dyDescent="0.2">
      <c r="A285" s="1">
        <v>8001039356</v>
      </c>
      <c r="B285" s="1">
        <v>800103935</v>
      </c>
      <c r="C285" s="9">
        <v>112323000</v>
      </c>
      <c r="D285" s="10" t="s">
        <v>20</v>
      </c>
      <c r="E285" s="47" t="s">
        <v>1027</v>
      </c>
      <c r="F285" s="21">
        <f>34089591919+381128749</f>
        <v>34470720668</v>
      </c>
      <c r="G285" s="59"/>
      <c r="H285" s="21">
        <v>508966832</v>
      </c>
      <c r="I285" s="59"/>
      <c r="J285" s="21">
        <v>2497163883</v>
      </c>
      <c r="K285" s="21">
        <v>5120452154</v>
      </c>
      <c r="L285" s="59"/>
      <c r="M285" s="61">
        <f t="shared" si="44"/>
        <v>42597303537</v>
      </c>
      <c r="N285" s="21">
        <f>34587601351+173240341</f>
        <v>34760841692</v>
      </c>
      <c r="O285" s="59"/>
      <c r="P285" s="21">
        <f>VLOOKUP(A285,'[4]PENS-CANC'!A$2:B$37,2,0)</f>
        <v>508966832</v>
      </c>
      <c r="Q285" s="59"/>
      <c r="R285" s="21">
        <v>2497470601</v>
      </c>
      <c r="S285" s="21">
        <f>2623288271+2497470601</f>
        <v>5120758872</v>
      </c>
      <c r="T285" s="59"/>
      <c r="U285" s="60">
        <f t="shared" si="36"/>
        <v>85485341534</v>
      </c>
      <c r="V285" s="60">
        <v>53198249704</v>
      </c>
      <c r="W285" s="60"/>
      <c r="X285" s="60">
        <v>508966832</v>
      </c>
      <c r="Y285" s="60"/>
      <c r="Z285" s="60">
        <v>2482920616</v>
      </c>
      <c r="AA285" s="60">
        <v>5050941798</v>
      </c>
      <c r="AB285" s="60"/>
      <c r="AC285" s="60">
        <f t="shared" si="45"/>
        <v>146726420484</v>
      </c>
      <c r="AD285" s="60">
        <v>35384332660</v>
      </c>
      <c r="AE285" s="60">
        <v>2500080616</v>
      </c>
      <c r="AF285" s="60"/>
      <c r="AG285" s="60">
        <v>508966832</v>
      </c>
      <c r="AH285" s="60"/>
      <c r="AI285" s="60"/>
      <c r="AJ285" s="60">
        <v>2483133181</v>
      </c>
      <c r="AK285" s="60">
        <v>6266698266</v>
      </c>
      <c r="AL285" s="60"/>
      <c r="AM285" s="60"/>
      <c r="AN285" s="60">
        <f t="shared" si="43"/>
        <v>193869632039</v>
      </c>
      <c r="AO285" s="60">
        <v>35384332660</v>
      </c>
      <c r="AP285" s="60">
        <v>1527472493</v>
      </c>
      <c r="AQ285" s="60"/>
      <c r="AR285" s="60">
        <v>508966832</v>
      </c>
      <c r="AS285" s="60">
        <v>3208368204</v>
      </c>
      <c r="AT285" s="60"/>
      <c r="AU285" s="60"/>
      <c r="AV285" s="60">
        <v>2483133181</v>
      </c>
      <c r="AW285" s="60">
        <v>4245548800</v>
      </c>
      <c r="AX285" s="60"/>
      <c r="AY285" s="60"/>
      <c r="AZ285" s="60"/>
      <c r="BA285" s="60"/>
      <c r="BB285" s="60"/>
      <c r="BC285" s="61">
        <f t="shared" si="37"/>
        <v>241227454209</v>
      </c>
      <c r="BD285" s="60">
        <v>37468109489</v>
      </c>
      <c r="BE285" s="60">
        <v>913931535</v>
      </c>
      <c r="BF285" s="60"/>
      <c r="BG285" s="60">
        <v>1017933664</v>
      </c>
      <c r="BH285" s="60"/>
      <c r="BI285" s="60"/>
      <c r="BJ285" s="60"/>
      <c r="BK285" s="60">
        <v>2691604691</v>
      </c>
      <c r="BL285" s="60">
        <v>6094429502</v>
      </c>
      <c r="BM285" s="60"/>
      <c r="BN285" s="60"/>
      <c r="BO285" s="60"/>
      <c r="BP285" s="61">
        <v>289413463090</v>
      </c>
      <c r="BQ285" s="61">
        <v>37503621471</v>
      </c>
      <c r="BR285" s="61">
        <v>252747249</v>
      </c>
      <c r="BS285" s="61"/>
      <c r="BT285" s="61">
        <v>508966832</v>
      </c>
      <c r="BU285" s="61">
        <v>16754197902</v>
      </c>
      <c r="BV285" s="61"/>
      <c r="BW285" s="61"/>
      <c r="BX285" s="61"/>
      <c r="BY285" s="61"/>
      <c r="BZ285" s="61">
        <v>2546126240</v>
      </c>
      <c r="CA285" s="61">
        <v>6878968168</v>
      </c>
      <c r="CB285" s="61"/>
      <c r="CC285" s="61"/>
      <c r="CD285" s="61"/>
      <c r="CE285" s="61"/>
      <c r="CF285" s="61"/>
      <c r="CG285" s="61">
        <f t="shared" si="38"/>
        <v>353858090952</v>
      </c>
      <c r="CH285" s="62">
        <f>VLOOKUP(B285,[1]RPTNCT049_ConsultaSaldosContabl!I$4:K$7987,3,0)</f>
        <v>353858090952</v>
      </c>
      <c r="CI285" s="62">
        <f t="shared" si="39"/>
        <v>0</v>
      </c>
      <c r="CJ285" s="63">
        <f t="shared" si="40"/>
        <v>353858090952</v>
      </c>
      <c r="CK285" s="64">
        <f t="shared" si="41"/>
        <v>0</v>
      </c>
      <c r="CL285" s="16"/>
      <c r="CM285" s="16"/>
      <c r="CN285" s="8"/>
      <c r="CO285" s="8"/>
      <c r="CP285" s="8"/>
      <c r="CQ285" s="8"/>
      <c r="CR285" s="8"/>
    </row>
    <row r="286" spans="1:96" s="23" customFormat="1" ht="15" customHeight="1" x14ac:dyDescent="0.2">
      <c r="A286" s="1">
        <v>8999991140</v>
      </c>
      <c r="B286" s="1">
        <v>899999114</v>
      </c>
      <c r="C286" s="9">
        <v>112525000</v>
      </c>
      <c r="D286" s="10" t="s">
        <v>42</v>
      </c>
      <c r="E286" s="51" t="s">
        <v>2277</v>
      </c>
      <c r="F286" s="21">
        <f>37575562160+652157325</f>
        <v>38227719485</v>
      </c>
      <c r="G286" s="67"/>
      <c r="H286" s="21">
        <v>3339633797</v>
      </c>
      <c r="I286" s="67"/>
      <c r="J286" s="21">
        <v>2648316571</v>
      </c>
      <c r="K286" s="21">
        <v>5321508198</v>
      </c>
      <c r="L286" s="67"/>
      <c r="M286" s="68">
        <f t="shared" si="44"/>
        <v>49537178051</v>
      </c>
      <c r="N286" s="21">
        <f>37175671815+296435148</f>
        <v>37472106963</v>
      </c>
      <c r="O286" s="67"/>
      <c r="P286" s="21">
        <f>VLOOKUP(A286,'[4]PENS-CANC'!A$2:B$37,2,0)</f>
        <v>3339633797</v>
      </c>
      <c r="Q286" s="59"/>
      <c r="R286" s="21">
        <v>2648316571</v>
      </c>
      <c r="S286" s="21">
        <f>2673191627+2648316571</f>
        <v>5321508198</v>
      </c>
      <c r="T286" s="67"/>
      <c r="U286" s="60">
        <f t="shared" si="36"/>
        <v>98318743580</v>
      </c>
      <c r="V286" s="60">
        <v>51819174889</v>
      </c>
      <c r="W286" s="60"/>
      <c r="X286" s="60">
        <v>3339633797</v>
      </c>
      <c r="Y286" s="60"/>
      <c r="Z286" s="60">
        <v>2504407690</v>
      </c>
      <c r="AA286" s="60">
        <v>5754753486</v>
      </c>
      <c r="AB286" s="60"/>
      <c r="AC286" s="60">
        <f t="shared" si="45"/>
        <v>161736713442</v>
      </c>
      <c r="AD286" s="60">
        <v>37416576849</v>
      </c>
      <c r="AE286" s="60">
        <v>11122408971</v>
      </c>
      <c r="AF286" s="60"/>
      <c r="AG286" s="60">
        <v>3339633797</v>
      </c>
      <c r="AH286" s="60"/>
      <c r="AI286" s="60"/>
      <c r="AJ286" s="60">
        <v>2707647015</v>
      </c>
      <c r="AK286" s="60">
        <v>6829918988</v>
      </c>
      <c r="AL286" s="60"/>
      <c r="AM286" s="60"/>
      <c r="AN286" s="60">
        <f t="shared" si="43"/>
        <v>223152899062</v>
      </c>
      <c r="AO286" s="60">
        <v>37416576849</v>
      </c>
      <c r="AP286" s="60"/>
      <c r="AQ286" s="60"/>
      <c r="AR286" s="60">
        <v>3339633797</v>
      </c>
      <c r="AS286" s="60">
        <v>3217459427</v>
      </c>
      <c r="AT286" s="60"/>
      <c r="AU286" s="60"/>
      <c r="AV286" s="60">
        <v>2707647015</v>
      </c>
      <c r="AW286" s="60">
        <v>4627539270</v>
      </c>
      <c r="AX286" s="60"/>
      <c r="AY286" s="60"/>
      <c r="AZ286" s="60"/>
      <c r="BA286" s="60"/>
      <c r="BB286" s="60"/>
      <c r="BC286" s="61">
        <f t="shared" si="37"/>
        <v>274461755420</v>
      </c>
      <c r="BD286" s="60">
        <v>38636002426</v>
      </c>
      <c r="BE286" s="60">
        <v>718690691</v>
      </c>
      <c r="BF286" s="60"/>
      <c r="BG286" s="60">
        <v>6679267594</v>
      </c>
      <c r="BH286" s="60"/>
      <c r="BI286" s="60"/>
      <c r="BJ286" s="60"/>
      <c r="BK286" s="60">
        <v>2971482989</v>
      </c>
      <c r="BL286" s="60">
        <v>7479354923</v>
      </c>
      <c r="BM286" s="60"/>
      <c r="BN286" s="60"/>
      <c r="BO286" s="60"/>
      <c r="BP286" s="61">
        <v>330946554043</v>
      </c>
      <c r="BQ286" s="61">
        <v>38759920633</v>
      </c>
      <c r="BR286" s="61">
        <v>0</v>
      </c>
      <c r="BS286" s="61"/>
      <c r="BT286" s="61">
        <v>3339633797</v>
      </c>
      <c r="BU286" s="61">
        <v>16872216086</v>
      </c>
      <c r="BV286" s="61"/>
      <c r="BW286" s="61"/>
      <c r="BX286" s="61"/>
      <c r="BY286" s="61"/>
      <c r="BZ286" s="61">
        <v>2749580954</v>
      </c>
      <c r="CA286" s="61">
        <v>7228015540</v>
      </c>
      <c r="CB286" s="61"/>
      <c r="CC286" s="61"/>
      <c r="CD286" s="61"/>
      <c r="CE286" s="61"/>
      <c r="CF286" s="61"/>
      <c r="CG286" s="61">
        <f t="shared" si="38"/>
        <v>399895921053</v>
      </c>
      <c r="CH286" s="62">
        <f>VLOOKUP(B286,[1]RPTNCT049_ConsultaSaldosContabl!I$4:K$7987,3,0)</f>
        <v>399895921053</v>
      </c>
      <c r="CI286" s="62">
        <f t="shared" si="39"/>
        <v>0</v>
      </c>
      <c r="CJ286" s="63">
        <f t="shared" si="40"/>
        <v>399895921053</v>
      </c>
      <c r="CK286" s="64">
        <f t="shared" si="41"/>
        <v>0</v>
      </c>
      <c r="CL286" s="16"/>
      <c r="CM286" s="11"/>
      <c r="CN286" s="8"/>
      <c r="CO286" s="24"/>
      <c r="CP286" s="24"/>
      <c r="CQ286" s="24"/>
      <c r="CR286" s="24"/>
    </row>
    <row r="287" spans="1:96" ht="15" customHeight="1" x14ac:dyDescent="0.2">
      <c r="A287" s="1">
        <v>8920991490</v>
      </c>
      <c r="B287" s="1">
        <v>892099149</v>
      </c>
      <c r="C287" s="9">
        <v>119494000</v>
      </c>
      <c r="D287" s="10" t="s">
        <v>36</v>
      </c>
      <c r="E287" s="47" t="s">
        <v>1067</v>
      </c>
      <c r="F287" s="21">
        <f>1675611157+1199695701</f>
        <v>2875306858</v>
      </c>
      <c r="G287" s="59"/>
      <c r="H287" s="21">
        <v>15146835</v>
      </c>
      <c r="I287" s="59"/>
      <c r="J287" s="21">
        <v>77591840</v>
      </c>
      <c r="K287" s="21">
        <v>158768503</v>
      </c>
      <c r="L287" s="59"/>
      <c r="M287" s="61">
        <f t="shared" si="44"/>
        <v>3126814036</v>
      </c>
      <c r="N287" s="21">
        <f>1711260018+545316228</f>
        <v>2256576246</v>
      </c>
      <c r="O287" s="59"/>
      <c r="P287" s="21">
        <f>VLOOKUP(A287,'[4]PENS-CANC'!A$2:B$37,2,0)</f>
        <v>15146835</v>
      </c>
      <c r="Q287" s="59"/>
      <c r="R287" s="21">
        <v>77591840</v>
      </c>
      <c r="S287" s="21">
        <f>81176663+77591840</f>
        <v>158768503</v>
      </c>
      <c r="T287" s="59"/>
      <c r="U287" s="60">
        <f t="shared" si="36"/>
        <v>5634897460</v>
      </c>
      <c r="V287" s="60">
        <v>2985768178</v>
      </c>
      <c r="W287" s="60"/>
      <c r="X287" s="60">
        <v>15146835</v>
      </c>
      <c r="Y287" s="60"/>
      <c r="Z287" s="60">
        <v>70432084</v>
      </c>
      <c r="AA287" s="60">
        <v>160663459</v>
      </c>
      <c r="AB287" s="60"/>
      <c r="AC287" s="60">
        <f t="shared" si="45"/>
        <v>8866908016</v>
      </c>
      <c r="AD287" s="60">
        <v>2060758101</v>
      </c>
      <c r="AE287" s="60">
        <v>6732407370</v>
      </c>
      <c r="AF287" s="60"/>
      <c r="AG287" s="60">
        <v>15146835</v>
      </c>
      <c r="AH287" s="60"/>
      <c r="AI287" s="60"/>
      <c r="AJ287" s="60">
        <v>77369879</v>
      </c>
      <c r="AK287" s="60">
        <v>196948746</v>
      </c>
      <c r="AL287" s="60"/>
      <c r="AM287" s="60"/>
      <c r="AN287" s="60">
        <f t="shared" si="43"/>
        <v>17949538947</v>
      </c>
      <c r="AO287" s="60">
        <v>2060758101</v>
      </c>
      <c r="AP287" s="60"/>
      <c r="AQ287" s="60"/>
      <c r="AR287" s="60">
        <v>15146835</v>
      </c>
      <c r="AS287" s="60">
        <v>625737525</v>
      </c>
      <c r="AT287" s="60"/>
      <c r="AU287" s="60"/>
      <c r="AV287" s="60">
        <v>77369879</v>
      </c>
      <c r="AW287" s="60">
        <v>133923448</v>
      </c>
      <c r="AX287" s="60"/>
      <c r="AY287" s="60">
        <v>237255020</v>
      </c>
      <c r="AZ287" s="60"/>
      <c r="BA287" s="60"/>
      <c r="BB287" s="60"/>
      <c r="BC287" s="61">
        <f t="shared" si="37"/>
        <v>21099729755</v>
      </c>
      <c r="BD287" s="60">
        <v>1957824396</v>
      </c>
      <c r="BE287" s="60">
        <v>382088224</v>
      </c>
      <c r="BF287" s="60"/>
      <c r="BG287" s="60">
        <v>30293670</v>
      </c>
      <c r="BH287" s="60"/>
      <c r="BI287" s="60"/>
      <c r="BJ287" s="60"/>
      <c r="BK287" s="60">
        <v>85977413</v>
      </c>
      <c r="BL287" s="60">
        <v>213916663</v>
      </c>
      <c r="BM287" s="60"/>
      <c r="BN287" s="60">
        <v>47451004</v>
      </c>
      <c r="BO287" s="60"/>
      <c r="BP287" s="61">
        <v>23817281125</v>
      </c>
      <c r="BQ287" s="61">
        <v>1940933887</v>
      </c>
      <c r="BR287" s="61">
        <v>0</v>
      </c>
      <c r="BS287" s="61"/>
      <c r="BT287" s="61">
        <v>15146835</v>
      </c>
      <c r="BU287" s="61">
        <v>665897547</v>
      </c>
      <c r="BV287" s="61"/>
      <c r="BW287" s="61"/>
      <c r="BX287" s="61"/>
      <c r="BY287" s="61"/>
      <c r="BZ287" s="61">
        <v>79932767</v>
      </c>
      <c r="CA287" s="61">
        <v>212399196</v>
      </c>
      <c r="CB287" s="61"/>
      <c r="CC287" s="61">
        <v>47451004</v>
      </c>
      <c r="CD287" s="61"/>
      <c r="CE287" s="61"/>
      <c r="CF287" s="61"/>
      <c r="CG287" s="61">
        <f t="shared" si="38"/>
        <v>26779042361</v>
      </c>
      <c r="CH287" s="62">
        <f>VLOOKUP(B287,[1]RPTNCT049_ConsultaSaldosContabl!I$4:K$7987,3,0)</f>
        <v>26779042361</v>
      </c>
      <c r="CI287" s="62">
        <f t="shared" si="39"/>
        <v>0</v>
      </c>
      <c r="CJ287" s="63">
        <f t="shared" si="40"/>
        <v>26779042361</v>
      </c>
      <c r="CK287" s="64">
        <f t="shared" si="41"/>
        <v>0</v>
      </c>
      <c r="CL287" s="16"/>
      <c r="CM287" s="8"/>
      <c r="CN287" s="8"/>
      <c r="CO287" s="8"/>
      <c r="CP287" s="8"/>
      <c r="CQ287" s="8"/>
      <c r="CR287" s="8"/>
    </row>
    <row r="288" spans="1:96" ht="15" customHeight="1" x14ac:dyDescent="0.2">
      <c r="A288" s="1">
        <v>8001031961</v>
      </c>
      <c r="B288" s="1">
        <v>800103196</v>
      </c>
      <c r="C288" s="9">
        <v>119595000</v>
      </c>
      <c r="D288" s="10" t="s">
        <v>15</v>
      </c>
      <c r="E288" s="47" t="s">
        <v>1022</v>
      </c>
      <c r="F288" s="21">
        <f>3197296463+596690422</f>
        <v>3793986885</v>
      </c>
      <c r="G288" s="59"/>
      <c r="H288" s="21">
        <v>9575745</v>
      </c>
      <c r="I288" s="59"/>
      <c r="J288" s="21">
        <v>194358760</v>
      </c>
      <c r="K288" s="21">
        <v>397574857</v>
      </c>
      <c r="L288" s="59"/>
      <c r="M288" s="61">
        <f t="shared" si="44"/>
        <v>4395496247</v>
      </c>
      <c r="N288" s="21">
        <f>3232685656+271222919</f>
        <v>3503908575</v>
      </c>
      <c r="O288" s="59"/>
      <c r="P288" s="21">
        <f>VLOOKUP(A288,'[4]PENS-CANC'!A$2:B$37,2,0)</f>
        <v>9575745</v>
      </c>
      <c r="Q288" s="59"/>
      <c r="R288" s="21">
        <v>194358760</v>
      </c>
      <c r="S288" s="21">
        <f>203216097+194358760</f>
        <v>397574857</v>
      </c>
      <c r="T288" s="59"/>
      <c r="U288" s="60">
        <f t="shared" si="36"/>
        <v>8500914184</v>
      </c>
      <c r="V288" s="60">
        <v>5620349330</v>
      </c>
      <c r="W288" s="60"/>
      <c r="X288" s="60">
        <v>0</v>
      </c>
      <c r="Y288" s="60"/>
      <c r="Z288" s="60">
        <v>163330329</v>
      </c>
      <c r="AA288" s="60">
        <v>376907694</v>
      </c>
      <c r="AB288" s="60"/>
      <c r="AC288" s="60">
        <f t="shared" si="45"/>
        <v>14661501537</v>
      </c>
      <c r="AD288" s="60">
        <v>3251335017</v>
      </c>
      <c r="AE288" s="60">
        <v>2217802942</v>
      </c>
      <c r="AF288" s="60"/>
      <c r="AG288" s="60">
        <v>9575745</v>
      </c>
      <c r="AH288" s="60"/>
      <c r="AI288" s="60"/>
      <c r="AJ288" s="60">
        <v>191511734</v>
      </c>
      <c r="AK288" s="60">
        <v>485371842</v>
      </c>
      <c r="AL288" s="60"/>
      <c r="AM288" s="60"/>
      <c r="AN288" s="60">
        <f t="shared" si="43"/>
        <v>20817098817</v>
      </c>
      <c r="AO288" s="60">
        <v>3251335017</v>
      </c>
      <c r="AP288" s="60"/>
      <c r="AQ288" s="60"/>
      <c r="AR288" s="60">
        <v>9575745</v>
      </c>
      <c r="AS288" s="60">
        <v>643541716</v>
      </c>
      <c r="AT288" s="60"/>
      <c r="AU288" s="60"/>
      <c r="AV288" s="60">
        <v>191511734</v>
      </c>
      <c r="AW288" s="60">
        <v>329442670</v>
      </c>
      <c r="AX288" s="60"/>
      <c r="AY288" s="60"/>
      <c r="AZ288" s="60"/>
      <c r="BA288" s="60"/>
      <c r="BB288" s="60"/>
      <c r="BC288" s="61">
        <f t="shared" si="37"/>
        <v>25242505699</v>
      </c>
      <c r="BD288" s="60">
        <v>3233325718</v>
      </c>
      <c r="BE288" s="60">
        <v>144153747</v>
      </c>
      <c r="BF288" s="60"/>
      <c r="BG288" s="60">
        <v>19151490</v>
      </c>
      <c r="BH288" s="60"/>
      <c r="BI288" s="60"/>
      <c r="BJ288" s="60"/>
      <c r="BK288" s="60">
        <v>189166943</v>
      </c>
      <c r="BL288" s="60">
        <v>480052949</v>
      </c>
      <c r="BM288" s="60"/>
      <c r="BN288" s="60"/>
      <c r="BO288" s="60"/>
      <c r="BP288" s="61">
        <v>29308356546</v>
      </c>
      <c r="BQ288" s="61">
        <v>3259659732</v>
      </c>
      <c r="BR288" s="61">
        <v>0</v>
      </c>
      <c r="BS288" s="61"/>
      <c r="BT288" s="61">
        <v>9575745</v>
      </c>
      <c r="BU288" s="61">
        <v>1302439216</v>
      </c>
      <c r="BV288" s="61"/>
      <c r="BW288" s="61"/>
      <c r="BX288" s="61"/>
      <c r="BY288" s="61"/>
      <c r="BZ288" s="61">
        <v>192155840</v>
      </c>
      <c r="CA288" s="61">
        <v>514815707</v>
      </c>
      <c r="CB288" s="61"/>
      <c r="CC288" s="61"/>
      <c r="CD288" s="61"/>
      <c r="CE288" s="61"/>
      <c r="CF288" s="61"/>
      <c r="CG288" s="61">
        <f t="shared" si="38"/>
        <v>34587002786</v>
      </c>
      <c r="CH288" s="62">
        <f>VLOOKUP(B288,[1]RPTNCT049_ConsultaSaldosContabl!I$4:K$7987,3,0)</f>
        <v>34587002786</v>
      </c>
      <c r="CI288" s="62">
        <f t="shared" si="39"/>
        <v>0</v>
      </c>
      <c r="CJ288" s="63">
        <f t="shared" si="40"/>
        <v>34587002786</v>
      </c>
      <c r="CK288" s="64">
        <f t="shared" si="41"/>
        <v>0</v>
      </c>
      <c r="CL288" s="16"/>
      <c r="CM288" s="8"/>
      <c r="CN288" s="8"/>
      <c r="CO288" s="8"/>
      <c r="CP288" s="8"/>
      <c r="CQ288" s="8"/>
      <c r="CR288" s="8"/>
    </row>
    <row r="289" spans="1:96" ht="15" customHeight="1" x14ac:dyDescent="0.2">
      <c r="A289" s="1">
        <v>8921150151</v>
      </c>
      <c r="B289" s="29">
        <v>892115015</v>
      </c>
      <c r="C289" s="9">
        <v>114444000</v>
      </c>
      <c r="D289" s="10" t="s">
        <v>38</v>
      </c>
      <c r="E289" s="47" t="s">
        <v>1069</v>
      </c>
      <c r="F289" s="21">
        <f>9365013815+514782153</f>
        <v>9879795968</v>
      </c>
      <c r="G289" s="59"/>
      <c r="H289" s="21">
        <v>142898927</v>
      </c>
      <c r="I289" s="59"/>
      <c r="J289" s="21">
        <v>603464099</v>
      </c>
      <c r="K289" s="21">
        <v>1210098541</v>
      </c>
      <c r="L289" s="59"/>
      <c r="M289" s="61">
        <f t="shared" si="44"/>
        <v>11836257535</v>
      </c>
      <c r="N289" s="21">
        <f>10500000000+627994000+233991888</f>
        <v>11361985888</v>
      </c>
      <c r="O289" s="59"/>
      <c r="P289" s="21">
        <f>VLOOKUP(A289,'[4]PENS-CANC'!A$2:B$37,2,0)</f>
        <v>142898927</v>
      </c>
      <c r="Q289" s="59"/>
      <c r="R289" s="21">
        <v>679138146</v>
      </c>
      <c r="S289" s="21">
        <f>606634442+603464099</f>
        <v>1210098541</v>
      </c>
      <c r="T289" s="59"/>
      <c r="U289" s="60">
        <f t="shared" si="36"/>
        <v>25230379037</v>
      </c>
      <c r="V289" s="60">
        <v>14175810297</v>
      </c>
      <c r="W289" s="60"/>
      <c r="X289" s="60">
        <v>142898927</v>
      </c>
      <c r="Y289" s="60"/>
      <c r="Z289" s="60">
        <v>475542661</v>
      </c>
      <c r="AA289" s="60">
        <v>1291965290</v>
      </c>
      <c r="AB289" s="60"/>
      <c r="AC289" s="60">
        <f t="shared" si="45"/>
        <v>41316596212</v>
      </c>
      <c r="AD289" s="60">
        <v>11837007398</v>
      </c>
      <c r="AE289" s="60">
        <v>4817269551</v>
      </c>
      <c r="AF289" s="60"/>
      <c r="AG289" s="60">
        <v>142898927</v>
      </c>
      <c r="AH289" s="60"/>
      <c r="AI289" s="60"/>
      <c r="AJ289" s="60">
        <v>597974443</v>
      </c>
      <c r="AK289" s="60">
        <v>1510259011</v>
      </c>
      <c r="AL289" s="60"/>
      <c r="AM289" s="60"/>
      <c r="AN289" s="60">
        <f t="shared" si="43"/>
        <v>60222005542</v>
      </c>
      <c r="AO289" s="60">
        <f>11837007398+1500000000</f>
        <v>13337007398</v>
      </c>
      <c r="AP289" s="60">
        <v>1625270207</v>
      </c>
      <c r="AQ289" s="60"/>
      <c r="AR289" s="60">
        <v>142898927</v>
      </c>
      <c r="AS289" s="60">
        <v>3316078012</v>
      </c>
      <c r="AT289" s="60"/>
      <c r="AU289" s="60"/>
      <c r="AV289" s="60">
        <v>597974443</v>
      </c>
      <c r="AW289" s="60">
        <v>1023488881</v>
      </c>
      <c r="AX289" s="60"/>
      <c r="AY289" s="60"/>
      <c r="AZ289" s="60"/>
      <c r="BA289" s="60"/>
      <c r="BB289" s="60"/>
      <c r="BC289" s="61">
        <f t="shared" si="37"/>
        <v>80264723410</v>
      </c>
      <c r="BD289" s="60">
        <v>11863710911</v>
      </c>
      <c r="BE289" s="60">
        <v>1279430649</v>
      </c>
      <c r="BF289" s="60"/>
      <c r="BG289" s="60">
        <v>285797854</v>
      </c>
      <c r="BH289" s="60"/>
      <c r="BI289" s="60"/>
      <c r="BJ289" s="60"/>
      <c r="BK289" s="60">
        <v>1183878274</v>
      </c>
      <c r="BL289" s="60">
        <v>3048450999</v>
      </c>
      <c r="BM289" s="60"/>
      <c r="BN289" s="60"/>
      <c r="BO289" s="60"/>
      <c r="BP289" s="61">
        <v>97925992097</v>
      </c>
      <c r="BQ289" s="61">
        <v>11268311534</v>
      </c>
      <c r="BR289" s="61">
        <v>2776069480</v>
      </c>
      <c r="BS289" s="61"/>
      <c r="BT289" s="61">
        <v>142898927</v>
      </c>
      <c r="BU289" s="61">
        <v>3796576743</v>
      </c>
      <c r="BV289" s="61"/>
      <c r="BW289" s="61"/>
      <c r="BX289" s="61"/>
      <c r="BY289" s="61"/>
      <c r="BZ289" s="61">
        <v>762441277</v>
      </c>
      <c r="CA289" s="61">
        <v>1933155635</v>
      </c>
      <c r="CB289" s="61"/>
      <c r="CC289" s="61"/>
      <c r="CD289" s="61"/>
      <c r="CE289" s="61"/>
      <c r="CF289" s="61"/>
      <c r="CG289" s="61">
        <f t="shared" si="38"/>
        <v>118605445693</v>
      </c>
      <c r="CH289" s="62">
        <f>VLOOKUP(B289,[1]RPTNCT049_ConsultaSaldosContabl!I$4:K$7987,3,0)</f>
        <v>118605445693</v>
      </c>
      <c r="CI289" s="62">
        <f t="shared" si="39"/>
        <v>0</v>
      </c>
      <c r="CJ289" s="63">
        <f t="shared" si="40"/>
        <v>118605445693</v>
      </c>
      <c r="CK289" s="64">
        <f t="shared" si="41"/>
        <v>0</v>
      </c>
      <c r="CL289" s="16"/>
      <c r="CM289" s="8"/>
      <c r="CN289" s="8"/>
      <c r="CO289" s="8"/>
      <c r="CP289" s="8"/>
      <c r="CQ289" s="8"/>
      <c r="CR289" s="8"/>
    </row>
    <row r="290" spans="1:96" ht="15" customHeight="1" x14ac:dyDescent="0.2">
      <c r="A290" s="1">
        <v>8001039238</v>
      </c>
      <c r="B290" s="1">
        <v>800103923</v>
      </c>
      <c r="C290" s="9">
        <v>115252000</v>
      </c>
      <c r="D290" s="10" t="s">
        <v>18</v>
      </c>
      <c r="E290" s="47" t="s">
        <v>1025</v>
      </c>
      <c r="F290" s="21">
        <f>30756578522+648104243</f>
        <v>31404682765</v>
      </c>
      <c r="G290" s="59"/>
      <c r="H290" s="21">
        <v>1025228897</v>
      </c>
      <c r="I290" s="59"/>
      <c r="J290" s="21">
        <v>2040364942</v>
      </c>
      <c r="K290" s="21">
        <v>4194530554</v>
      </c>
      <c r="L290" s="59"/>
      <c r="M290" s="61">
        <f t="shared" si="44"/>
        <v>38664807158</v>
      </c>
      <c r="N290" s="21">
        <f>30893494943+294592838</f>
        <v>31188087781</v>
      </c>
      <c r="O290" s="59"/>
      <c r="P290" s="21">
        <f>VLOOKUP(A290,'[4]PENS-CANC'!A$2:B$37,2,0)</f>
        <v>1025228897</v>
      </c>
      <c r="Q290" s="59"/>
      <c r="R290" s="21">
        <v>2040364942</v>
      </c>
      <c r="S290" s="21">
        <f>2154165612+2040364942</f>
        <v>4194530554</v>
      </c>
      <c r="T290" s="59"/>
      <c r="U290" s="60">
        <f t="shared" si="36"/>
        <v>77113019332</v>
      </c>
      <c r="V290" s="60">
        <v>46624258190</v>
      </c>
      <c r="W290" s="60"/>
      <c r="X290" s="60">
        <v>1025228897</v>
      </c>
      <c r="Y290" s="60"/>
      <c r="Z290" s="60">
        <v>2006391135</v>
      </c>
      <c r="AA290" s="60">
        <v>4390806918</v>
      </c>
      <c r="AB290" s="60"/>
      <c r="AC290" s="60">
        <f t="shared" si="45"/>
        <v>131159704472</v>
      </c>
      <c r="AD290" s="60">
        <v>32492570926</v>
      </c>
      <c r="AE290" s="60">
        <v>2962388744</v>
      </c>
      <c r="AF290" s="60"/>
      <c r="AG290" s="60">
        <v>1025228897</v>
      </c>
      <c r="AH290" s="60"/>
      <c r="AI290" s="60"/>
      <c r="AJ290" s="60">
        <v>2059854051</v>
      </c>
      <c r="AK290" s="60">
        <v>5208527032</v>
      </c>
      <c r="AL290" s="60"/>
      <c r="AM290" s="60"/>
      <c r="AN290" s="60">
        <f t="shared" si="43"/>
        <v>174908274122</v>
      </c>
      <c r="AO290" s="60">
        <v>32492570926</v>
      </c>
      <c r="AP290" s="60"/>
      <c r="AQ290" s="60"/>
      <c r="AR290" s="60">
        <v>1025228897</v>
      </c>
      <c r="AS290" s="60">
        <v>2061997362</v>
      </c>
      <c r="AT290" s="60"/>
      <c r="AU290" s="60"/>
      <c r="AV290" s="60">
        <v>2059854051</v>
      </c>
      <c r="AW290" s="60">
        <v>3530863452</v>
      </c>
      <c r="AX290" s="60"/>
      <c r="AY290" s="60"/>
      <c r="AZ290" s="60"/>
      <c r="BA290" s="60"/>
      <c r="BB290" s="60"/>
      <c r="BC290" s="61">
        <f t="shared" si="37"/>
        <v>216078788810</v>
      </c>
      <c r="BD290" s="60">
        <v>32708490612</v>
      </c>
      <c r="BE290" s="60">
        <v>486622633</v>
      </c>
      <c r="BF290" s="60"/>
      <c r="BG290" s="60">
        <v>2050457794</v>
      </c>
      <c r="BH290" s="60"/>
      <c r="BI290" s="60"/>
      <c r="BJ290" s="60"/>
      <c r="BK290" s="60">
        <v>2106588529</v>
      </c>
      <c r="BL290" s="60">
        <v>5053748752</v>
      </c>
      <c r="BM290" s="60"/>
      <c r="BN290" s="60"/>
      <c r="BO290" s="60"/>
      <c r="BP290" s="61">
        <v>258484697130</v>
      </c>
      <c r="BQ290" s="61">
        <v>32879023173</v>
      </c>
      <c r="BR290" s="61">
        <v>0</v>
      </c>
      <c r="BS290" s="61"/>
      <c r="BT290" s="61">
        <v>1025228897</v>
      </c>
      <c r="BU290" s="61">
        <v>14519679213</v>
      </c>
      <c r="BV290" s="61"/>
      <c r="BW290" s="61"/>
      <c r="BX290" s="61"/>
      <c r="BY290" s="61"/>
      <c r="BZ290" s="61">
        <v>2090856272</v>
      </c>
      <c r="CA290" s="61">
        <v>5641847265</v>
      </c>
      <c r="CB290" s="61"/>
      <c r="CC290" s="61"/>
      <c r="CD290" s="61"/>
      <c r="CE290" s="61"/>
      <c r="CF290" s="61"/>
      <c r="CG290" s="61">
        <f t="shared" si="38"/>
        <v>314641331950</v>
      </c>
      <c r="CH290" s="62">
        <f>VLOOKUP(B290,[1]RPTNCT049_ConsultaSaldosContabl!I$4:K$7987,3,0)</f>
        <v>314641331950</v>
      </c>
      <c r="CI290" s="62">
        <f t="shared" si="39"/>
        <v>0</v>
      </c>
      <c r="CJ290" s="63">
        <f t="shared" si="40"/>
        <v>314641331950</v>
      </c>
      <c r="CK290" s="64">
        <f t="shared" si="41"/>
        <v>0</v>
      </c>
      <c r="CL290" s="16"/>
      <c r="CM290" s="8"/>
      <c r="CN290" s="8"/>
      <c r="CO290" s="8"/>
      <c r="CP290" s="8"/>
      <c r="CQ290" s="8"/>
      <c r="CR290" s="8"/>
    </row>
    <row r="291" spans="1:96" ht="15" customHeight="1" x14ac:dyDescent="0.2">
      <c r="A291" s="1">
        <v>8001039277</v>
      </c>
      <c r="B291" s="1">
        <v>800103927</v>
      </c>
      <c r="C291" s="9">
        <v>115454000</v>
      </c>
      <c r="D291" s="10" t="s">
        <v>19</v>
      </c>
      <c r="E291" s="47" t="s">
        <v>1026</v>
      </c>
      <c r="F291" s="21">
        <f>22219402510+383972849</f>
        <v>22603375359</v>
      </c>
      <c r="G291" s="59"/>
      <c r="H291" s="21">
        <v>1114881956</v>
      </c>
      <c r="I291" s="59"/>
      <c r="J291" s="21">
        <v>1466127053</v>
      </c>
      <c r="K291" s="21">
        <v>2946574100</v>
      </c>
      <c r="L291" s="59"/>
      <c r="M291" s="61">
        <f t="shared" si="44"/>
        <v>28130958468</v>
      </c>
      <c r="N291" s="21">
        <f>20721705786+174533113</f>
        <v>20896238899</v>
      </c>
      <c r="O291" s="59"/>
      <c r="P291" s="21">
        <f>VLOOKUP(A291,'[4]PENS-CANC'!A$2:B$37,2,0)</f>
        <v>1114881956</v>
      </c>
      <c r="Q291" s="59"/>
      <c r="R291" s="21">
        <v>1466127053</v>
      </c>
      <c r="S291" s="21">
        <f>1480447047+1466127053</f>
        <v>2946574100</v>
      </c>
      <c r="T291" s="59"/>
      <c r="U291" s="60">
        <f t="shared" si="36"/>
        <v>54554780476</v>
      </c>
      <c r="V291" s="60">
        <v>28512494438</v>
      </c>
      <c r="W291" s="60"/>
      <c r="X291" s="60">
        <v>1114881956</v>
      </c>
      <c r="Y291" s="60"/>
      <c r="Z291" s="60">
        <v>1562389758</v>
      </c>
      <c r="AA291" s="60">
        <v>3347621571</v>
      </c>
      <c r="AB291" s="60"/>
      <c r="AC291" s="60">
        <f t="shared" si="45"/>
        <v>89092168199</v>
      </c>
      <c r="AD291" s="60">
        <v>21102926969</v>
      </c>
      <c r="AE291" s="60">
        <v>2041416074</v>
      </c>
      <c r="AF291" s="60"/>
      <c r="AG291" s="60">
        <v>1114881956</v>
      </c>
      <c r="AH291" s="60"/>
      <c r="AI291" s="60"/>
      <c r="AJ291" s="60">
        <v>1467952527</v>
      </c>
      <c r="AK291" s="60">
        <v>3704465834</v>
      </c>
      <c r="AL291" s="60"/>
      <c r="AM291" s="60"/>
      <c r="AN291" s="60">
        <f t="shared" si="43"/>
        <v>118523811559</v>
      </c>
      <c r="AO291" s="60">
        <f>25351621946+5256000000</f>
        <v>30607621946</v>
      </c>
      <c r="AP291" s="60">
        <v>2058850000</v>
      </c>
      <c r="AQ291" s="60"/>
      <c r="AR291" s="60">
        <v>1114881956</v>
      </c>
      <c r="AS291" s="60">
        <v>0</v>
      </c>
      <c r="AT291" s="60"/>
      <c r="AU291" s="60"/>
      <c r="AV291" s="60">
        <v>1467952527</v>
      </c>
      <c r="AW291" s="60">
        <v>2509130398</v>
      </c>
      <c r="AX291" s="60"/>
      <c r="AY291" s="60"/>
      <c r="AZ291" s="60"/>
      <c r="BA291" s="60"/>
      <c r="BB291" s="60"/>
      <c r="BC291" s="61">
        <f t="shared" si="37"/>
        <v>156282248386</v>
      </c>
      <c r="BD291" s="60">
        <v>24576275097</v>
      </c>
      <c r="BE291" s="60">
        <v>2156096613</v>
      </c>
      <c r="BF291" s="60"/>
      <c r="BG291" s="60">
        <v>2229763912</v>
      </c>
      <c r="BH291" s="60"/>
      <c r="BI291" s="60"/>
      <c r="BJ291" s="60"/>
      <c r="BK291" s="60">
        <v>2218253593</v>
      </c>
      <c r="BL291" s="60">
        <v>5525569374</v>
      </c>
      <c r="BM291" s="60"/>
      <c r="BN291" s="60"/>
      <c r="BO291" s="60"/>
      <c r="BP291" s="61">
        <v>192988206975</v>
      </c>
      <c r="BQ291" s="61">
        <v>24235938137</v>
      </c>
      <c r="BR291" s="61">
        <v>1889632000</v>
      </c>
      <c r="BS291" s="61"/>
      <c r="BT291" s="61">
        <v>1114881956</v>
      </c>
      <c r="BU291" s="61">
        <v>9738030548</v>
      </c>
      <c r="BV291" s="61"/>
      <c r="BW291" s="61"/>
      <c r="BX291" s="61"/>
      <c r="BY291" s="61"/>
      <c r="BZ291" s="61">
        <v>1626023709</v>
      </c>
      <c r="CA291" s="61">
        <v>4274964710</v>
      </c>
      <c r="CB291" s="61"/>
      <c r="CC291" s="61"/>
      <c r="CD291" s="61"/>
      <c r="CE291" s="61"/>
      <c r="CF291" s="61"/>
      <c r="CG291" s="61">
        <f t="shared" si="38"/>
        <v>235867678035</v>
      </c>
      <c r="CH291" s="62">
        <f>VLOOKUP(B291,[1]RPTNCT049_ConsultaSaldosContabl!I$4:K$7987,3,0)</f>
        <v>235867678035</v>
      </c>
      <c r="CI291" s="62">
        <f t="shared" si="39"/>
        <v>0</v>
      </c>
      <c r="CJ291" s="63">
        <f t="shared" si="40"/>
        <v>235867678035</v>
      </c>
      <c r="CK291" s="64">
        <f t="shared" si="41"/>
        <v>0</v>
      </c>
      <c r="CL291" s="16"/>
      <c r="CM291" s="8"/>
      <c r="CN291" s="8"/>
      <c r="CO291" s="8"/>
      <c r="CP291" s="8"/>
      <c r="CQ291" s="8"/>
      <c r="CR291" s="8"/>
    </row>
    <row r="292" spans="1:96" ht="15" customHeight="1" x14ac:dyDescent="0.2">
      <c r="A292" s="1">
        <v>8914800857</v>
      </c>
      <c r="B292" s="1">
        <v>891480085</v>
      </c>
      <c r="C292" s="9">
        <v>116666000</v>
      </c>
      <c r="D292" s="10" t="s">
        <v>31</v>
      </c>
      <c r="E292" s="47" t="s">
        <v>1057</v>
      </c>
      <c r="F292" s="21">
        <f>8270843670+233650029</f>
        <v>8504493699</v>
      </c>
      <c r="G292" s="59"/>
      <c r="H292" s="21">
        <v>544946956</v>
      </c>
      <c r="I292" s="59"/>
      <c r="J292" s="21">
        <v>541833500</v>
      </c>
      <c r="K292" s="21">
        <v>1090554298</v>
      </c>
      <c r="L292" s="59"/>
      <c r="M292" s="61">
        <f t="shared" si="44"/>
        <v>10681828453</v>
      </c>
      <c r="N292" s="21">
        <f>8217396241+106204559</f>
        <v>8323600800</v>
      </c>
      <c r="O292" s="59"/>
      <c r="P292" s="21">
        <f>VLOOKUP(A292,'[4]PENS-CANC'!A$2:B$37,2,0)</f>
        <v>544946956</v>
      </c>
      <c r="Q292" s="59"/>
      <c r="R292" s="21">
        <v>541833500</v>
      </c>
      <c r="S292" s="21">
        <f>548720798+541833500</f>
        <v>1090554298</v>
      </c>
      <c r="T292" s="59"/>
      <c r="U292" s="60">
        <f t="shared" si="36"/>
        <v>21182764007</v>
      </c>
      <c r="V292" s="60">
        <v>10326347839</v>
      </c>
      <c r="W292" s="60"/>
      <c r="X292" s="60">
        <v>544946956</v>
      </c>
      <c r="Y292" s="60"/>
      <c r="Z292" s="60">
        <v>539217768</v>
      </c>
      <c r="AA292" s="60">
        <v>1245248484</v>
      </c>
      <c r="AB292" s="60"/>
      <c r="AC292" s="60">
        <f t="shared" si="45"/>
        <v>33838525054</v>
      </c>
      <c r="AD292" s="60">
        <v>8197260768</v>
      </c>
      <c r="AE292" s="60">
        <v>1060888441</v>
      </c>
      <c r="AF292" s="60"/>
      <c r="AG292" s="60">
        <v>544946956</v>
      </c>
      <c r="AH292" s="60"/>
      <c r="AI292" s="60"/>
      <c r="AJ292" s="60">
        <v>562300938</v>
      </c>
      <c r="AK292" s="60">
        <v>1420128230</v>
      </c>
      <c r="AL292" s="60"/>
      <c r="AM292" s="60"/>
      <c r="AN292" s="60">
        <f t="shared" si="43"/>
        <v>45624050387</v>
      </c>
      <c r="AO292" s="60">
        <v>8197260768</v>
      </c>
      <c r="AP292" s="60"/>
      <c r="AQ292" s="60"/>
      <c r="AR292" s="60">
        <v>544946956</v>
      </c>
      <c r="AS292" s="60">
        <v>0</v>
      </c>
      <c r="AT292" s="60"/>
      <c r="AU292" s="60"/>
      <c r="AV292" s="60">
        <v>562300938</v>
      </c>
      <c r="AW292" s="60">
        <v>962738894</v>
      </c>
      <c r="AX292" s="60"/>
      <c r="AY292" s="60"/>
      <c r="AZ292" s="60"/>
      <c r="BA292" s="60"/>
      <c r="BB292" s="60"/>
      <c r="BC292" s="61">
        <f t="shared" si="37"/>
        <v>55891297943</v>
      </c>
      <c r="BD292" s="60">
        <v>8677517326</v>
      </c>
      <c r="BE292" s="60">
        <v>330398400</v>
      </c>
      <c r="BF292" s="60"/>
      <c r="BG292" s="60">
        <v>1089893912</v>
      </c>
      <c r="BH292" s="60"/>
      <c r="BI292" s="60"/>
      <c r="BJ292" s="60"/>
      <c r="BK292" s="60">
        <v>619540317</v>
      </c>
      <c r="BL292" s="60">
        <v>1572078396</v>
      </c>
      <c r="BM292" s="60"/>
      <c r="BN292" s="60"/>
      <c r="BO292" s="60"/>
      <c r="BP292" s="61">
        <v>68180726294</v>
      </c>
      <c r="BQ292" s="61">
        <v>8623650545</v>
      </c>
      <c r="BR292" s="61">
        <v>0</v>
      </c>
      <c r="BS292" s="61"/>
      <c r="BT292" s="61">
        <v>544946956</v>
      </c>
      <c r="BU292" s="61">
        <v>3922369960</v>
      </c>
      <c r="BV292" s="61"/>
      <c r="BW292" s="61"/>
      <c r="BX292" s="61"/>
      <c r="BY292" s="61"/>
      <c r="BZ292" s="61">
        <v>571757403</v>
      </c>
      <c r="CA292" s="61">
        <v>1519754345</v>
      </c>
      <c r="CB292" s="61"/>
      <c r="CC292" s="61"/>
      <c r="CD292" s="61"/>
      <c r="CE292" s="61"/>
      <c r="CF292" s="61"/>
      <c r="CG292" s="61">
        <f t="shared" si="38"/>
        <v>83363205503</v>
      </c>
      <c r="CH292" s="62">
        <f>VLOOKUP(B292,[1]RPTNCT049_ConsultaSaldosContabl!I$4:K$7987,3,0)</f>
        <v>83363205503</v>
      </c>
      <c r="CI292" s="62">
        <f t="shared" si="39"/>
        <v>0</v>
      </c>
      <c r="CJ292" s="63">
        <f t="shared" si="40"/>
        <v>83363205503</v>
      </c>
      <c r="CK292" s="64">
        <f t="shared" si="41"/>
        <v>0</v>
      </c>
      <c r="CL292" s="16"/>
      <c r="CM292" s="8"/>
      <c r="CN292" s="8"/>
      <c r="CO292" s="8"/>
      <c r="CP292" s="8"/>
      <c r="CQ292" s="8"/>
      <c r="CR292" s="8"/>
    </row>
    <row r="293" spans="1:96" s="23" customFormat="1" ht="15" customHeight="1" x14ac:dyDescent="0.2">
      <c r="A293" s="1">
        <v>8924000382</v>
      </c>
      <c r="B293" s="1">
        <v>892400038</v>
      </c>
      <c r="C293" s="9">
        <v>118888000</v>
      </c>
      <c r="D293" s="10" t="s">
        <v>41</v>
      </c>
      <c r="E293" s="47" t="s">
        <v>1073</v>
      </c>
      <c r="F293" s="21">
        <v>1603078138</v>
      </c>
      <c r="G293" s="67"/>
      <c r="H293" s="21">
        <v>128164044</v>
      </c>
      <c r="I293" s="67"/>
      <c r="J293" s="21">
        <v>90549836</v>
      </c>
      <c r="K293" s="21">
        <v>180010776</v>
      </c>
      <c r="L293" s="67"/>
      <c r="M293" s="68">
        <f t="shared" si="44"/>
        <v>2001802794</v>
      </c>
      <c r="N293" s="21">
        <f>1541856776+7598020</f>
        <v>1549454796</v>
      </c>
      <c r="O293" s="67"/>
      <c r="P293" s="21">
        <f>VLOOKUP(A293,'[4]PENS-CANC'!A$2:B$37,2,0)</f>
        <v>128164044</v>
      </c>
      <c r="Q293" s="59"/>
      <c r="R293" s="21">
        <v>90549836</v>
      </c>
      <c r="S293" s="21">
        <f>89460940+90549836</f>
        <v>180010776</v>
      </c>
      <c r="T293" s="67"/>
      <c r="U293" s="60">
        <f t="shared" si="36"/>
        <v>3949982246</v>
      </c>
      <c r="V293" s="60">
        <v>2081442942</v>
      </c>
      <c r="W293" s="60"/>
      <c r="X293" s="60">
        <v>128164044</v>
      </c>
      <c r="Y293" s="60"/>
      <c r="Z293" s="60">
        <v>186678595</v>
      </c>
      <c r="AA293" s="60">
        <v>203249288</v>
      </c>
      <c r="AB293" s="60"/>
      <c r="AC293" s="60">
        <f t="shared" si="45"/>
        <v>6549517115</v>
      </c>
      <c r="AD293" s="60">
        <v>1478979931</v>
      </c>
      <c r="AE293" s="60">
        <v>138556857</v>
      </c>
      <c r="AF293" s="60"/>
      <c r="AG293" s="60">
        <v>128164044</v>
      </c>
      <c r="AH293" s="60"/>
      <c r="AI293" s="60"/>
      <c r="AJ293" s="60">
        <v>92052364</v>
      </c>
      <c r="AK293" s="60">
        <v>232762702</v>
      </c>
      <c r="AL293" s="60"/>
      <c r="AM293" s="60">
        <v>279437134</v>
      </c>
      <c r="AN293" s="60">
        <f t="shared" si="43"/>
        <v>8899470147</v>
      </c>
      <c r="AO293" s="60">
        <v>1478979931</v>
      </c>
      <c r="AP293" s="60"/>
      <c r="AQ293" s="60"/>
      <c r="AR293" s="60">
        <v>128164044</v>
      </c>
      <c r="AS293" s="60">
        <v>1683168466</v>
      </c>
      <c r="AT293" s="60"/>
      <c r="AU293" s="60"/>
      <c r="AV293" s="60">
        <v>92052364</v>
      </c>
      <c r="AW293" s="60">
        <v>157807690</v>
      </c>
      <c r="AX293" s="60"/>
      <c r="AY293" s="60">
        <v>310588310</v>
      </c>
      <c r="AZ293" s="60"/>
      <c r="BA293" s="60">
        <f>VLOOKUP(B293,[2]Hoja3!J$3:K$674,2,0)</f>
        <v>245152074</v>
      </c>
      <c r="BB293" s="60"/>
      <c r="BC293" s="61">
        <f t="shared" si="37"/>
        <v>12995383026</v>
      </c>
      <c r="BD293" s="60">
        <v>1500878276</v>
      </c>
      <c r="BE293" s="60">
        <v>76192530</v>
      </c>
      <c r="BF293" s="60"/>
      <c r="BG293" s="60">
        <v>256328088</v>
      </c>
      <c r="BH293" s="60"/>
      <c r="BI293" s="60"/>
      <c r="BJ293" s="60"/>
      <c r="BK293" s="60">
        <v>0</v>
      </c>
      <c r="BL293" s="60">
        <v>196243808</v>
      </c>
      <c r="BM293" s="60"/>
      <c r="BN293" s="60">
        <v>62117662</v>
      </c>
      <c r="BO293" s="60"/>
      <c r="BP293" s="61">
        <v>15087143390</v>
      </c>
      <c r="BQ293" s="61">
        <v>1518769400</v>
      </c>
      <c r="BR293" s="61">
        <v>0</v>
      </c>
      <c r="BS293" s="61"/>
      <c r="BT293" s="61">
        <v>128164044</v>
      </c>
      <c r="BU293" s="61">
        <v>685495714</v>
      </c>
      <c r="BV293" s="61"/>
      <c r="BW293" s="61"/>
      <c r="BX293" s="61"/>
      <c r="BY293" s="61"/>
      <c r="BZ293" s="61">
        <v>92797449</v>
      </c>
      <c r="CA293" s="61">
        <v>241673304</v>
      </c>
      <c r="CB293" s="61"/>
      <c r="CC293" s="61">
        <v>62117662</v>
      </c>
      <c r="CD293" s="61"/>
      <c r="CE293" s="61"/>
      <c r="CF293" s="61"/>
      <c r="CG293" s="61">
        <f t="shared" si="38"/>
        <v>17816160963</v>
      </c>
      <c r="CH293" s="62">
        <f>VLOOKUP(B293,[1]RPTNCT049_ConsultaSaldosContabl!I$4:K$7987,3,0)</f>
        <v>17291571755</v>
      </c>
      <c r="CI293" s="62">
        <f t="shared" si="39"/>
        <v>524589208</v>
      </c>
      <c r="CJ293" s="63">
        <f t="shared" si="40"/>
        <v>17816160963</v>
      </c>
      <c r="CK293" s="64">
        <f t="shared" si="41"/>
        <v>0</v>
      </c>
      <c r="CL293" s="16"/>
      <c r="CM293" s="16"/>
      <c r="CN293" s="16"/>
    </row>
    <row r="294" spans="1:96" ht="15" customHeight="1" x14ac:dyDescent="0.2">
      <c r="A294" s="1">
        <v>8902012356</v>
      </c>
      <c r="B294" s="1">
        <v>890201235</v>
      </c>
      <c r="C294" s="9">
        <v>116868000</v>
      </c>
      <c r="D294" s="10" t="s">
        <v>26</v>
      </c>
      <c r="E294" s="47" t="s">
        <v>1036</v>
      </c>
      <c r="F294" s="21">
        <v>29582757348</v>
      </c>
      <c r="G294" s="59"/>
      <c r="H294" s="21">
        <v>1555200516</v>
      </c>
      <c r="I294" s="59"/>
      <c r="J294" s="21">
        <v>1878454361</v>
      </c>
      <c r="K294" s="21">
        <v>3847392052</v>
      </c>
      <c r="L294" s="59"/>
      <c r="M294" s="61">
        <f t="shared" si="44"/>
        <v>36863804277</v>
      </c>
      <c r="N294" s="21">
        <f>29521877814+247390366</f>
        <v>29769268180</v>
      </c>
      <c r="O294" s="59"/>
      <c r="P294" s="21">
        <f>VLOOKUP(A294,'[4]PENS-CANC'!A$2:B$37,2,0)</f>
        <v>1555200516</v>
      </c>
      <c r="Q294" s="59"/>
      <c r="R294" s="21">
        <v>1878454361</v>
      </c>
      <c r="S294" s="21">
        <f>1968937691+1878454361</f>
        <v>3847392052</v>
      </c>
      <c r="T294" s="59"/>
      <c r="U294" s="60">
        <f t="shared" si="36"/>
        <v>73914119386</v>
      </c>
      <c r="V294" s="60">
        <v>35338913150</v>
      </c>
      <c r="W294" s="60"/>
      <c r="X294" s="60">
        <v>1555200516</v>
      </c>
      <c r="Y294" s="60"/>
      <c r="Z294" s="60">
        <v>1838730664</v>
      </c>
      <c r="AA294" s="60">
        <v>4116266879</v>
      </c>
      <c r="AB294" s="60"/>
      <c r="AC294" s="60">
        <f t="shared" si="45"/>
        <v>116763230595</v>
      </c>
      <c r="AD294" s="60">
        <v>28852022379</v>
      </c>
      <c r="AE294" s="60">
        <v>2487897359</v>
      </c>
      <c r="AF294" s="60"/>
      <c r="AG294" s="60">
        <v>1555200516</v>
      </c>
      <c r="AH294" s="60"/>
      <c r="AI294" s="60"/>
      <c r="AJ294" s="60">
        <v>1903281205</v>
      </c>
      <c r="AK294" s="60">
        <v>4803411743</v>
      </c>
      <c r="AL294" s="60"/>
      <c r="AM294" s="60"/>
      <c r="AN294" s="60">
        <f t="shared" si="43"/>
        <v>156365043797</v>
      </c>
      <c r="AO294" s="60">
        <v>28852022379</v>
      </c>
      <c r="AP294" s="60"/>
      <c r="AQ294" s="60"/>
      <c r="AR294" s="60">
        <v>1555200516</v>
      </c>
      <c r="AS294" s="60">
        <v>4509058973</v>
      </c>
      <c r="AT294" s="60"/>
      <c r="AU294" s="60"/>
      <c r="AV294" s="60">
        <v>1903281205</v>
      </c>
      <c r="AW294" s="60">
        <v>3255194255</v>
      </c>
      <c r="AX294" s="60"/>
      <c r="AY294" s="60"/>
      <c r="AZ294" s="60"/>
      <c r="BA294" s="60"/>
      <c r="BB294" s="60"/>
      <c r="BC294" s="61">
        <f t="shared" si="37"/>
        <v>196439801125</v>
      </c>
      <c r="BD294" s="60">
        <v>29558464307</v>
      </c>
      <c r="BE294" s="60">
        <v>184003630</v>
      </c>
      <c r="BF294" s="60"/>
      <c r="BG294" s="60">
        <v>3110401032</v>
      </c>
      <c r="BH294" s="60"/>
      <c r="BI294" s="60"/>
      <c r="BJ294" s="60"/>
      <c r="BK294" s="60">
        <v>2071337276</v>
      </c>
      <c r="BL294" s="60">
        <v>5133676658</v>
      </c>
      <c r="BM294" s="60"/>
      <c r="BN294" s="60"/>
      <c r="BO294" s="60"/>
      <c r="BP294" s="61">
        <v>236497684028</v>
      </c>
      <c r="BQ294" s="61">
        <v>29615856168</v>
      </c>
      <c r="BR294" s="61">
        <v>2442566415</v>
      </c>
      <c r="BS294" s="61"/>
      <c r="BT294" s="61">
        <v>1555200516</v>
      </c>
      <c r="BU294" s="61">
        <v>12989162263</v>
      </c>
      <c r="BV294" s="61"/>
      <c r="BW294" s="61"/>
      <c r="BX294" s="61"/>
      <c r="BY294" s="61"/>
      <c r="BZ294" s="61">
        <v>1926003403</v>
      </c>
      <c r="CA294" s="61">
        <v>5184703943</v>
      </c>
      <c r="CB294" s="61"/>
      <c r="CC294" s="61"/>
      <c r="CD294" s="61"/>
      <c r="CE294" s="61"/>
      <c r="CF294" s="61"/>
      <c r="CG294" s="61">
        <f t="shared" si="38"/>
        <v>290211176736</v>
      </c>
      <c r="CH294" s="62">
        <f>VLOOKUP(B294,[1]RPTNCT049_ConsultaSaldosContabl!I$4:K$7987,3,0)</f>
        <v>290211176736</v>
      </c>
      <c r="CI294" s="62">
        <f t="shared" si="39"/>
        <v>0</v>
      </c>
      <c r="CJ294" s="63">
        <f t="shared" si="40"/>
        <v>290211176736</v>
      </c>
      <c r="CK294" s="64">
        <f t="shared" si="41"/>
        <v>0</v>
      </c>
      <c r="CL294" s="16"/>
      <c r="CM294" s="8"/>
      <c r="CN294" s="8"/>
      <c r="CO294" s="8"/>
      <c r="CP294" s="8"/>
      <c r="CQ294" s="8"/>
      <c r="CR294" s="8"/>
    </row>
    <row r="295" spans="1:96" ht="15" customHeight="1" x14ac:dyDescent="0.2">
      <c r="A295" s="1">
        <v>8922800211</v>
      </c>
      <c r="B295" s="1">
        <v>892280021</v>
      </c>
      <c r="C295" s="9">
        <v>117070000</v>
      </c>
      <c r="D295" s="10" t="s">
        <v>39</v>
      </c>
      <c r="E295" s="47" t="s">
        <v>1071</v>
      </c>
      <c r="F295" s="21">
        <v>23663229040</v>
      </c>
      <c r="G295" s="59"/>
      <c r="H295" s="21">
        <v>0</v>
      </c>
      <c r="I295" s="59"/>
      <c r="J295" s="21">
        <v>1699195260</v>
      </c>
      <c r="K295" s="21">
        <v>3462893803</v>
      </c>
      <c r="L295" s="59"/>
      <c r="M295" s="61">
        <f t="shared" si="44"/>
        <v>28825318103</v>
      </c>
      <c r="N295" s="21">
        <f>23318712352+124637160</f>
        <v>23443349512</v>
      </c>
      <c r="O295" s="59"/>
      <c r="P295" s="21">
        <f>VLOOKUP(A295,'[4]PENS-CANC'!A$2:B$37,2,0)</f>
        <v>0</v>
      </c>
      <c r="Q295" s="59"/>
      <c r="R295" s="21">
        <v>1700275806</v>
      </c>
      <c r="S295" s="21">
        <f>1763698543+1700275806</f>
        <v>3463974349</v>
      </c>
      <c r="T295" s="59"/>
      <c r="U295" s="60">
        <f t="shared" si="36"/>
        <v>57432917770</v>
      </c>
      <c r="V295" s="60">
        <v>28892409241</v>
      </c>
      <c r="W295" s="60"/>
      <c r="X295" s="60">
        <v>0</v>
      </c>
      <c r="Y295" s="60"/>
      <c r="Z295" s="60">
        <v>1476368389</v>
      </c>
      <c r="AA295" s="60">
        <v>3270024882</v>
      </c>
      <c r="AB295" s="60"/>
      <c r="AC295" s="60">
        <f t="shared" si="45"/>
        <v>91071720282</v>
      </c>
      <c r="AD295" s="60">
        <v>24071857622</v>
      </c>
      <c r="AE295" s="60">
        <v>1691866311</v>
      </c>
      <c r="AF295" s="60"/>
      <c r="AG295" s="60">
        <v>0</v>
      </c>
      <c r="AH295" s="60"/>
      <c r="AI295" s="60"/>
      <c r="AJ295" s="60">
        <v>1662158266</v>
      </c>
      <c r="AK295" s="60">
        <v>4197068183</v>
      </c>
      <c r="AL295" s="60"/>
      <c r="AM295" s="60"/>
      <c r="AN295" s="60">
        <f t="shared" si="43"/>
        <v>122694670664</v>
      </c>
      <c r="AO295" s="60">
        <v>24071857622</v>
      </c>
      <c r="AP295" s="60"/>
      <c r="AQ295" s="60"/>
      <c r="AR295" s="60"/>
      <c r="AS295" s="60">
        <v>1246034921</v>
      </c>
      <c r="AT295" s="60"/>
      <c r="AU295" s="60"/>
      <c r="AV295" s="60">
        <v>1662158266</v>
      </c>
      <c r="AW295" s="60">
        <v>2843743297</v>
      </c>
      <c r="AX295" s="60"/>
      <c r="AY295" s="60"/>
      <c r="AZ295" s="60"/>
      <c r="BA295" s="60"/>
      <c r="BB295" s="60"/>
      <c r="BC295" s="61">
        <f t="shared" si="37"/>
        <v>152518464770</v>
      </c>
      <c r="BD295" s="60">
        <v>24634488353</v>
      </c>
      <c r="BE295" s="60">
        <v>726818544</v>
      </c>
      <c r="BF295" s="60"/>
      <c r="BG295" s="60"/>
      <c r="BH295" s="60"/>
      <c r="BI295" s="60"/>
      <c r="BJ295" s="60"/>
      <c r="BK295" s="60">
        <v>1646944600</v>
      </c>
      <c r="BL295" s="60">
        <v>4205768830</v>
      </c>
      <c r="BM295" s="60"/>
      <c r="BN295" s="60"/>
      <c r="BO295" s="60"/>
      <c r="BP295" s="61">
        <v>183732485097</v>
      </c>
      <c r="BQ295" s="61">
        <v>24354510804</v>
      </c>
      <c r="BR295" s="61">
        <v>0</v>
      </c>
      <c r="BS295" s="61"/>
      <c r="BT295" s="61">
        <v>0</v>
      </c>
      <c r="BU295" s="61">
        <v>10708278587</v>
      </c>
      <c r="BV295" s="61"/>
      <c r="BW295" s="61"/>
      <c r="BX295" s="61"/>
      <c r="BY295" s="61"/>
      <c r="BZ295" s="61">
        <v>1658215589</v>
      </c>
      <c r="CA295" s="61">
        <v>4431284251</v>
      </c>
      <c r="CB295" s="61"/>
      <c r="CC295" s="61"/>
      <c r="CD295" s="61"/>
      <c r="CE295" s="61"/>
      <c r="CF295" s="61"/>
      <c r="CG295" s="61">
        <f t="shared" si="38"/>
        <v>224884774328</v>
      </c>
      <c r="CH295" s="62">
        <f>VLOOKUP(B295,[1]RPTNCT049_ConsultaSaldosContabl!I$4:K$7987,3,0)</f>
        <v>224884774328</v>
      </c>
      <c r="CI295" s="62">
        <f t="shared" si="39"/>
        <v>0</v>
      </c>
      <c r="CJ295" s="63">
        <f t="shared" si="40"/>
        <v>224884774328</v>
      </c>
      <c r="CK295" s="64">
        <f t="shared" si="41"/>
        <v>0</v>
      </c>
      <c r="CL295" s="16"/>
      <c r="CM295" s="8"/>
      <c r="CN295" s="8"/>
      <c r="CO295" s="8"/>
      <c r="CP295" s="8"/>
      <c r="CQ295" s="8"/>
      <c r="CR295" s="8"/>
    </row>
    <row r="296" spans="1:96" ht="15" customHeight="1" x14ac:dyDescent="0.2">
      <c r="A296" s="1">
        <v>8450000210</v>
      </c>
      <c r="B296" s="1">
        <v>845000021</v>
      </c>
      <c r="C296" s="9">
        <v>119797000</v>
      </c>
      <c r="D296" s="10" t="s">
        <v>22</v>
      </c>
      <c r="E296" s="47" t="s">
        <v>1031</v>
      </c>
      <c r="F296" s="21">
        <v>2590230017</v>
      </c>
      <c r="G296" s="59"/>
      <c r="H296" s="21">
        <v>9017382</v>
      </c>
      <c r="I296" s="59"/>
      <c r="J296" s="21">
        <v>72118750</v>
      </c>
      <c r="K296" s="21">
        <v>150052818</v>
      </c>
      <c r="L296" s="59"/>
      <c r="M296" s="61">
        <f t="shared" si="44"/>
        <v>2821418967</v>
      </c>
      <c r="N296" s="21">
        <f>1388507520+574622416</f>
        <v>1963129936</v>
      </c>
      <c r="O296" s="59"/>
      <c r="P296" s="21">
        <f>VLOOKUP(A296,'[4]PENS-CANC'!A$2:B$37,2,0)</f>
        <v>9017382</v>
      </c>
      <c r="Q296" s="59"/>
      <c r="R296" s="21">
        <v>72118750</v>
      </c>
      <c r="S296" s="21">
        <f>77934068+72118750</f>
        <v>150052818</v>
      </c>
      <c r="T296" s="59"/>
      <c r="U296" s="60">
        <f t="shared" si="36"/>
        <v>5015737853</v>
      </c>
      <c r="V296" s="60">
        <v>4382025637</v>
      </c>
      <c r="W296" s="60"/>
      <c r="X296" s="60">
        <v>9017382</v>
      </c>
      <c r="Y296" s="60"/>
      <c r="Z296" s="60">
        <v>68438824</v>
      </c>
      <c r="AA296" s="60">
        <v>153437537</v>
      </c>
      <c r="AB296" s="60"/>
      <c r="AC296" s="60">
        <f t="shared" si="45"/>
        <v>9628657233</v>
      </c>
      <c r="AD296" s="60">
        <v>1656941579</v>
      </c>
      <c r="AE296" s="60">
        <v>3407027936</v>
      </c>
      <c r="AF296" s="60"/>
      <c r="AG296" s="60">
        <v>9017382</v>
      </c>
      <c r="AH296" s="60"/>
      <c r="AI296" s="60"/>
      <c r="AJ296" s="60">
        <v>73545589</v>
      </c>
      <c r="AK296" s="60">
        <v>187662907</v>
      </c>
      <c r="AL296" s="60"/>
      <c r="AM296" s="60"/>
      <c r="AN296" s="60">
        <f t="shared" si="43"/>
        <v>14962852626</v>
      </c>
      <c r="AO296" s="60">
        <v>1656941579</v>
      </c>
      <c r="AP296" s="60"/>
      <c r="AQ296" s="60"/>
      <c r="AR296" s="60">
        <v>9017382</v>
      </c>
      <c r="AS296" s="60">
        <v>514858411</v>
      </c>
      <c r="AT296" s="60"/>
      <c r="AU296" s="60"/>
      <c r="AV296" s="60">
        <v>73545589</v>
      </c>
      <c r="AW296" s="60">
        <v>127761085</v>
      </c>
      <c r="AX296" s="60"/>
      <c r="AY296" s="60"/>
      <c r="AZ296" s="60"/>
      <c r="BA296" s="60"/>
      <c r="BB296" s="60"/>
      <c r="BC296" s="61">
        <f t="shared" si="37"/>
        <v>17344976672</v>
      </c>
      <c r="BD296" s="60">
        <v>1519318278</v>
      </c>
      <c r="BE296" s="60">
        <v>197353584</v>
      </c>
      <c r="BF296" s="60"/>
      <c r="BG296" s="60">
        <v>18034764</v>
      </c>
      <c r="BH296" s="60"/>
      <c r="BI296" s="60"/>
      <c r="BJ296" s="60"/>
      <c r="BK296" s="60">
        <v>71729513</v>
      </c>
      <c r="BL296" s="60">
        <v>152449741</v>
      </c>
      <c r="BM296" s="60"/>
      <c r="BN296" s="60">
        <v>0</v>
      </c>
      <c r="BO296" s="60"/>
      <c r="BP296" s="61">
        <v>19303862552</v>
      </c>
      <c r="BQ296" s="61">
        <v>1493060194</v>
      </c>
      <c r="BR296" s="61">
        <v>0</v>
      </c>
      <c r="BS296" s="61"/>
      <c r="BT296" s="61">
        <v>9017382</v>
      </c>
      <c r="BU296" s="61">
        <v>611664343</v>
      </c>
      <c r="BV296" s="61"/>
      <c r="BW296" s="61"/>
      <c r="BX296" s="61"/>
      <c r="BY296" s="61"/>
      <c r="BZ296" s="61">
        <v>73849576</v>
      </c>
      <c r="CA296" s="61">
        <v>198077033</v>
      </c>
      <c r="CB296" s="61"/>
      <c r="CC296" s="61">
        <v>0</v>
      </c>
      <c r="CD296" s="61"/>
      <c r="CE296" s="61"/>
      <c r="CF296" s="61"/>
      <c r="CG296" s="61">
        <f t="shared" si="38"/>
        <v>21689531080</v>
      </c>
      <c r="CH296" s="62">
        <f>VLOOKUP(B296,[1]RPTNCT049_ConsultaSaldosContabl!I$4:K$7987,3,0)</f>
        <v>21689531080</v>
      </c>
      <c r="CI296" s="62">
        <f t="shared" si="39"/>
        <v>0</v>
      </c>
      <c r="CJ296" s="63">
        <f t="shared" si="40"/>
        <v>21689531080</v>
      </c>
      <c r="CK296" s="64">
        <f t="shared" si="41"/>
        <v>0</v>
      </c>
      <c r="CL296" s="16"/>
      <c r="CM296" s="8"/>
      <c r="CN296" s="8"/>
      <c r="CO296" s="8"/>
      <c r="CP296" s="8"/>
      <c r="CQ296" s="8"/>
      <c r="CR296" s="8"/>
    </row>
    <row r="297" spans="1:96" ht="15" customHeight="1" x14ac:dyDescent="0.2">
      <c r="A297" s="1">
        <v>8000940678</v>
      </c>
      <c r="B297" s="1">
        <v>800094067</v>
      </c>
      <c r="C297" s="9">
        <v>119999000</v>
      </c>
      <c r="D297" s="10" t="s">
        <v>12</v>
      </c>
      <c r="E297" s="47" t="s">
        <v>1012</v>
      </c>
      <c r="F297" s="21">
        <v>2455252586</v>
      </c>
      <c r="G297" s="59"/>
      <c r="H297" s="21">
        <v>22666318</v>
      </c>
      <c r="I297" s="59"/>
      <c r="J297" s="21">
        <v>117283074</v>
      </c>
      <c r="K297" s="21">
        <v>243865076</v>
      </c>
      <c r="L297" s="59"/>
      <c r="M297" s="61">
        <f t="shared" si="44"/>
        <v>2839067054</v>
      </c>
      <c r="N297" s="21">
        <f>2077251369+221896409</f>
        <v>2299147778</v>
      </c>
      <c r="O297" s="59"/>
      <c r="P297" s="21">
        <f>VLOOKUP(A297,'[4]PENS-CANC'!A$2:B$37,2,0)</f>
        <v>22666318</v>
      </c>
      <c r="Q297" s="59"/>
      <c r="R297" s="21">
        <v>117283074</v>
      </c>
      <c r="S297" s="21">
        <f>126582002+117283074</f>
        <v>243865076</v>
      </c>
      <c r="T297" s="59"/>
      <c r="U297" s="60">
        <f t="shared" si="36"/>
        <v>5522029300</v>
      </c>
      <c r="V297" s="60">
        <v>4112466693</v>
      </c>
      <c r="W297" s="60"/>
      <c r="X297" s="60">
        <v>22666318</v>
      </c>
      <c r="Y297" s="60"/>
      <c r="Z297" s="60">
        <v>102680129</v>
      </c>
      <c r="AA297" s="60">
        <v>232382042</v>
      </c>
      <c r="AB297" s="60"/>
      <c r="AC297" s="60">
        <f t="shared" si="45"/>
        <v>9992224482</v>
      </c>
      <c r="AD297" s="60">
        <v>2324094665</v>
      </c>
      <c r="AE297" s="60">
        <v>2869869560</v>
      </c>
      <c r="AF297" s="60"/>
      <c r="AG297" s="60">
        <v>22666318</v>
      </c>
      <c r="AH297" s="60"/>
      <c r="AI297" s="60"/>
      <c r="AJ297" s="60">
        <v>115265460</v>
      </c>
      <c r="AK297" s="60">
        <v>295169843</v>
      </c>
      <c r="AL297" s="60"/>
      <c r="AM297" s="60"/>
      <c r="AN297" s="60">
        <f t="shared" si="43"/>
        <v>15619290328</v>
      </c>
      <c r="AO297" s="60">
        <v>2324094665</v>
      </c>
      <c r="AP297" s="60"/>
      <c r="AQ297" s="60"/>
      <c r="AR297" s="60">
        <v>22666318</v>
      </c>
      <c r="AS297" s="60">
        <v>1236598635</v>
      </c>
      <c r="AT297" s="60"/>
      <c r="AU297" s="60"/>
      <c r="AV297" s="60">
        <v>115265460</v>
      </c>
      <c r="AW297" s="60">
        <v>201267861</v>
      </c>
      <c r="AX297" s="60"/>
      <c r="AY297" s="60"/>
      <c r="AZ297" s="60"/>
      <c r="BA297" s="60"/>
      <c r="BB297" s="60"/>
      <c r="BC297" s="61">
        <f t="shared" si="37"/>
        <v>19519183267</v>
      </c>
      <c r="BD297" s="60">
        <v>2062162960</v>
      </c>
      <c r="BE297" s="60">
        <v>306821928</v>
      </c>
      <c r="BF297" s="60"/>
      <c r="BG297" s="60">
        <v>45332636</v>
      </c>
      <c r="BH297" s="60"/>
      <c r="BI297" s="60"/>
      <c r="BJ297" s="60"/>
      <c r="BK297" s="60">
        <v>139958732</v>
      </c>
      <c r="BL297" s="60">
        <v>345346329</v>
      </c>
      <c r="BM297" s="60"/>
      <c r="BN297" s="60"/>
      <c r="BO297" s="60"/>
      <c r="BP297" s="61">
        <v>22418805852</v>
      </c>
      <c r="BQ297" s="61">
        <v>2054225002</v>
      </c>
      <c r="BR297" s="61">
        <v>0</v>
      </c>
      <c r="BS297" s="61"/>
      <c r="BT297" s="61">
        <v>22666318</v>
      </c>
      <c r="BU297" s="61">
        <v>845649150</v>
      </c>
      <c r="BV297" s="61"/>
      <c r="BW297" s="61"/>
      <c r="BX297" s="61"/>
      <c r="BY297" s="61"/>
      <c r="BZ297" s="61">
        <v>119060953</v>
      </c>
      <c r="CA297" s="61">
        <v>325912038</v>
      </c>
      <c r="CB297" s="61"/>
      <c r="CC297" s="61"/>
      <c r="CD297" s="61"/>
      <c r="CE297" s="61"/>
      <c r="CF297" s="61"/>
      <c r="CG297" s="61">
        <f t="shared" si="38"/>
        <v>25786319313</v>
      </c>
      <c r="CH297" s="62">
        <f>VLOOKUP(B297,[1]RPTNCT049_ConsultaSaldosContabl!I$4:K$7987,3,0)</f>
        <v>25786319313</v>
      </c>
      <c r="CI297" s="62">
        <f t="shared" si="39"/>
        <v>0</v>
      </c>
      <c r="CJ297" s="63">
        <f t="shared" si="40"/>
        <v>25786319313</v>
      </c>
      <c r="CK297" s="64">
        <f t="shared" si="41"/>
        <v>0</v>
      </c>
      <c r="CL297" s="16"/>
      <c r="CM297" s="8"/>
      <c r="CN297" s="8"/>
      <c r="CO297" s="8"/>
      <c r="CP297" s="8"/>
      <c r="CQ297" s="8"/>
      <c r="CR297" s="8"/>
    </row>
    <row r="298" spans="1:96" ht="15" customHeight="1" x14ac:dyDescent="0.2">
      <c r="A298" s="1">
        <v>8999993369</v>
      </c>
      <c r="B298" s="1">
        <v>899999336</v>
      </c>
      <c r="C298" s="9">
        <v>119191000</v>
      </c>
      <c r="D298" s="10" t="s">
        <v>2193</v>
      </c>
      <c r="E298" s="47" t="s">
        <v>1075</v>
      </c>
      <c r="F298" s="21">
        <v>2989940179</v>
      </c>
      <c r="G298" s="59"/>
      <c r="H298" s="21">
        <v>0</v>
      </c>
      <c r="I298" s="59"/>
      <c r="J298" s="21">
        <v>154800974</v>
      </c>
      <c r="K298" s="21">
        <v>317610055</v>
      </c>
      <c r="L298" s="59"/>
      <c r="M298" s="61">
        <f t="shared" si="44"/>
        <v>3462351208</v>
      </c>
      <c r="N298" s="21">
        <f>2630020993+201955476</f>
        <v>2831976469</v>
      </c>
      <c r="O298" s="59"/>
      <c r="P298" s="21">
        <f>VLOOKUP(A298,'[4]PENS-CANC'!A$2:B$37,2,0)</f>
        <v>0</v>
      </c>
      <c r="Q298" s="59"/>
      <c r="R298" s="21">
        <v>155119255</v>
      </c>
      <c r="S298" s="21">
        <f>162809081+155119255</f>
        <v>317928336</v>
      </c>
      <c r="T298" s="59"/>
      <c r="U298" s="60">
        <f t="shared" si="36"/>
        <v>6767375268</v>
      </c>
      <c r="V298" s="60">
        <v>4813138767</v>
      </c>
      <c r="W298" s="60"/>
      <c r="X298" s="60">
        <v>0</v>
      </c>
      <c r="Y298" s="60"/>
      <c r="Z298" s="60">
        <v>138033604</v>
      </c>
      <c r="AA298" s="60">
        <v>318191755</v>
      </c>
      <c r="AB298" s="60"/>
      <c r="AC298" s="60">
        <f t="shared" si="45"/>
        <v>12036739394</v>
      </c>
      <c r="AD298" s="60">
        <v>2761977644</v>
      </c>
      <c r="AE298" s="60">
        <v>1565589793</v>
      </c>
      <c r="AF298" s="60"/>
      <c r="AG298" s="60">
        <v>0</v>
      </c>
      <c r="AH298" s="60"/>
      <c r="AI298" s="60"/>
      <c r="AJ298" s="60">
        <v>152681034</v>
      </c>
      <c r="AK298" s="60">
        <v>389162668</v>
      </c>
      <c r="AL298" s="60"/>
      <c r="AM298" s="60">
        <v>233476594</v>
      </c>
      <c r="AN298" s="60">
        <f t="shared" si="43"/>
        <v>17139627127</v>
      </c>
      <c r="AO298" s="60">
        <v>2761977644</v>
      </c>
      <c r="AP298" s="60"/>
      <c r="AQ298" s="60"/>
      <c r="AR298" s="60"/>
      <c r="AS298" s="60"/>
      <c r="AT298" s="60"/>
      <c r="AU298" s="60"/>
      <c r="AV298" s="60">
        <v>152681034</v>
      </c>
      <c r="AW298" s="60">
        <v>264802876</v>
      </c>
      <c r="AX298" s="60"/>
      <c r="AY298" s="60">
        <v>198030070</v>
      </c>
      <c r="AZ298" s="60"/>
      <c r="BA298" s="60"/>
      <c r="BB298" s="60"/>
      <c r="BC298" s="61">
        <f t="shared" si="37"/>
        <v>20517118751</v>
      </c>
      <c r="BD298" s="60">
        <v>2977477106</v>
      </c>
      <c r="BE298" s="60">
        <v>159792510</v>
      </c>
      <c r="BF298" s="60"/>
      <c r="BG298" s="60"/>
      <c r="BH298" s="60"/>
      <c r="BI298" s="60"/>
      <c r="BJ298" s="60"/>
      <c r="BK298" s="60">
        <v>159429942</v>
      </c>
      <c r="BL298" s="60">
        <v>402327662</v>
      </c>
      <c r="BM298" s="60"/>
      <c r="BN298" s="60">
        <v>39606014</v>
      </c>
      <c r="BO298" s="60"/>
      <c r="BP298" s="61">
        <v>24255751985</v>
      </c>
      <c r="BQ298" s="61">
        <v>2884341704</v>
      </c>
      <c r="BR298" s="61">
        <v>0</v>
      </c>
      <c r="BS298" s="61"/>
      <c r="BT298" s="61">
        <v>0</v>
      </c>
      <c r="BU298" s="61">
        <v>1251068866</v>
      </c>
      <c r="BV298" s="61"/>
      <c r="BW298" s="61"/>
      <c r="BX298" s="61"/>
      <c r="BY298" s="61"/>
      <c r="BZ298" s="61">
        <v>157191893</v>
      </c>
      <c r="CA298" s="61">
        <v>419781403</v>
      </c>
      <c r="CB298" s="61"/>
      <c r="CC298" s="61">
        <v>39606014</v>
      </c>
      <c r="CD298" s="61"/>
      <c r="CE298" s="61"/>
      <c r="CF298" s="61"/>
      <c r="CG298" s="61">
        <f t="shared" si="38"/>
        <v>29007741865</v>
      </c>
      <c r="CH298" s="62">
        <f>VLOOKUP(B298,[1]RPTNCT049_ConsultaSaldosContabl!I$4:K$7987,3,0)</f>
        <v>28774265271</v>
      </c>
      <c r="CI298" s="62">
        <f t="shared" si="39"/>
        <v>233476594</v>
      </c>
      <c r="CJ298" s="63">
        <f t="shared" si="40"/>
        <v>29007741865</v>
      </c>
      <c r="CK298" s="64">
        <f t="shared" si="41"/>
        <v>0</v>
      </c>
      <c r="CL298" s="16"/>
      <c r="CM298" s="16"/>
      <c r="CN298" s="16"/>
    </row>
    <row r="299" spans="1:96" ht="15" customHeight="1" x14ac:dyDescent="0.2">
      <c r="A299" s="1">
        <v>8901020061</v>
      </c>
      <c r="B299" s="1">
        <v>890102006</v>
      </c>
      <c r="C299" s="9">
        <v>110808000</v>
      </c>
      <c r="D299" s="10" t="s">
        <v>24</v>
      </c>
      <c r="E299" s="47" t="s">
        <v>1034</v>
      </c>
      <c r="F299" s="21">
        <v>15333846164</v>
      </c>
      <c r="G299" s="59"/>
      <c r="H299" s="21">
        <v>1116272390</v>
      </c>
      <c r="I299" s="59"/>
      <c r="J299" s="21">
        <v>1077543108</v>
      </c>
      <c r="K299" s="21">
        <v>2145223656</v>
      </c>
      <c r="L299" s="59"/>
      <c r="M299" s="61">
        <f t="shared" si="44"/>
        <v>19672885318</v>
      </c>
      <c r="N299" s="21">
        <f>14377416609+145306637</f>
        <v>14522723246</v>
      </c>
      <c r="O299" s="59"/>
      <c r="P299" s="21">
        <f>VLOOKUP(A299,'[4]PENS-CANC'!A$2:B$37,2,0)</f>
        <v>1116272390</v>
      </c>
      <c r="Q299" s="59"/>
      <c r="R299" s="21">
        <v>1077902818</v>
      </c>
      <c r="S299" s="21">
        <f>1067680548+1077902818</f>
        <v>2145583366</v>
      </c>
      <c r="T299" s="59"/>
      <c r="U299" s="60">
        <f t="shared" si="36"/>
        <v>38535367138</v>
      </c>
      <c r="V299" s="60">
        <v>28223885592</v>
      </c>
      <c r="W299" s="60"/>
      <c r="X299" s="60">
        <v>1116272390</v>
      </c>
      <c r="Y299" s="60"/>
      <c r="Z299" s="60">
        <v>1039825826</v>
      </c>
      <c r="AA299" s="60">
        <v>2322321627</v>
      </c>
      <c r="AB299" s="60"/>
      <c r="AC299" s="60">
        <f t="shared" si="45"/>
        <v>71237672573</v>
      </c>
      <c r="AD299" s="60">
        <v>15309755104</v>
      </c>
      <c r="AE299" s="60">
        <v>1613391017</v>
      </c>
      <c r="AF299" s="60"/>
      <c r="AG299" s="60">
        <v>1116272390</v>
      </c>
      <c r="AH299" s="60"/>
      <c r="AI299" s="60"/>
      <c r="AJ299" s="60">
        <v>1079122421</v>
      </c>
      <c r="AK299" s="60">
        <v>2722776520</v>
      </c>
      <c r="AL299" s="60"/>
      <c r="AM299" s="60"/>
      <c r="AN299" s="60">
        <f t="shared" si="43"/>
        <v>93078990025</v>
      </c>
      <c r="AO299" s="60">
        <v>15309755104</v>
      </c>
      <c r="AP299" s="60"/>
      <c r="AQ299" s="60"/>
      <c r="AR299" s="60">
        <v>1116272390</v>
      </c>
      <c r="AS299" s="60">
        <v>488341796</v>
      </c>
      <c r="AT299" s="60"/>
      <c r="AU299" s="60"/>
      <c r="AV299" s="60">
        <v>1079122421</v>
      </c>
      <c r="AW299" s="60">
        <v>1844481984</v>
      </c>
      <c r="AX299" s="60"/>
      <c r="AY299" s="60"/>
      <c r="AZ299" s="60"/>
      <c r="BA299" s="60"/>
      <c r="BB299" s="60"/>
      <c r="BC299" s="61">
        <f t="shared" si="37"/>
        <v>112916963720</v>
      </c>
      <c r="BD299" s="60">
        <v>15472389583</v>
      </c>
      <c r="BE299" s="60">
        <v>464475463</v>
      </c>
      <c r="BF299" s="60"/>
      <c r="BG299" s="60">
        <v>2232544780</v>
      </c>
      <c r="BH299" s="60"/>
      <c r="BI299" s="60"/>
      <c r="BJ299" s="60"/>
      <c r="BK299" s="60">
        <v>1173118789</v>
      </c>
      <c r="BL299" s="60">
        <v>3036902844</v>
      </c>
      <c r="BM299" s="60"/>
      <c r="BN299" s="60"/>
      <c r="BO299" s="60"/>
      <c r="BP299" s="61">
        <v>135296395179</v>
      </c>
      <c r="BQ299" s="61">
        <v>15564384514</v>
      </c>
      <c r="BR299" s="61">
        <v>0</v>
      </c>
      <c r="BS299" s="61"/>
      <c r="BT299" s="61">
        <v>1116272390</v>
      </c>
      <c r="BU299" s="61">
        <v>6831593895</v>
      </c>
      <c r="BV299" s="61"/>
      <c r="BW299" s="61"/>
      <c r="BX299" s="61"/>
      <c r="BY299" s="61"/>
      <c r="BZ299" s="61">
        <v>1108279778</v>
      </c>
      <c r="CA299" s="61">
        <v>2901797829</v>
      </c>
      <c r="CB299" s="61"/>
      <c r="CC299" s="61"/>
      <c r="CD299" s="61"/>
      <c r="CE299" s="61"/>
      <c r="CF299" s="61"/>
      <c r="CG299" s="61">
        <f t="shared" si="38"/>
        <v>162818723585</v>
      </c>
      <c r="CH299" s="62">
        <f>VLOOKUP(B299,[1]RPTNCT049_ConsultaSaldosContabl!I$4:K$7987,3,0)</f>
        <v>162818723585</v>
      </c>
      <c r="CI299" s="62">
        <f t="shared" si="39"/>
        <v>0</v>
      </c>
      <c r="CJ299" s="63">
        <f t="shared" si="40"/>
        <v>162818723585</v>
      </c>
      <c r="CK299" s="64">
        <f t="shared" si="41"/>
        <v>0</v>
      </c>
      <c r="CL299" s="16"/>
      <c r="CM299" s="8"/>
      <c r="CN299" s="8"/>
      <c r="CO299" s="8"/>
      <c r="CP299" s="8"/>
      <c r="CQ299" s="8"/>
      <c r="CR299" s="8"/>
    </row>
    <row r="300" spans="1:96" ht="15" customHeight="1" x14ac:dyDescent="0.2">
      <c r="A300" s="1">
        <v>8000915944</v>
      </c>
      <c r="B300" s="1">
        <v>800091594</v>
      </c>
      <c r="C300" s="9">
        <v>111818000</v>
      </c>
      <c r="D300" s="10" t="s">
        <v>11</v>
      </c>
      <c r="E300" s="47" t="s">
        <v>1011</v>
      </c>
      <c r="F300" s="21">
        <v>10466480026</v>
      </c>
      <c r="G300" s="59"/>
      <c r="H300" s="21">
        <v>0</v>
      </c>
      <c r="I300" s="59"/>
      <c r="J300" s="21">
        <v>653090813</v>
      </c>
      <c r="K300" s="21">
        <v>1343451736</v>
      </c>
      <c r="L300" s="59"/>
      <c r="M300" s="61">
        <f t="shared" si="44"/>
        <v>12463022575</v>
      </c>
      <c r="N300" s="21">
        <f>9907190945+403583334</f>
        <v>10310774279</v>
      </c>
      <c r="O300" s="59"/>
      <c r="P300" s="21">
        <f>VLOOKUP(A300,'[4]PENS-CANC'!A$2:B$37,2,0)</f>
        <v>0</v>
      </c>
      <c r="Q300" s="59"/>
      <c r="R300" s="21">
        <v>653090813</v>
      </c>
      <c r="S300" s="21">
        <f>690360923+653090813</f>
        <v>1343451736</v>
      </c>
      <c r="T300" s="59"/>
      <c r="U300" s="60">
        <f t="shared" si="36"/>
        <v>24770339403</v>
      </c>
      <c r="V300" s="60">
        <v>13380286932</v>
      </c>
      <c r="W300" s="60"/>
      <c r="X300" s="60">
        <v>0</v>
      </c>
      <c r="Y300" s="60"/>
      <c r="Z300" s="60">
        <v>673922874</v>
      </c>
      <c r="AA300" s="60">
        <v>1480293835</v>
      </c>
      <c r="AB300" s="60"/>
      <c r="AC300" s="60">
        <f t="shared" si="45"/>
        <v>40304843044</v>
      </c>
      <c r="AD300" s="60">
        <v>9829558062</v>
      </c>
      <c r="AE300" s="60">
        <v>3159394335</v>
      </c>
      <c r="AF300" s="60"/>
      <c r="AG300" s="60">
        <v>0</v>
      </c>
      <c r="AH300" s="60"/>
      <c r="AI300" s="60"/>
      <c r="AJ300" s="60">
        <v>670430893</v>
      </c>
      <c r="AK300" s="60">
        <v>1700243451</v>
      </c>
      <c r="AL300" s="60"/>
      <c r="AM300" s="60"/>
      <c r="AN300" s="60">
        <f t="shared" si="43"/>
        <v>55664469785</v>
      </c>
      <c r="AO300" s="60">
        <v>9829558062</v>
      </c>
      <c r="AP300" s="60"/>
      <c r="AQ300" s="60"/>
      <c r="AR300" s="60"/>
      <c r="AS300" s="60">
        <v>300000000</v>
      </c>
      <c r="AT300" s="60"/>
      <c r="AU300" s="60"/>
      <c r="AV300" s="60">
        <v>670430893</v>
      </c>
      <c r="AW300" s="60">
        <v>1154656861</v>
      </c>
      <c r="AX300" s="60"/>
      <c r="AY300" s="60"/>
      <c r="AZ300" s="60"/>
      <c r="BA300" s="60"/>
      <c r="BB300" s="60"/>
      <c r="BC300" s="61">
        <f t="shared" si="37"/>
        <v>67619115601</v>
      </c>
      <c r="BD300" s="60">
        <v>10118108834</v>
      </c>
      <c r="BE300" s="60">
        <v>563459604</v>
      </c>
      <c r="BF300" s="60"/>
      <c r="BG300" s="60"/>
      <c r="BH300" s="60"/>
      <c r="BI300" s="60"/>
      <c r="BJ300" s="60"/>
      <c r="BK300" s="60">
        <v>670065614</v>
      </c>
      <c r="BL300" s="60">
        <v>1714716676</v>
      </c>
      <c r="BM300" s="60"/>
      <c r="BN300" s="60"/>
      <c r="BO300" s="60"/>
      <c r="BP300" s="61">
        <v>80685466329</v>
      </c>
      <c r="BQ300" s="61">
        <v>10126331980</v>
      </c>
      <c r="BR300" s="61">
        <v>0</v>
      </c>
      <c r="BS300" s="61"/>
      <c r="BT300" s="61">
        <v>0</v>
      </c>
      <c r="BU300" s="61">
        <v>4635102411</v>
      </c>
      <c r="BV300" s="61"/>
      <c r="BW300" s="61"/>
      <c r="BX300" s="61"/>
      <c r="BY300" s="61"/>
      <c r="BZ300" s="61">
        <v>666906805</v>
      </c>
      <c r="CA300" s="61">
        <v>1802603715</v>
      </c>
      <c r="CB300" s="61"/>
      <c r="CC300" s="61"/>
      <c r="CD300" s="61"/>
      <c r="CE300" s="61"/>
      <c r="CF300" s="61"/>
      <c r="CG300" s="61">
        <f t="shared" si="38"/>
        <v>97916411240</v>
      </c>
      <c r="CH300" s="62">
        <f>VLOOKUP(B300,[1]RPTNCT049_ConsultaSaldosContabl!I$4:K$7987,3,0)</f>
        <v>97916411240</v>
      </c>
      <c r="CI300" s="62">
        <f t="shared" si="39"/>
        <v>0</v>
      </c>
      <c r="CJ300" s="63">
        <f t="shared" si="40"/>
        <v>97916411240</v>
      </c>
      <c r="CK300" s="64">
        <f t="shared" si="41"/>
        <v>0</v>
      </c>
      <c r="CL300" s="16"/>
      <c r="CM300" s="8"/>
      <c r="CN300" s="8"/>
      <c r="CO300" s="8"/>
      <c r="CP300" s="8"/>
      <c r="CQ300" s="8"/>
      <c r="CR300" s="8"/>
    </row>
    <row r="301" spans="1:96" ht="15" customHeight="1" x14ac:dyDescent="0.2">
      <c r="A301" s="1">
        <v>8915800168</v>
      </c>
      <c r="B301" s="1">
        <v>891580016</v>
      </c>
      <c r="C301" s="9">
        <v>111919000</v>
      </c>
      <c r="D301" s="10" t="s">
        <v>32</v>
      </c>
      <c r="E301" s="46" t="s">
        <v>2253</v>
      </c>
      <c r="F301" s="21">
        <v>34751988507</v>
      </c>
      <c r="G301" s="59"/>
      <c r="H301" s="21">
        <v>837384827</v>
      </c>
      <c r="I301" s="59"/>
      <c r="J301" s="21">
        <v>2386597062</v>
      </c>
      <c r="K301" s="21">
        <v>4938873270</v>
      </c>
      <c r="L301" s="59"/>
      <c r="M301" s="61">
        <f t="shared" si="44"/>
        <v>42914843666</v>
      </c>
      <c r="N301" s="21">
        <f>35152235975+37153496682</f>
        <v>72305732657</v>
      </c>
      <c r="O301" s="59"/>
      <c r="P301" s="21">
        <f>VLOOKUP(A301,'[4]PENS-CANC'!A$2:B$37,2,0)</f>
        <v>837384827</v>
      </c>
      <c r="Q301" s="59"/>
      <c r="R301" s="21">
        <v>2387792429</v>
      </c>
      <c r="S301" s="21">
        <f>2552276208+2387792429</f>
        <v>4940068637</v>
      </c>
      <c r="T301" s="59"/>
      <c r="U301" s="60">
        <f t="shared" si="36"/>
        <v>123385822216</v>
      </c>
      <c r="V301" s="60">
        <v>54484532435</v>
      </c>
      <c r="W301" s="60"/>
      <c r="X301" s="60">
        <v>837384827</v>
      </c>
      <c r="Y301" s="60"/>
      <c r="Z301" s="60">
        <v>2324376303</v>
      </c>
      <c r="AA301" s="60">
        <v>4999246440</v>
      </c>
      <c r="AB301" s="60"/>
      <c r="AC301" s="60">
        <f t="shared" si="45"/>
        <v>186031362221</v>
      </c>
      <c r="AD301" s="60">
        <v>35684154502</v>
      </c>
      <c r="AE301" s="60">
        <v>5467289320</v>
      </c>
      <c r="AF301" s="60"/>
      <c r="AG301" s="60">
        <v>837384827</v>
      </c>
      <c r="AH301" s="60"/>
      <c r="AI301" s="60"/>
      <c r="AJ301" s="60">
        <v>2421546804</v>
      </c>
      <c r="AK301" s="60">
        <v>6123350783</v>
      </c>
      <c r="AL301" s="60"/>
      <c r="AM301" s="60"/>
      <c r="AN301" s="60">
        <f t="shared" si="43"/>
        <v>236565088457</v>
      </c>
      <c r="AO301" s="60">
        <v>35684154502</v>
      </c>
      <c r="AP301" s="60"/>
      <c r="AQ301" s="60"/>
      <c r="AR301" s="60">
        <v>837384827</v>
      </c>
      <c r="AS301" s="60">
        <v>0</v>
      </c>
      <c r="AT301" s="60"/>
      <c r="AU301" s="60"/>
      <c r="AV301" s="60">
        <v>2421546804</v>
      </c>
      <c r="AW301" s="60">
        <v>4151376001</v>
      </c>
      <c r="AX301" s="60"/>
      <c r="AY301" s="60"/>
      <c r="AZ301" s="60"/>
      <c r="BA301" s="60"/>
      <c r="BB301" s="60"/>
      <c r="BC301" s="61">
        <f t="shared" si="37"/>
        <v>279659550591</v>
      </c>
      <c r="BD301" s="60">
        <v>36927296313</v>
      </c>
      <c r="BE301" s="60">
        <v>1533540711</v>
      </c>
      <c r="BF301" s="60"/>
      <c r="BG301" s="60">
        <v>1674769654</v>
      </c>
      <c r="BH301" s="60"/>
      <c r="BI301" s="60"/>
      <c r="BJ301" s="60"/>
      <c r="BK301" s="60">
        <v>2576352938</v>
      </c>
      <c r="BL301" s="60">
        <v>6517546282</v>
      </c>
      <c r="BM301" s="60"/>
      <c r="BN301" s="60"/>
      <c r="BO301" s="60"/>
      <c r="BP301" s="61">
        <v>328889056489</v>
      </c>
      <c r="BQ301" s="61">
        <v>36122648201</v>
      </c>
      <c r="BR301" s="61">
        <v>16000000000</v>
      </c>
      <c r="BS301" s="61"/>
      <c r="BT301" s="61">
        <v>837384827</v>
      </c>
      <c r="BU301" s="61">
        <v>16387958669</v>
      </c>
      <c r="BV301" s="61"/>
      <c r="BW301" s="61"/>
      <c r="BX301" s="61"/>
      <c r="BY301" s="61"/>
      <c r="BZ301" s="61">
        <v>2439081367</v>
      </c>
      <c r="CA301" s="61">
        <v>6543893725</v>
      </c>
      <c r="CB301" s="61"/>
      <c r="CC301" s="61"/>
      <c r="CD301" s="61"/>
      <c r="CE301" s="61"/>
      <c r="CF301" s="61"/>
      <c r="CG301" s="61">
        <f t="shared" si="38"/>
        <v>407220023278</v>
      </c>
      <c r="CH301" s="62">
        <f>VLOOKUP(B301,[1]RPTNCT049_ConsultaSaldosContabl!I$4:K$7987,3,0)</f>
        <v>407220023278</v>
      </c>
      <c r="CI301" s="62">
        <f t="shared" si="39"/>
        <v>0</v>
      </c>
      <c r="CJ301" s="63">
        <f t="shared" si="40"/>
        <v>407220023278</v>
      </c>
      <c r="CK301" s="64">
        <f t="shared" si="41"/>
        <v>0</v>
      </c>
      <c r="CL301" s="16"/>
      <c r="CM301" s="8"/>
      <c r="CN301" s="8"/>
      <c r="CO301" s="8"/>
      <c r="CP301" s="8"/>
      <c r="CQ301" s="8"/>
      <c r="CR301" s="8"/>
    </row>
    <row r="302" spans="1:96" ht="15" customHeight="1" x14ac:dyDescent="0.2">
      <c r="A302" s="1">
        <v>8923999991</v>
      </c>
      <c r="B302" s="1">
        <v>892399999</v>
      </c>
      <c r="C302" s="9">
        <v>112020000</v>
      </c>
      <c r="D302" s="10" t="s">
        <v>40</v>
      </c>
      <c r="E302" s="47" t="s">
        <v>1072</v>
      </c>
      <c r="F302" s="21">
        <v>20609936511</v>
      </c>
      <c r="G302" s="59"/>
      <c r="H302" s="21">
        <v>227779843</v>
      </c>
      <c r="I302" s="59"/>
      <c r="J302" s="21">
        <v>1455901023</v>
      </c>
      <c r="K302" s="21">
        <v>2935720813</v>
      </c>
      <c r="L302" s="59"/>
      <c r="M302" s="61">
        <f t="shared" si="44"/>
        <v>25229338190</v>
      </c>
      <c r="N302" s="21">
        <f>19916711657+163651457</f>
        <v>20080363114</v>
      </c>
      <c r="O302" s="59"/>
      <c r="P302" s="21">
        <f>VLOOKUP(A302,'[4]PENS-CANC'!A$2:B$37,2,0)</f>
        <v>227779843</v>
      </c>
      <c r="Q302" s="59"/>
      <c r="R302" s="21">
        <v>1456073652</v>
      </c>
      <c r="S302" s="21">
        <f>1456073652+1479819790</f>
        <v>2935893442</v>
      </c>
      <c r="T302" s="59"/>
      <c r="U302" s="60">
        <f t="shared" si="36"/>
        <v>49929448241</v>
      </c>
      <c r="V302" s="60">
        <v>32778626939</v>
      </c>
      <c r="W302" s="60"/>
      <c r="X302" s="60">
        <v>227779843</v>
      </c>
      <c r="Y302" s="60"/>
      <c r="Z302" s="60">
        <v>1321842753</v>
      </c>
      <c r="AA302" s="60">
        <v>2998428406</v>
      </c>
      <c r="AB302" s="60"/>
      <c r="AC302" s="60">
        <f t="shared" si="45"/>
        <v>87256126182</v>
      </c>
      <c r="AD302" s="60">
        <v>20393902994</v>
      </c>
      <c r="AE302" s="60">
        <v>2049981265</v>
      </c>
      <c r="AF302" s="60"/>
      <c r="AG302" s="60">
        <v>227779843</v>
      </c>
      <c r="AH302" s="60"/>
      <c r="AI302" s="60"/>
      <c r="AJ302" s="60">
        <v>1443735016</v>
      </c>
      <c r="AK302" s="60">
        <v>3648235319</v>
      </c>
      <c r="AL302" s="60"/>
      <c r="AM302" s="60"/>
      <c r="AN302" s="60">
        <f t="shared" si="43"/>
        <v>115019760619</v>
      </c>
      <c r="AO302" s="60">
        <v>20393902994</v>
      </c>
      <c r="AP302" s="60"/>
      <c r="AQ302" s="60"/>
      <c r="AR302" s="60">
        <v>227779843</v>
      </c>
      <c r="AS302" s="60">
        <v>0</v>
      </c>
      <c r="AT302" s="60"/>
      <c r="AU302" s="60"/>
      <c r="AV302" s="60">
        <v>1443735016</v>
      </c>
      <c r="AW302" s="60">
        <v>2472784615</v>
      </c>
      <c r="AX302" s="60"/>
      <c r="AY302" s="60"/>
      <c r="AZ302" s="60"/>
      <c r="BA302" s="60"/>
      <c r="BB302" s="60"/>
      <c r="BC302" s="61">
        <f t="shared" si="37"/>
        <v>139557963087</v>
      </c>
      <c r="BD302" s="60">
        <v>21017108609</v>
      </c>
      <c r="BE302" s="60">
        <v>1529153100</v>
      </c>
      <c r="BF302" s="60"/>
      <c r="BG302" s="60">
        <v>455559686</v>
      </c>
      <c r="BH302" s="60"/>
      <c r="BI302" s="60"/>
      <c r="BJ302" s="60"/>
      <c r="BK302" s="60">
        <v>1604609452</v>
      </c>
      <c r="BL302" s="60">
        <v>4041930836</v>
      </c>
      <c r="BM302" s="60"/>
      <c r="BN302" s="60"/>
      <c r="BO302" s="60"/>
      <c r="BP302" s="61">
        <v>168206324770</v>
      </c>
      <c r="BQ302" s="61">
        <v>22659000000</v>
      </c>
      <c r="BR302" s="61">
        <v>2613186563</v>
      </c>
      <c r="BS302" s="61"/>
      <c r="BT302" s="61">
        <v>227779843</v>
      </c>
      <c r="BU302" s="61">
        <v>9492795250</v>
      </c>
      <c r="BV302" s="61">
        <v>1484450562</v>
      </c>
      <c r="BW302" s="61"/>
      <c r="BX302" s="61"/>
      <c r="BY302" s="61"/>
      <c r="BZ302" s="61">
        <v>1500665627</v>
      </c>
      <c r="CA302" s="61">
        <v>3916927133</v>
      </c>
      <c r="CB302" s="61"/>
      <c r="CC302" s="61"/>
      <c r="CD302" s="61"/>
      <c r="CE302" s="61"/>
      <c r="CF302" s="61"/>
      <c r="CG302" s="61">
        <f t="shared" si="38"/>
        <v>210101129748</v>
      </c>
      <c r="CH302" s="62">
        <f>VLOOKUP(B302,[1]RPTNCT049_ConsultaSaldosContabl!I$4:K$7987,3,0)</f>
        <v>210101129748</v>
      </c>
      <c r="CI302" s="62">
        <f t="shared" si="39"/>
        <v>0</v>
      </c>
      <c r="CJ302" s="63">
        <f t="shared" si="40"/>
        <v>210101129748</v>
      </c>
      <c r="CK302" s="64">
        <f t="shared" si="41"/>
        <v>0</v>
      </c>
      <c r="CL302" s="16"/>
      <c r="CM302" s="8"/>
      <c r="CN302" s="8"/>
      <c r="CO302" s="8"/>
      <c r="CP302" s="8"/>
      <c r="CQ302" s="8"/>
      <c r="CR302" s="8"/>
    </row>
    <row r="303" spans="1:96" ht="15" customHeight="1" x14ac:dyDescent="0.2">
      <c r="A303" s="1">
        <v>8916800103</v>
      </c>
      <c r="B303" s="1">
        <v>891680010</v>
      </c>
      <c r="C303" s="9">
        <v>112727000</v>
      </c>
      <c r="D303" s="10" t="s">
        <v>33</v>
      </c>
      <c r="E303" s="46" t="s">
        <v>1058</v>
      </c>
      <c r="F303" s="21">
        <f>12904248264+194066399</f>
        <v>13098314663</v>
      </c>
      <c r="G303" s="59"/>
      <c r="H303" s="21">
        <v>591168652</v>
      </c>
      <c r="I303" s="59"/>
      <c r="J303" s="21">
        <v>925389047</v>
      </c>
      <c r="K303" s="21">
        <v>1904014514</v>
      </c>
      <c r="L303" s="59"/>
      <c r="M303" s="61">
        <f t="shared" si="44"/>
        <v>16518886876</v>
      </c>
      <c r="N303" s="21">
        <f>13285880819+88211999</f>
        <v>13374092818</v>
      </c>
      <c r="O303" s="59"/>
      <c r="P303" s="21">
        <f>VLOOKUP(A303,'[4]PENS-CANC'!A$2:B$37,2,0)</f>
        <v>591168652</v>
      </c>
      <c r="Q303" s="59"/>
      <c r="R303" s="21">
        <v>925389047</v>
      </c>
      <c r="S303" s="21">
        <f>978625467+925389047</f>
        <v>1904014514</v>
      </c>
      <c r="T303" s="59"/>
      <c r="U303" s="60">
        <f t="shared" si="36"/>
        <v>33313551907</v>
      </c>
      <c r="V303" s="60">
        <f>31862520757+82344090</f>
        <v>31944864847</v>
      </c>
      <c r="W303" s="60"/>
      <c r="X303" s="60">
        <v>591168652</v>
      </c>
      <c r="Y303" s="60"/>
      <c r="Z303" s="60">
        <v>1061658676</v>
      </c>
      <c r="AA303" s="60">
        <v>1842885716</v>
      </c>
      <c r="AB303" s="60"/>
      <c r="AC303" s="60">
        <f t="shared" si="45"/>
        <v>68754129798</v>
      </c>
      <c r="AD303" s="60">
        <v>13508061327</v>
      </c>
      <c r="AE303" s="60">
        <v>1247422025</v>
      </c>
      <c r="AF303" s="60"/>
      <c r="AG303" s="60">
        <v>591168652</v>
      </c>
      <c r="AH303" s="60"/>
      <c r="AI303" s="60"/>
      <c r="AJ303" s="60">
        <v>908942595</v>
      </c>
      <c r="AK303" s="60">
        <v>2302220444</v>
      </c>
      <c r="AL303" s="60"/>
      <c r="AM303" s="60"/>
      <c r="AN303" s="60">
        <f t="shared" si="43"/>
        <v>87311944841</v>
      </c>
      <c r="AO303" s="60">
        <f>13508061327</f>
        <v>13508061327</v>
      </c>
      <c r="AP303" s="60">
        <f>3797000000+5764000000</f>
        <v>9561000000</v>
      </c>
      <c r="AQ303" s="60"/>
      <c r="AR303" s="60">
        <v>591168652</v>
      </c>
      <c r="AS303" s="60">
        <v>0</v>
      </c>
      <c r="AT303" s="60"/>
      <c r="AU303" s="60"/>
      <c r="AV303" s="60">
        <v>908942595</v>
      </c>
      <c r="AW303" s="60">
        <v>1562086788</v>
      </c>
      <c r="AX303" s="60"/>
      <c r="AY303" s="60"/>
      <c r="AZ303" s="60"/>
      <c r="BA303" s="60"/>
      <c r="BB303" s="60"/>
      <c r="BC303" s="61">
        <f t="shared" si="37"/>
        <v>113443204203</v>
      </c>
      <c r="BD303" s="60">
        <v>13513706218</v>
      </c>
      <c r="BE303" s="60">
        <v>1275996809</v>
      </c>
      <c r="BF303" s="60"/>
      <c r="BG303" s="60">
        <v>1182337304</v>
      </c>
      <c r="BH303" s="60"/>
      <c r="BI303" s="60"/>
      <c r="BJ303" s="60"/>
      <c r="BK303" s="60">
        <v>687901987</v>
      </c>
      <c r="BL303" s="60">
        <v>2339145320</v>
      </c>
      <c r="BM303" s="60"/>
      <c r="BN303" s="60"/>
      <c r="BO303" s="60"/>
      <c r="BP303" s="61">
        <v>132442291841</v>
      </c>
      <c r="BQ303" s="61">
        <v>13546006821</v>
      </c>
      <c r="BR303" s="61">
        <v>10188543515</v>
      </c>
      <c r="BS303" s="61"/>
      <c r="BT303" s="61">
        <v>591168652</v>
      </c>
      <c r="BU303" s="61">
        <v>6005912220</v>
      </c>
      <c r="BV303" s="61"/>
      <c r="BW303" s="61"/>
      <c r="BX303" s="61"/>
      <c r="BY303" s="61"/>
      <c r="BZ303" s="61">
        <v>919221881</v>
      </c>
      <c r="CA303" s="61">
        <v>2475230074</v>
      </c>
      <c r="CB303" s="61"/>
      <c r="CC303" s="61"/>
      <c r="CD303" s="61"/>
      <c r="CE303" s="61"/>
      <c r="CF303" s="61"/>
      <c r="CG303" s="61">
        <f t="shared" si="38"/>
        <v>166168375004</v>
      </c>
      <c r="CH303" s="62">
        <f>VLOOKUP(B303,[1]RPTNCT049_ConsultaSaldosContabl!I$4:K$7987,3,0)</f>
        <v>166168375004</v>
      </c>
      <c r="CI303" s="62">
        <f t="shared" si="39"/>
        <v>0</v>
      </c>
      <c r="CJ303" s="63">
        <f t="shared" si="40"/>
        <v>166168375004</v>
      </c>
      <c r="CK303" s="64">
        <f t="shared" si="41"/>
        <v>0</v>
      </c>
      <c r="CL303" s="16"/>
      <c r="CM303" s="8"/>
      <c r="CN303" s="8"/>
      <c r="CO303" s="8"/>
      <c r="CP303" s="8"/>
      <c r="CQ303" s="8"/>
      <c r="CR303" s="8"/>
    </row>
    <row r="304" spans="1:96" ht="15" customHeight="1" x14ac:dyDescent="0.2">
      <c r="A304" s="1">
        <v>8001039134</v>
      </c>
      <c r="B304" s="1">
        <v>800103913</v>
      </c>
      <c r="C304" s="9">
        <v>114141000</v>
      </c>
      <c r="D304" s="10" t="s">
        <v>16</v>
      </c>
      <c r="E304" s="47" t="s">
        <v>1023</v>
      </c>
      <c r="F304" s="21">
        <v>20047120505</v>
      </c>
      <c r="G304" s="59"/>
      <c r="H304" s="21">
        <v>537128221</v>
      </c>
      <c r="I304" s="59"/>
      <c r="J304" s="21">
        <v>1425443195</v>
      </c>
      <c r="K304" s="21">
        <v>2908620605</v>
      </c>
      <c r="L304" s="59"/>
      <c r="M304" s="61">
        <f t="shared" si="44"/>
        <v>24918312526</v>
      </c>
      <c r="N304" s="21">
        <f>20136368336+438306238</f>
        <v>20574674574</v>
      </c>
      <c r="O304" s="59"/>
      <c r="P304" s="21">
        <f>VLOOKUP(A304,'[4]PENS-CANC'!A$2:B$37,2,0)</f>
        <v>537128221</v>
      </c>
      <c r="Q304" s="59"/>
      <c r="R304" s="21">
        <v>1298800320</v>
      </c>
      <c r="S304" s="21">
        <f>1483177410+1425443195</f>
        <v>2908620605</v>
      </c>
      <c r="T304" s="59"/>
      <c r="U304" s="60">
        <f t="shared" si="36"/>
        <v>50237536246</v>
      </c>
      <c r="V304" s="60">
        <v>29352497114</v>
      </c>
      <c r="W304" s="60"/>
      <c r="X304" s="60">
        <v>537128221</v>
      </c>
      <c r="Y304" s="60"/>
      <c r="Z304" s="60">
        <v>2116822590</v>
      </c>
      <c r="AA304" s="60">
        <v>3241357152</v>
      </c>
      <c r="AB304" s="60"/>
      <c r="AC304" s="60">
        <f t="shared" si="45"/>
        <v>85485341323</v>
      </c>
      <c r="AD304" s="60">
        <v>20978520523</v>
      </c>
      <c r="AE304" s="60">
        <v>1846533410</v>
      </c>
      <c r="AF304" s="60"/>
      <c r="AG304" s="60">
        <v>537128221</v>
      </c>
      <c r="AH304" s="60"/>
      <c r="AI304" s="60"/>
      <c r="AJ304" s="60">
        <v>1453290250</v>
      </c>
      <c r="AK304" s="60">
        <v>3666965524</v>
      </c>
      <c r="AL304" s="60"/>
      <c r="AM304" s="60"/>
      <c r="AN304" s="60">
        <f t="shared" si="43"/>
        <v>113967779251</v>
      </c>
      <c r="AO304" s="60">
        <v>20978520523</v>
      </c>
      <c r="AP304" s="60"/>
      <c r="AQ304" s="60"/>
      <c r="AR304" s="60">
        <v>537128221</v>
      </c>
      <c r="AS304" s="60">
        <v>0</v>
      </c>
      <c r="AT304" s="60"/>
      <c r="AU304" s="60"/>
      <c r="AV304" s="60">
        <v>1453290250</v>
      </c>
      <c r="AW304" s="60">
        <v>2485039532</v>
      </c>
      <c r="AX304" s="60"/>
      <c r="AY304" s="60"/>
      <c r="AZ304" s="60"/>
      <c r="BA304" s="60"/>
      <c r="BB304" s="60"/>
      <c r="BC304" s="61">
        <f t="shared" si="37"/>
        <v>139421757777</v>
      </c>
      <c r="BD304" s="60">
        <v>21723182840</v>
      </c>
      <c r="BE304" s="60">
        <v>1307106350</v>
      </c>
      <c r="BF304" s="60"/>
      <c r="BG304" s="60">
        <v>1074256442</v>
      </c>
      <c r="BH304" s="60"/>
      <c r="BI304" s="60"/>
      <c r="BJ304" s="60"/>
      <c r="BK304" s="60">
        <v>1038826815</v>
      </c>
      <c r="BL304" s="60">
        <v>3776690417</v>
      </c>
      <c r="BM304" s="60"/>
      <c r="BN304" s="60"/>
      <c r="BO304" s="60"/>
      <c r="BP304" s="61">
        <v>168341820641</v>
      </c>
      <c r="BQ304" s="61">
        <v>21795335523</v>
      </c>
      <c r="BR304" s="61">
        <v>0</v>
      </c>
      <c r="BS304" s="61"/>
      <c r="BT304" s="61">
        <v>537128221</v>
      </c>
      <c r="BU304" s="61">
        <v>8820542009</v>
      </c>
      <c r="BV304" s="61"/>
      <c r="BW304" s="61"/>
      <c r="BX304" s="61"/>
      <c r="BY304" s="61"/>
      <c r="BZ304" s="61">
        <v>1452524802</v>
      </c>
      <c r="CA304" s="61">
        <v>3945621422</v>
      </c>
      <c r="CB304" s="61"/>
      <c r="CC304" s="61"/>
      <c r="CD304" s="61"/>
      <c r="CE304" s="61"/>
      <c r="CF304" s="61"/>
      <c r="CG304" s="61">
        <f t="shared" si="38"/>
        <v>204892972618</v>
      </c>
      <c r="CH304" s="62">
        <f>VLOOKUP(B304,[1]RPTNCT049_ConsultaSaldosContabl!I$4:K$7987,3,0)</f>
        <v>204892972618</v>
      </c>
      <c r="CI304" s="62">
        <f t="shared" si="39"/>
        <v>0</v>
      </c>
      <c r="CJ304" s="63">
        <f t="shared" si="40"/>
        <v>204892972618</v>
      </c>
      <c r="CK304" s="64">
        <f t="shared" si="41"/>
        <v>0</v>
      </c>
      <c r="CL304" s="16"/>
      <c r="CM304" s="8"/>
      <c r="CN304" s="8"/>
      <c r="CO304" s="8"/>
      <c r="CP304" s="8"/>
      <c r="CQ304" s="8"/>
      <c r="CR304" s="8"/>
    </row>
    <row r="305" spans="1:96" ht="15" customHeight="1" x14ac:dyDescent="0.2">
      <c r="A305" s="1">
        <v>8001039206</v>
      </c>
      <c r="B305" s="1">
        <v>800103920</v>
      </c>
      <c r="C305" s="9">
        <v>114747000</v>
      </c>
      <c r="D305" s="10" t="s">
        <v>17</v>
      </c>
      <c r="E305" s="47" t="s">
        <v>1024</v>
      </c>
      <c r="F305" s="21">
        <v>27111560141</v>
      </c>
      <c r="G305" s="59"/>
      <c r="H305" s="21">
        <v>600431291</v>
      </c>
      <c r="I305" s="59"/>
      <c r="J305" s="21">
        <v>2020344839</v>
      </c>
      <c r="K305" s="21">
        <v>4144121848</v>
      </c>
      <c r="L305" s="59"/>
      <c r="M305" s="61">
        <f t="shared" si="44"/>
        <v>33876458119</v>
      </c>
      <c r="N305" s="21">
        <f>27415031808+154580352</f>
        <v>27569612160</v>
      </c>
      <c r="O305" s="59"/>
      <c r="P305" s="21">
        <f>VLOOKUP(A305,'[4]PENS-CANC'!A$2:B$37,2,0)</f>
        <v>600431291</v>
      </c>
      <c r="Q305" s="59"/>
      <c r="R305" s="21">
        <v>2021093460</v>
      </c>
      <c r="S305" s="21">
        <f>2123777009+2021093460</f>
        <v>4144870469</v>
      </c>
      <c r="T305" s="59"/>
      <c r="U305" s="60">
        <f t="shared" si="36"/>
        <v>68212465499</v>
      </c>
      <c r="V305" s="60">
        <v>33759127359</v>
      </c>
      <c r="W305" s="60"/>
      <c r="X305" s="60">
        <v>600431291</v>
      </c>
      <c r="Y305" s="60"/>
      <c r="Z305" s="60">
        <v>1948750000</v>
      </c>
      <c r="AA305" s="60">
        <v>3497677526</v>
      </c>
      <c r="AB305" s="60"/>
      <c r="AC305" s="60">
        <f t="shared" si="45"/>
        <v>108018451675</v>
      </c>
      <c r="AD305" s="60">
        <v>30752217304</v>
      </c>
      <c r="AE305" s="60">
        <v>9918565105</v>
      </c>
      <c r="AF305" s="60"/>
      <c r="AG305" s="60">
        <v>600431291</v>
      </c>
      <c r="AH305" s="60"/>
      <c r="AI305" s="60"/>
      <c r="AJ305" s="60">
        <v>1906229663</v>
      </c>
      <c r="AK305" s="60">
        <v>4817409213</v>
      </c>
      <c r="AL305" s="60"/>
      <c r="AM305" s="60"/>
      <c r="AN305" s="60">
        <f t="shared" si="43"/>
        <v>156013304251</v>
      </c>
      <c r="AO305" s="60">
        <v>31257969165</v>
      </c>
      <c r="AP305" s="60"/>
      <c r="AQ305" s="60"/>
      <c r="AR305" s="60">
        <v>600431291</v>
      </c>
      <c r="AS305" s="60">
        <v>2382883670</v>
      </c>
      <c r="AT305" s="60"/>
      <c r="AU305" s="60"/>
      <c r="AV305" s="60">
        <v>1906229663</v>
      </c>
      <c r="AW305" s="60">
        <v>3265679645</v>
      </c>
      <c r="AX305" s="60"/>
      <c r="AY305" s="60"/>
      <c r="AZ305" s="60"/>
      <c r="BA305" s="60"/>
      <c r="BB305" s="60"/>
      <c r="BC305" s="61">
        <f t="shared" si="37"/>
        <v>195426497685</v>
      </c>
      <c r="BD305" s="60">
        <v>28800639761</v>
      </c>
      <c r="BE305" s="60">
        <v>3081525044</v>
      </c>
      <c r="BF305" s="60"/>
      <c r="BG305" s="60">
        <v>1200862582</v>
      </c>
      <c r="BH305" s="60"/>
      <c r="BI305" s="60"/>
      <c r="BJ305" s="60"/>
      <c r="BK305" s="60">
        <v>1978557897</v>
      </c>
      <c r="BL305" s="60">
        <v>6063056246</v>
      </c>
      <c r="BM305" s="60"/>
      <c r="BN305" s="60"/>
      <c r="BO305" s="60"/>
      <c r="BP305" s="61">
        <v>236551139215</v>
      </c>
      <c r="BQ305" s="61">
        <v>28567811637</v>
      </c>
      <c r="BR305" s="61">
        <v>4881902116</v>
      </c>
      <c r="BS305" s="61"/>
      <c r="BT305" s="61">
        <v>600431291</v>
      </c>
      <c r="BU305" s="61">
        <v>12195085839</v>
      </c>
      <c r="BV305" s="61"/>
      <c r="BW305" s="61"/>
      <c r="BX305" s="61"/>
      <c r="BY305" s="61"/>
      <c r="BZ305" s="61">
        <v>2039353364</v>
      </c>
      <c r="CA305" s="61">
        <v>5375258911</v>
      </c>
      <c r="CB305" s="61"/>
      <c r="CC305" s="61"/>
      <c r="CD305" s="61"/>
      <c r="CE305" s="61"/>
      <c r="CF305" s="61"/>
      <c r="CG305" s="61">
        <f t="shared" si="38"/>
        <v>290210982373</v>
      </c>
      <c r="CH305" s="62">
        <f>VLOOKUP(B305,[1]RPTNCT049_ConsultaSaldosContabl!I$4:K$7987,3,0)</f>
        <v>290210982373</v>
      </c>
      <c r="CI305" s="62">
        <f t="shared" si="39"/>
        <v>0</v>
      </c>
      <c r="CJ305" s="63">
        <f t="shared" si="40"/>
        <v>290210982373</v>
      </c>
      <c r="CK305" s="64">
        <f t="shared" si="41"/>
        <v>0</v>
      </c>
      <c r="CL305" s="16"/>
      <c r="CM305" s="8"/>
      <c r="CN305" s="8"/>
      <c r="CO305" s="8"/>
      <c r="CP305" s="8"/>
      <c r="CQ305" s="8"/>
      <c r="CR305" s="8"/>
    </row>
    <row r="306" spans="1:96" ht="15" customHeight="1" x14ac:dyDescent="0.2">
      <c r="A306" s="1">
        <v>8920001488</v>
      </c>
      <c r="B306" s="1">
        <v>892000148</v>
      </c>
      <c r="C306" s="9">
        <v>115050000</v>
      </c>
      <c r="D306" s="10" t="s">
        <v>35</v>
      </c>
      <c r="E306" s="47" t="s">
        <v>1066</v>
      </c>
      <c r="F306" s="21">
        <v>12872063449</v>
      </c>
      <c r="G306" s="59"/>
      <c r="H306" s="21">
        <v>262233485</v>
      </c>
      <c r="I306" s="59"/>
      <c r="J306" s="21">
        <v>878129875</v>
      </c>
      <c r="K306" s="21">
        <v>1772557660</v>
      </c>
      <c r="L306" s="59"/>
      <c r="M306" s="61">
        <f t="shared" si="44"/>
        <v>15784984469</v>
      </c>
      <c r="N306" s="21">
        <f>12124882953+332217601</f>
        <v>12457100554</v>
      </c>
      <c r="O306" s="59"/>
      <c r="P306" s="21">
        <f>VLOOKUP(A306,'[4]PENS-CANC'!A$2:B$37,2,0)</f>
        <v>262233485</v>
      </c>
      <c r="Q306" s="59"/>
      <c r="R306" s="21">
        <v>878207048</v>
      </c>
      <c r="S306" s="21">
        <f>894427785+878207048</f>
        <v>1772634833</v>
      </c>
      <c r="T306" s="59"/>
      <c r="U306" s="60">
        <f t="shared" si="36"/>
        <v>31155160389</v>
      </c>
      <c r="V306" s="60">
        <v>24085711039</v>
      </c>
      <c r="W306" s="60"/>
      <c r="X306" s="60">
        <v>262233485</v>
      </c>
      <c r="Y306" s="60"/>
      <c r="Z306" s="60">
        <v>827267261</v>
      </c>
      <c r="AA306" s="60">
        <v>1887580445</v>
      </c>
      <c r="AB306" s="60"/>
      <c r="AC306" s="60">
        <f t="shared" si="45"/>
        <v>58217952619</v>
      </c>
      <c r="AD306" s="60">
        <v>12897160032</v>
      </c>
      <c r="AE306" s="60">
        <v>3830965261</v>
      </c>
      <c r="AF306" s="60"/>
      <c r="AG306" s="60">
        <v>262233485</v>
      </c>
      <c r="AH306" s="60"/>
      <c r="AI306" s="60"/>
      <c r="AJ306" s="60">
        <v>882960490</v>
      </c>
      <c r="AK306" s="60">
        <v>2233587496</v>
      </c>
      <c r="AL306" s="60"/>
      <c r="AM306" s="60"/>
      <c r="AN306" s="60">
        <f t="shared" si="43"/>
        <v>78324859383</v>
      </c>
      <c r="AO306" s="60">
        <v>12897160032</v>
      </c>
      <c r="AP306" s="60"/>
      <c r="AQ306" s="60"/>
      <c r="AR306" s="60">
        <v>262233485</v>
      </c>
      <c r="AS306" s="60">
        <v>3847619111</v>
      </c>
      <c r="AT306" s="60"/>
      <c r="AU306" s="60"/>
      <c r="AV306" s="60">
        <v>882960490</v>
      </c>
      <c r="AW306" s="60">
        <v>1514910958</v>
      </c>
      <c r="AX306" s="60"/>
      <c r="AY306" s="60"/>
      <c r="AZ306" s="60"/>
      <c r="BA306" s="60"/>
      <c r="BB306" s="60"/>
      <c r="BC306" s="61">
        <f t="shared" si="37"/>
        <v>97729743459</v>
      </c>
      <c r="BD306" s="60">
        <v>12983825370</v>
      </c>
      <c r="BE306" s="60">
        <v>1075742514</v>
      </c>
      <c r="BF306" s="60"/>
      <c r="BG306" s="60">
        <v>524466970</v>
      </c>
      <c r="BH306" s="60"/>
      <c r="BI306" s="60"/>
      <c r="BJ306" s="60"/>
      <c r="BK306" s="60">
        <v>957502003</v>
      </c>
      <c r="BL306" s="60">
        <v>2445298360</v>
      </c>
      <c r="BM306" s="60"/>
      <c r="BN306" s="60"/>
      <c r="BO306" s="60"/>
      <c r="BP306" s="61">
        <v>115716578676</v>
      </c>
      <c r="BQ306" s="61">
        <v>12675211263</v>
      </c>
      <c r="BR306" s="61">
        <v>0</v>
      </c>
      <c r="BS306" s="61"/>
      <c r="BT306" s="61">
        <v>262233485</v>
      </c>
      <c r="BU306" s="61">
        <v>5433074082</v>
      </c>
      <c r="BV306" s="61"/>
      <c r="BW306" s="61"/>
      <c r="BX306" s="61"/>
      <c r="BY306" s="61"/>
      <c r="BZ306" s="61">
        <v>897775664</v>
      </c>
      <c r="CA306" s="61">
        <v>2401214463</v>
      </c>
      <c r="CB306" s="61"/>
      <c r="CC306" s="61"/>
      <c r="CD306" s="61"/>
      <c r="CE306" s="61"/>
      <c r="CF306" s="61"/>
      <c r="CG306" s="61">
        <f t="shared" si="38"/>
        <v>137386087633</v>
      </c>
      <c r="CH306" s="62">
        <f>VLOOKUP(B306,[1]RPTNCT049_ConsultaSaldosContabl!I$4:K$7987,3,0)</f>
        <v>137386087633</v>
      </c>
      <c r="CI306" s="62">
        <f t="shared" si="39"/>
        <v>0</v>
      </c>
      <c r="CJ306" s="63">
        <f t="shared" si="40"/>
        <v>137386087633</v>
      </c>
      <c r="CK306" s="64">
        <f t="shared" si="41"/>
        <v>0</v>
      </c>
      <c r="CL306" s="16"/>
      <c r="CM306" s="8"/>
      <c r="CN306" s="8"/>
      <c r="CO306" s="8"/>
      <c r="CP306" s="8"/>
      <c r="CQ306" s="8"/>
      <c r="CR306" s="8"/>
    </row>
    <row r="307" spans="1:96" ht="15" customHeight="1" x14ac:dyDescent="0.2">
      <c r="A307" s="1">
        <v>8000941644</v>
      </c>
      <c r="B307" s="33">
        <v>800094164</v>
      </c>
      <c r="C307" s="9">
        <v>118686000</v>
      </c>
      <c r="D307" s="10" t="s">
        <v>13</v>
      </c>
      <c r="E307" s="47" t="s">
        <v>1013</v>
      </c>
      <c r="F307" s="21">
        <v>13885868094</v>
      </c>
      <c r="G307" s="59"/>
      <c r="H307" s="21">
        <v>90380151</v>
      </c>
      <c r="I307" s="59"/>
      <c r="J307" s="21">
        <v>871048814</v>
      </c>
      <c r="K307" s="21">
        <v>1767038551</v>
      </c>
      <c r="L307" s="59"/>
      <c r="M307" s="61">
        <f t="shared" si="44"/>
        <v>16614335610</v>
      </c>
      <c r="N307" s="21">
        <f>13035678555+325580823</f>
        <v>13361259378</v>
      </c>
      <c r="O307" s="59"/>
      <c r="P307" s="21">
        <f>VLOOKUP(A307,'[4]PENS-CANC'!A$2:B$37,2,0)</f>
        <v>90380151</v>
      </c>
      <c r="Q307" s="59"/>
      <c r="R307" s="21">
        <v>871048814</v>
      </c>
      <c r="S307" s="21">
        <f>895989737+871048814</f>
        <v>1767038551</v>
      </c>
      <c r="T307" s="59"/>
      <c r="U307" s="60">
        <f t="shared" si="36"/>
        <v>32704062504</v>
      </c>
      <c r="V307" s="60">
        <v>20281934570</v>
      </c>
      <c r="W307" s="60"/>
      <c r="X307" s="60">
        <v>90380151</v>
      </c>
      <c r="Y307" s="60"/>
      <c r="Z307" s="60">
        <v>815063777</v>
      </c>
      <c r="AA307" s="60">
        <v>1847407342</v>
      </c>
      <c r="AB307" s="60"/>
      <c r="AC307" s="60">
        <f t="shared" si="45"/>
        <v>55738848344</v>
      </c>
      <c r="AD307" s="60">
        <v>12877843334</v>
      </c>
      <c r="AE307" s="60">
        <v>2702421360</v>
      </c>
      <c r="AF307" s="60"/>
      <c r="AG307" s="60">
        <v>90380151</v>
      </c>
      <c r="AH307" s="60"/>
      <c r="AI307" s="60"/>
      <c r="AJ307" s="60">
        <v>877321078</v>
      </c>
      <c r="AK307" s="60">
        <v>2223461073</v>
      </c>
      <c r="AL307" s="60"/>
      <c r="AM307" s="60"/>
      <c r="AN307" s="60">
        <f t="shared" si="43"/>
        <v>74510275340</v>
      </c>
      <c r="AO307" s="60">
        <v>12877843334</v>
      </c>
      <c r="AP307" s="60"/>
      <c r="AQ307" s="60"/>
      <c r="AR307" s="60">
        <v>90380151</v>
      </c>
      <c r="AS307" s="60">
        <v>0</v>
      </c>
      <c r="AT307" s="60"/>
      <c r="AU307" s="60"/>
      <c r="AV307" s="60">
        <v>877321078</v>
      </c>
      <c r="AW307" s="60">
        <v>1509030307</v>
      </c>
      <c r="AX307" s="60"/>
      <c r="AY307" s="60"/>
      <c r="AZ307" s="60"/>
      <c r="BA307" s="60"/>
      <c r="BB307" s="60"/>
      <c r="BC307" s="61">
        <f t="shared" si="37"/>
        <v>89864850210</v>
      </c>
      <c r="BD307" s="60">
        <v>13649412432</v>
      </c>
      <c r="BE307" s="60">
        <v>1160556740</v>
      </c>
      <c r="BF307" s="60"/>
      <c r="BG307" s="60">
        <v>180760302</v>
      </c>
      <c r="BH307" s="60"/>
      <c r="BI307" s="60"/>
      <c r="BJ307" s="60"/>
      <c r="BK307" s="60">
        <v>908574697</v>
      </c>
      <c r="BL307" s="60">
        <v>2332746476</v>
      </c>
      <c r="BM307" s="60"/>
      <c r="BN307" s="60"/>
      <c r="BO307" s="60"/>
      <c r="BP307" s="61">
        <v>108096900857</v>
      </c>
      <c r="BQ307" s="61">
        <v>13796008125</v>
      </c>
      <c r="BR307" s="61">
        <v>0</v>
      </c>
      <c r="BS307" s="61"/>
      <c r="BT307" s="61">
        <v>90380151</v>
      </c>
      <c r="BU307" s="61">
        <v>5600695233</v>
      </c>
      <c r="BV307" s="61"/>
      <c r="BW307" s="61"/>
      <c r="BX307" s="61"/>
      <c r="BY307" s="61"/>
      <c r="BZ307" s="61">
        <v>880142828</v>
      </c>
      <c r="CA307" s="61">
        <v>2369205813</v>
      </c>
      <c r="CB307" s="61"/>
      <c r="CC307" s="61"/>
      <c r="CD307" s="61"/>
      <c r="CE307" s="61"/>
      <c r="CF307" s="61"/>
      <c r="CG307" s="61">
        <f t="shared" si="38"/>
        <v>130833333007</v>
      </c>
      <c r="CH307" s="62">
        <f>VLOOKUP(B307,[1]RPTNCT049_ConsultaSaldosContabl!I$4:K$7987,3,0)</f>
        <v>130833333007</v>
      </c>
      <c r="CI307" s="62">
        <f t="shared" si="39"/>
        <v>0</v>
      </c>
      <c r="CJ307" s="63">
        <f t="shared" si="40"/>
        <v>130833333007</v>
      </c>
      <c r="CK307" s="64">
        <f t="shared" si="41"/>
        <v>0</v>
      </c>
      <c r="CL307" s="16"/>
      <c r="CM307" s="8"/>
      <c r="CN307" s="8"/>
      <c r="CO307" s="8"/>
      <c r="CP307" s="8"/>
      <c r="CQ307" s="8"/>
      <c r="CR307" s="8"/>
    </row>
    <row r="308" spans="1:96" ht="15" customHeight="1" x14ac:dyDescent="0.2">
      <c r="A308" s="1">
        <v>8900016391</v>
      </c>
      <c r="B308" s="1">
        <v>890001639</v>
      </c>
      <c r="C308" s="9">
        <v>116363000</v>
      </c>
      <c r="D308" s="10" t="s">
        <v>23</v>
      </c>
      <c r="E308" s="47" t="s">
        <v>1033</v>
      </c>
      <c r="F308" s="21">
        <f>8285933873+317310565</f>
        <v>8603244438</v>
      </c>
      <c r="G308" s="59"/>
      <c r="H308" s="21">
        <v>0</v>
      </c>
      <c r="I308" s="59"/>
      <c r="J308" s="21">
        <v>519398364</v>
      </c>
      <c r="K308" s="21">
        <v>1031118468</v>
      </c>
      <c r="L308" s="59"/>
      <c r="M308" s="61">
        <f t="shared" si="44"/>
        <v>10153761270</v>
      </c>
      <c r="N308" s="21">
        <f>7942258337+144232075</f>
        <v>8086490412</v>
      </c>
      <c r="O308" s="59"/>
      <c r="P308" s="21">
        <f>VLOOKUP(A308,'[4]PENS-CANC'!A$2:B$37,2,0)</f>
        <v>0</v>
      </c>
      <c r="Q308" s="59"/>
      <c r="R308" s="21">
        <v>519398364</v>
      </c>
      <c r="S308" s="21">
        <f>511720104+519398364</f>
        <v>1031118468</v>
      </c>
      <c r="T308" s="59"/>
      <c r="U308" s="60">
        <f t="shared" si="36"/>
        <v>19790768514</v>
      </c>
      <c r="V308" s="60">
        <v>9755924834</v>
      </c>
      <c r="W308" s="60"/>
      <c r="X308" s="60">
        <v>0</v>
      </c>
      <c r="Y308" s="60"/>
      <c r="Z308" s="60">
        <v>529333333</v>
      </c>
      <c r="AA308" s="60">
        <v>1166627398</v>
      </c>
      <c r="AB308" s="60"/>
      <c r="AC308" s="60">
        <f t="shared" si="45"/>
        <v>31242654079</v>
      </c>
      <c r="AD308" s="60">
        <v>7765859296</v>
      </c>
      <c r="AE308" s="60">
        <v>1266876765</v>
      </c>
      <c r="AF308" s="60"/>
      <c r="AG308" s="60">
        <v>0</v>
      </c>
      <c r="AH308" s="60"/>
      <c r="AI308" s="60"/>
      <c r="AJ308" s="60">
        <v>532703604</v>
      </c>
      <c r="AK308" s="60">
        <v>1342810575</v>
      </c>
      <c r="AL308" s="60"/>
      <c r="AM308" s="60"/>
      <c r="AN308" s="60">
        <f t="shared" si="43"/>
        <v>42150904319</v>
      </c>
      <c r="AO308" s="60">
        <v>7765859296</v>
      </c>
      <c r="AP308" s="60"/>
      <c r="AQ308" s="60"/>
      <c r="AR308" s="60"/>
      <c r="AS308" s="60">
        <v>1050805000</v>
      </c>
      <c r="AT308" s="60"/>
      <c r="AU308" s="60"/>
      <c r="AV308" s="60">
        <v>532703604</v>
      </c>
      <c r="AW308" s="60">
        <v>909470725</v>
      </c>
      <c r="AX308" s="60"/>
      <c r="AY308" s="60"/>
      <c r="AZ308" s="60"/>
      <c r="BA308" s="60"/>
      <c r="BB308" s="60"/>
      <c r="BC308" s="61">
        <f t="shared" si="37"/>
        <v>52409742944</v>
      </c>
      <c r="BD308" s="60">
        <v>8075731889</v>
      </c>
      <c r="BE308" s="60">
        <v>160993784</v>
      </c>
      <c r="BF308" s="60"/>
      <c r="BG308" s="60"/>
      <c r="BH308" s="60"/>
      <c r="BI308" s="60"/>
      <c r="BJ308" s="60"/>
      <c r="BK308" s="60">
        <v>499874753</v>
      </c>
      <c r="BL308" s="60">
        <v>1327105249</v>
      </c>
      <c r="BM308" s="60"/>
      <c r="BN308" s="60"/>
      <c r="BO308" s="60"/>
      <c r="BP308" s="61">
        <v>62473448619</v>
      </c>
      <c r="BQ308" s="61">
        <v>8072047904</v>
      </c>
      <c r="BR308" s="61">
        <v>0</v>
      </c>
      <c r="BS308" s="61"/>
      <c r="BT308" s="61">
        <v>0</v>
      </c>
      <c r="BU308" s="61">
        <v>3450488583</v>
      </c>
      <c r="BV308" s="61"/>
      <c r="BW308" s="61"/>
      <c r="BX308" s="61"/>
      <c r="BY308" s="61"/>
      <c r="BZ308" s="61">
        <v>526880532</v>
      </c>
      <c r="CA308" s="61">
        <v>1387469141</v>
      </c>
      <c r="CB308" s="61"/>
      <c r="CC308" s="61"/>
      <c r="CD308" s="61"/>
      <c r="CE308" s="61"/>
      <c r="CF308" s="61"/>
      <c r="CG308" s="61">
        <f t="shared" si="38"/>
        <v>75910334779</v>
      </c>
      <c r="CH308" s="62">
        <f>VLOOKUP(B308,[1]RPTNCT049_ConsultaSaldosContabl!I$4:K$7987,3,0)</f>
        <v>75910334779</v>
      </c>
      <c r="CI308" s="62">
        <f t="shared" si="39"/>
        <v>0</v>
      </c>
      <c r="CJ308" s="63">
        <f t="shared" si="40"/>
        <v>75910334779</v>
      </c>
      <c r="CK308" s="64">
        <f t="shared" si="41"/>
        <v>0</v>
      </c>
      <c r="CL308" s="16"/>
      <c r="CM308" s="8"/>
      <c r="CN308" s="8"/>
      <c r="CO308" s="8"/>
      <c r="CP308" s="8"/>
      <c r="CQ308" s="8"/>
      <c r="CR308" s="8"/>
    </row>
    <row r="309" spans="1:96" ht="15" customHeight="1" x14ac:dyDescent="0.2">
      <c r="A309" s="1">
        <v>8001136727</v>
      </c>
      <c r="B309" s="1">
        <v>800113672</v>
      </c>
      <c r="C309" s="9">
        <v>117373000</v>
      </c>
      <c r="D309" s="10" t="s">
        <v>21</v>
      </c>
      <c r="E309" s="47" t="s">
        <v>1030</v>
      </c>
      <c r="F309" s="21">
        <v>26219466648</v>
      </c>
      <c r="G309" s="59"/>
      <c r="H309" s="21">
        <v>2658897930</v>
      </c>
      <c r="I309" s="59"/>
      <c r="J309" s="21">
        <v>1841512941</v>
      </c>
      <c r="K309" s="21">
        <v>3738638292</v>
      </c>
      <c r="L309" s="59"/>
      <c r="M309" s="61">
        <f t="shared" si="44"/>
        <v>34458515811</v>
      </c>
      <c r="N309" s="21">
        <f>25799796784+202837584</f>
        <v>26002634368</v>
      </c>
      <c r="O309" s="59"/>
      <c r="P309" s="21">
        <f>VLOOKUP(A309,'[4]PENS-CANC'!A$2:B$37,2,0)</f>
        <v>2658897930</v>
      </c>
      <c r="Q309" s="59"/>
      <c r="R309" s="21">
        <v>1841512941</v>
      </c>
      <c r="S309" s="21">
        <f>1897125351+1841512941</f>
        <v>3738638292</v>
      </c>
      <c r="T309" s="59"/>
      <c r="U309" s="60">
        <f t="shared" si="36"/>
        <v>68700199342</v>
      </c>
      <c r="V309" s="60">
        <v>37394045348</v>
      </c>
      <c r="W309" s="60"/>
      <c r="X309" s="60">
        <v>2658897930</v>
      </c>
      <c r="Y309" s="60"/>
      <c r="Z309" s="60">
        <v>1850325662</v>
      </c>
      <c r="AA309" s="60">
        <v>4050778900</v>
      </c>
      <c r="AB309" s="60"/>
      <c r="AC309" s="60">
        <f t="shared" si="45"/>
        <v>114654247182</v>
      </c>
      <c r="AD309" s="60">
        <v>27638444018</v>
      </c>
      <c r="AE309" s="60">
        <v>2282177895</v>
      </c>
      <c r="AF309" s="60"/>
      <c r="AG309" s="60">
        <v>2658897930</v>
      </c>
      <c r="AH309" s="60"/>
      <c r="AI309" s="60"/>
      <c r="AJ309" s="60">
        <v>1873064632</v>
      </c>
      <c r="AK309" s="60">
        <v>4728707693</v>
      </c>
      <c r="AL309" s="60"/>
      <c r="AM309" s="60"/>
      <c r="AN309" s="60">
        <f t="shared" si="43"/>
        <v>153835539350</v>
      </c>
      <c r="AO309" s="60">
        <v>28139215753</v>
      </c>
      <c r="AP309" s="60"/>
      <c r="AQ309" s="60"/>
      <c r="AR309" s="60">
        <v>2658897930</v>
      </c>
      <c r="AS309" s="60">
        <v>614886859</v>
      </c>
      <c r="AT309" s="60"/>
      <c r="AU309" s="60"/>
      <c r="AV309" s="60">
        <v>1873064632</v>
      </c>
      <c r="AW309" s="60">
        <v>3204262669</v>
      </c>
      <c r="AX309" s="60"/>
      <c r="AY309" s="60"/>
      <c r="AZ309" s="60"/>
      <c r="BA309" s="60"/>
      <c r="BB309" s="60"/>
      <c r="BC309" s="61">
        <f t="shared" si="37"/>
        <v>190325867193</v>
      </c>
      <c r="BD309" s="60">
        <v>27973010646</v>
      </c>
      <c r="BE309" s="60">
        <v>614886859</v>
      </c>
      <c r="BF309" s="60"/>
      <c r="BG309" s="60">
        <v>5317795860</v>
      </c>
      <c r="BH309" s="60"/>
      <c r="BI309" s="60"/>
      <c r="BJ309" s="60"/>
      <c r="BK309" s="60">
        <v>1477561397</v>
      </c>
      <c r="BL309" s="60">
        <v>3308919882</v>
      </c>
      <c r="BM309" s="60"/>
      <c r="BN309" s="60"/>
      <c r="BO309" s="60"/>
      <c r="BP309" s="61">
        <v>229018041837</v>
      </c>
      <c r="BQ309" s="61">
        <v>27146487307</v>
      </c>
      <c r="BR309" s="61">
        <v>1291610576</v>
      </c>
      <c r="BS309" s="61"/>
      <c r="BT309" s="61">
        <v>2658897930</v>
      </c>
      <c r="BU309" s="61">
        <v>12276107118</v>
      </c>
      <c r="BV309" s="61"/>
      <c r="BW309" s="61"/>
      <c r="BX309" s="61"/>
      <c r="BY309" s="61"/>
      <c r="BZ309" s="61">
        <v>1861290588</v>
      </c>
      <c r="CA309" s="61">
        <v>4937778045</v>
      </c>
      <c r="CB309" s="61"/>
      <c r="CC309" s="61"/>
      <c r="CD309" s="61"/>
      <c r="CE309" s="61"/>
      <c r="CF309" s="61"/>
      <c r="CG309" s="61">
        <f t="shared" si="38"/>
        <v>279190213401</v>
      </c>
      <c r="CH309" s="62">
        <f>VLOOKUP(B309,[1]RPTNCT049_ConsultaSaldosContabl!I$4:K$7987,3,0)</f>
        <v>279190213401</v>
      </c>
      <c r="CI309" s="62">
        <f t="shared" si="39"/>
        <v>0</v>
      </c>
      <c r="CJ309" s="63">
        <f t="shared" si="40"/>
        <v>279190213401</v>
      </c>
      <c r="CK309" s="64">
        <f t="shared" si="41"/>
        <v>0</v>
      </c>
      <c r="CL309" s="16"/>
      <c r="CM309" s="8"/>
      <c r="CN309" s="8"/>
      <c r="CO309" s="8"/>
      <c r="CP309" s="8"/>
      <c r="CQ309" s="8"/>
      <c r="CR309" s="8"/>
    </row>
    <row r="310" spans="1:96" ht="15" customHeight="1" x14ac:dyDescent="0.2">
      <c r="A310" s="1">
        <v>8903990295</v>
      </c>
      <c r="B310" s="29">
        <v>890399029</v>
      </c>
      <c r="C310" s="9">
        <v>117676000</v>
      </c>
      <c r="D310" s="10" t="s">
        <v>27</v>
      </c>
      <c r="E310" s="46" t="s">
        <v>2109</v>
      </c>
      <c r="F310" s="21">
        <f>24704550330</f>
        <v>24704550330</v>
      </c>
      <c r="G310" s="59"/>
      <c r="H310" s="21">
        <v>3421314966</v>
      </c>
      <c r="I310" s="59"/>
      <c r="J310" s="21">
        <v>1513498122</v>
      </c>
      <c r="K310" s="21">
        <v>3059518086</v>
      </c>
      <c r="L310" s="59"/>
      <c r="M310" s="61">
        <f t="shared" si="44"/>
        <v>32698881504</v>
      </c>
      <c r="N310" s="21">
        <f>25080000000+3078000000+215589971</f>
        <v>28373589971</v>
      </c>
      <c r="O310" s="59"/>
      <c r="P310" s="21">
        <f>VLOOKUP(A310,'[4]PENS-CANC'!A$2:B$37,2,0)</f>
        <v>3421314966</v>
      </c>
      <c r="Q310" s="59"/>
      <c r="R310" s="21">
        <v>1513498122</v>
      </c>
      <c r="S310" s="21">
        <f>1546019964+1513498122</f>
        <v>3059518086</v>
      </c>
      <c r="T310" s="59"/>
      <c r="U310" s="60">
        <f t="shared" si="36"/>
        <v>69066802649</v>
      </c>
      <c r="V310" s="60">
        <v>29494660406</v>
      </c>
      <c r="W310" s="60"/>
      <c r="X310" s="60">
        <v>3421314966</v>
      </c>
      <c r="Y310" s="60"/>
      <c r="Z310" s="60">
        <v>1409766220</v>
      </c>
      <c r="AA310" s="60">
        <v>3263725871</v>
      </c>
      <c r="AB310" s="60"/>
      <c r="AC310" s="60">
        <f t="shared" si="45"/>
        <v>106656270112</v>
      </c>
      <c r="AD310" s="60">
        <v>24683971744</v>
      </c>
      <c r="AE310" s="60">
        <v>2249537181</v>
      </c>
      <c r="AF310" s="60"/>
      <c r="AG310" s="60">
        <v>3421314966</v>
      </c>
      <c r="AH310" s="60"/>
      <c r="AI310" s="60"/>
      <c r="AJ310" s="60">
        <v>1545433634</v>
      </c>
      <c r="AK310" s="60">
        <v>3901263550</v>
      </c>
      <c r="AL310" s="60"/>
      <c r="AM310" s="60"/>
      <c r="AN310" s="60">
        <f t="shared" si="43"/>
        <v>142457791187</v>
      </c>
      <c r="AO310" s="60">
        <v>25045090068</v>
      </c>
      <c r="AP310" s="60"/>
      <c r="AQ310" s="60"/>
      <c r="AR310" s="60">
        <v>3421314966</v>
      </c>
      <c r="AS310" s="60">
        <v>0</v>
      </c>
      <c r="AT310" s="60"/>
      <c r="AU310" s="60"/>
      <c r="AV310" s="60">
        <v>1545433634</v>
      </c>
      <c r="AW310" s="60">
        <v>2643596806</v>
      </c>
      <c r="AX310" s="60"/>
      <c r="AY310" s="60"/>
      <c r="AZ310" s="60"/>
      <c r="BA310" s="60"/>
      <c r="BB310" s="60"/>
      <c r="BC310" s="61">
        <f t="shared" si="37"/>
        <v>175113226661</v>
      </c>
      <c r="BD310" s="60">
        <v>25247190792</v>
      </c>
      <c r="BE310" s="60">
        <v>946349214</v>
      </c>
      <c r="BF310" s="60"/>
      <c r="BG310" s="60">
        <v>6842629932</v>
      </c>
      <c r="BH310" s="60"/>
      <c r="BI310" s="60"/>
      <c r="BJ310" s="60"/>
      <c r="BK310" s="60">
        <v>1539247339</v>
      </c>
      <c r="BL310" s="60">
        <v>3804409913</v>
      </c>
      <c r="BM310" s="60"/>
      <c r="BN310" s="60"/>
      <c r="BO310" s="60"/>
      <c r="BP310" s="61">
        <v>213493053851</v>
      </c>
      <c r="BQ310" s="61">
        <v>24988290909</v>
      </c>
      <c r="BR310" s="61">
        <v>0</v>
      </c>
      <c r="BS310" s="61"/>
      <c r="BT310" s="61">
        <v>3421314966</v>
      </c>
      <c r="BU310" s="61">
        <v>11218886928</v>
      </c>
      <c r="BV310" s="61"/>
      <c r="BW310" s="61"/>
      <c r="BX310" s="61"/>
      <c r="BY310" s="61"/>
      <c r="BZ310" s="61">
        <v>1531545605</v>
      </c>
      <c r="CA310" s="61">
        <v>4061999612</v>
      </c>
      <c r="CB310" s="61"/>
      <c r="CC310" s="61"/>
      <c r="CD310" s="61"/>
      <c r="CE310" s="61"/>
      <c r="CF310" s="61"/>
      <c r="CG310" s="61">
        <f t="shared" si="38"/>
        <v>258715091871</v>
      </c>
      <c r="CH310" s="62">
        <f>VLOOKUP(B310,[1]RPTNCT049_ConsultaSaldosContabl!I$4:K$7987,3,0)</f>
        <v>258715091871</v>
      </c>
      <c r="CI310" s="62">
        <f t="shared" si="39"/>
        <v>0</v>
      </c>
      <c r="CJ310" s="63">
        <f t="shared" si="40"/>
        <v>258715091871</v>
      </c>
      <c r="CK310" s="64">
        <f t="shared" si="41"/>
        <v>0</v>
      </c>
      <c r="CL310" s="16"/>
      <c r="CM310" s="8"/>
      <c r="CN310" s="8"/>
      <c r="CO310" s="8"/>
      <c r="CP310" s="8"/>
      <c r="CQ310" s="8"/>
      <c r="CR310" s="8"/>
    </row>
    <row r="311" spans="1:96" ht="15" customHeight="1" x14ac:dyDescent="0.2">
      <c r="A311" s="1">
        <v>8250001341</v>
      </c>
      <c r="B311" s="1">
        <v>825000134</v>
      </c>
      <c r="C311" s="9">
        <v>219044090</v>
      </c>
      <c r="D311" s="10" t="s">
        <v>632</v>
      </c>
      <c r="E311" s="45" t="s">
        <v>1650</v>
      </c>
      <c r="F311" s="21"/>
      <c r="G311" s="59"/>
      <c r="H311" s="21"/>
      <c r="I311" s="59"/>
      <c r="J311" s="21"/>
      <c r="K311" s="21"/>
      <c r="L311" s="59"/>
      <c r="M311" s="60"/>
      <c r="N311" s="21"/>
      <c r="O311" s="59"/>
      <c r="P311" s="21"/>
      <c r="Q311" s="59"/>
      <c r="R311" s="21"/>
      <c r="S311" s="21"/>
      <c r="T311" s="59"/>
      <c r="U311" s="60">
        <f t="shared" si="36"/>
        <v>0</v>
      </c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>
        <v>545505926</v>
      </c>
      <c r="AN311" s="60">
        <f t="shared" si="43"/>
        <v>545505926</v>
      </c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1">
        <f t="shared" si="37"/>
        <v>545505926</v>
      </c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>
        <v>76248963</v>
      </c>
      <c r="BO311" s="60"/>
      <c r="BP311" s="61">
        <v>621754889</v>
      </c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>
        <v>76248963</v>
      </c>
      <c r="CD311" s="61">
        <v>381244815</v>
      </c>
      <c r="CE311" s="61">
        <v>48977809</v>
      </c>
      <c r="CF311" s="61"/>
      <c r="CG311" s="61">
        <f t="shared" si="38"/>
        <v>1128226476</v>
      </c>
      <c r="CH311" s="62">
        <f>VLOOKUP(B311,[1]RPTNCT049_ConsultaSaldosContabl!I$4:K$7987,3,0)</f>
        <v>533742741</v>
      </c>
      <c r="CI311" s="62">
        <f t="shared" si="39"/>
        <v>594483735</v>
      </c>
      <c r="CJ311" s="63">
        <f t="shared" si="40"/>
        <v>1128226476</v>
      </c>
      <c r="CK311" s="64">
        <f t="shared" si="41"/>
        <v>0</v>
      </c>
      <c r="CL311" s="16"/>
      <c r="CM311" s="16"/>
      <c r="CN311" s="16"/>
    </row>
    <row r="312" spans="1:96" ht="15" customHeight="1" x14ac:dyDescent="0.2">
      <c r="A312" s="1">
        <v>8250001667</v>
      </c>
      <c r="B312" s="1">
        <v>825000166</v>
      </c>
      <c r="C312" s="9">
        <v>219844098</v>
      </c>
      <c r="D312" s="10" t="s">
        <v>633</v>
      </c>
      <c r="E312" s="45" t="s">
        <v>1651</v>
      </c>
      <c r="F312" s="21"/>
      <c r="G312" s="59"/>
      <c r="H312" s="21"/>
      <c r="I312" s="59"/>
      <c r="J312" s="21"/>
      <c r="K312" s="21"/>
      <c r="L312" s="59"/>
      <c r="M312" s="60"/>
      <c r="N312" s="21"/>
      <c r="O312" s="59"/>
      <c r="P312" s="21"/>
      <c r="Q312" s="59"/>
      <c r="R312" s="21"/>
      <c r="S312" s="21"/>
      <c r="T312" s="59"/>
      <c r="U312" s="60">
        <f t="shared" si="36"/>
        <v>0</v>
      </c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>
        <v>146502583</v>
      </c>
      <c r="AN312" s="60">
        <f t="shared" si="43"/>
        <v>146502583</v>
      </c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>
        <f>VLOOKUP(B312,[2]Hoja3!J$3:K$674,2,0)</f>
        <v>9189553</v>
      </c>
      <c r="BB312" s="60"/>
      <c r="BC312" s="61">
        <f t="shared" si="37"/>
        <v>155692136</v>
      </c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>
        <v>0</v>
      </c>
      <c r="BO312" s="60"/>
      <c r="BP312" s="61">
        <v>155692136</v>
      </c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>
        <v>0</v>
      </c>
      <c r="CD312" s="61"/>
      <c r="CE312" s="61">
        <v>35100085</v>
      </c>
      <c r="CF312" s="61"/>
      <c r="CG312" s="61">
        <f t="shared" si="38"/>
        <v>190792221</v>
      </c>
      <c r="CH312" s="62"/>
      <c r="CI312" s="62">
        <f t="shared" si="39"/>
        <v>190792221</v>
      </c>
      <c r="CJ312" s="63">
        <f t="shared" si="40"/>
        <v>190792221</v>
      </c>
      <c r="CK312" s="64">
        <f t="shared" si="41"/>
        <v>0</v>
      </c>
      <c r="CL312" s="16"/>
      <c r="CM312" s="16"/>
      <c r="CN312" s="16"/>
    </row>
    <row r="313" spans="1:96" ht="15" customHeight="1" x14ac:dyDescent="0.2">
      <c r="A313" s="1">
        <v>8904801844</v>
      </c>
      <c r="B313" s="1">
        <v>890480184</v>
      </c>
      <c r="C313" s="9">
        <v>210113001</v>
      </c>
      <c r="D313" s="10" t="s">
        <v>2152</v>
      </c>
      <c r="E313" s="47" t="s">
        <v>1041</v>
      </c>
      <c r="F313" s="21"/>
      <c r="G313" s="59"/>
      <c r="H313" s="21"/>
      <c r="I313" s="59">
        <f>18658987976+390099048</f>
        <v>19049087024</v>
      </c>
      <c r="J313" s="21">
        <v>1181567829</v>
      </c>
      <c r="K313" s="21">
        <v>2359887396</v>
      </c>
      <c r="L313" s="59"/>
      <c r="M313" s="61">
        <f t="shared" si="44"/>
        <v>22590542249</v>
      </c>
      <c r="N313" s="21"/>
      <c r="O313" s="59"/>
      <c r="P313" s="21">
        <f>VLOOKUP(A313,'[4]PENS-CANC'!A$2:B$37,2,0)</f>
        <v>0</v>
      </c>
      <c r="Q313" s="59">
        <f>18146287642+177317749</f>
        <v>18323605391</v>
      </c>
      <c r="R313" s="21">
        <v>1183541099</v>
      </c>
      <c r="S313" s="21">
        <f>1178319567+1183541099</f>
        <v>2361860666</v>
      </c>
      <c r="T313" s="59"/>
      <c r="U313" s="60">
        <f t="shared" si="36"/>
        <v>44459549405</v>
      </c>
      <c r="V313" s="60"/>
      <c r="W313" s="60"/>
      <c r="X313" s="60"/>
      <c r="Y313" s="60">
        <v>51801726618</v>
      </c>
      <c r="Z313" s="60">
        <v>1633859584</v>
      </c>
      <c r="AA313" s="60">
        <v>2509202441</v>
      </c>
      <c r="AB313" s="60"/>
      <c r="AC313" s="60">
        <f t="shared" si="45"/>
        <v>100404338048</v>
      </c>
      <c r="AD313" s="60"/>
      <c r="AE313" s="60"/>
      <c r="AF313" s="60"/>
      <c r="AG313" s="60"/>
      <c r="AH313" s="60">
        <v>17876345883</v>
      </c>
      <c r="AI313" s="60">
        <v>1761146998</v>
      </c>
      <c r="AJ313" s="60">
        <v>1193022744</v>
      </c>
      <c r="AK313" s="60">
        <v>3009142867</v>
      </c>
      <c r="AL313" s="60"/>
      <c r="AM313" s="60">
        <v>8312190341</v>
      </c>
      <c r="AN313" s="60">
        <f t="shared" si="43"/>
        <v>132556186881</v>
      </c>
      <c r="AO313" s="60"/>
      <c r="AP313" s="60"/>
      <c r="AQ313" s="60">
        <v>0</v>
      </c>
      <c r="AR313" s="60"/>
      <c r="AS313" s="60"/>
      <c r="AT313" s="60">
        <v>17876345883</v>
      </c>
      <c r="AU313" s="60"/>
      <c r="AV313" s="60">
        <v>1193022744</v>
      </c>
      <c r="AW313" s="60">
        <v>2038802219</v>
      </c>
      <c r="AX313" s="60"/>
      <c r="AY313" s="60"/>
      <c r="AZ313" s="60">
        <v>13399964296</v>
      </c>
      <c r="BA313" s="60"/>
      <c r="BB313" s="60">
        <f>VLOOKUP(B313,'[3]anuladas en mayo gratuidad}'!K$2:L$55,2,0)</f>
        <v>107012490</v>
      </c>
      <c r="BC313" s="61">
        <f t="shared" si="37"/>
        <v>166957309533</v>
      </c>
      <c r="BD313" s="60"/>
      <c r="BE313" s="60"/>
      <c r="BF313" s="60">
        <v>0</v>
      </c>
      <c r="BG313" s="60"/>
      <c r="BH313" s="60"/>
      <c r="BI313" s="60">
        <v>19439441955</v>
      </c>
      <c r="BJ313" s="60">
        <v>2417353185</v>
      </c>
      <c r="BK313" s="60">
        <v>803263296</v>
      </c>
      <c r="BL313" s="60">
        <v>3233326572</v>
      </c>
      <c r="BM313" s="60"/>
      <c r="BN313" s="60"/>
      <c r="BO313" s="60"/>
      <c r="BP313" s="61">
        <v>192850694541</v>
      </c>
      <c r="BQ313" s="61"/>
      <c r="BR313" s="61"/>
      <c r="BS313" s="61">
        <v>0</v>
      </c>
      <c r="BT313" s="61"/>
      <c r="BU313" s="61"/>
      <c r="BV313" s="61"/>
      <c r="BW313" s="61">
        <v>19393315408</v>
      </c>
      <c r="BX313" s="61"/>
      <c r="BY313" s="61">
        <v>7992567975</v>
      </c>
      <c r="BZ313" s="61">
        <v>1236264490</v>
      </c>
      <c r="CA313" s="61">
        <v>3215575159</v>
      </c>
      <c r="CB313" s="61"/>
      <c r="CC313" s="61"/>
      <c r="CD313" s="61"/>
      <c r="CE313" s="61">
        <v>136479705</v>
      </c>
      <c r="CF313" s="61"/>
      <c r="CG313" s="61">
        <f t="shared" si="38"/>
        <v>224824897278</v>
      </c>
      <c r="CH313" s="62">
        <f>VLOOKUP(B313,[1]RPTNCT049_ConsultaSaldosContabl!I$4:K$7987,3,0)</f>
        <v>216483239722</v>
      </c>
      <c r="CI313" s="62">
        <f t="shared" si="39"/>
        <v>8341657556</v>
      </c>
      <c r="CJ313" s="63">
        <f t="shared" si="40"/>
        <v>224824897278</v>
      </c>
      <c r="CK313" s="64">
        <f t="shared" si="41"/>
        <v>0</v>
      </c>
      <c r="CL313" s="16"/>
      <c r="CM313" s="16"/>
      <c r="CN313" s="16"/>
    </row>
    <row r="314" spans="1:96" ht="15" customHeight="1" x14ac:dyDescent="0.2">
      <c r="A314" s="1">
        <v>8917800094</v>
      </c>
      <c r="B314" s="1">
        <v>891780009</v>
      </c>
      <c r="C314" s="9">
        <v>210147001</v>
      </c>
      <c r="D314" s="10" t="s">
        <v>2153</v>
      </c>
      <c r="E314" s="47" t="s">
        <v>1060</v>
      </c>
      <c r="F314" s="21"/>
      <c r="G314" s="59"/>
      <c r="H314" s="21"/>
      <c r="I314" s="59">
        <f>11820802382+221256788</f>
        <v>12042059170</v>
      </c>
      <c r="J314" s="21">
        <v>813582127</v>
      </c>
      <c r="K314" s="21">
        <v>1627301801</v>
      </c>
      <c r="L314" s="59"/>
      <c r="M314" s="61">
        <f t="shared" si="44"/>
        <v>14482943098</v>
      </c>
      <c r="N314" s="21"/>
      <c r="O314" s="59"/>
      <c r="P314" s="21">
        <f>VLOOKUP(A314,'[4]PENS-CANC'!A$2:B$37,2,0)</f>
        <v>0</v>
      </c>
      <c r="Q314" s="59">
        <f>11649156627+100571267</f>
        <v>11749727894</v>
      </c>
      <c r="R314" s="21">
        <v>814114408</v>
      </c>
      <c r="S314" s="21">
        <f>813719674+814114408</f>
        <v>1627834082</v>
      </c>
      <c r="T314" s="59"/>
      <c r="U314" s="60">
        <f t="shared" si="36"/>
        <v>28674619482</v>
      </c>
      <c r="V314" s="60"/>
      <c r="W314" s="60"/>
      <c r="X314" s="60"/>
      <c r="Y314" s="60">
        <v>15586655150</v>
      </c>
      <c r="Z314" s="60">
        <v>834807968</v>
      </c>
      <c r="AA314" s="60">
        <v>1444627469</v>
      </c>
      <c r="AB314" s="60"/>
      <c r="AC314" s="60">
        <f t="shared" si="45"/>
        <v>46540710069</v>
      </c>
      <c r="AD314" s="60"/>
      <c r="AE314" s="60"/>
      <c r="AF314" s="60"/>
      <c r="AG314" s="60"/>
      <c r="AH314" s="60">
        <v>12380812247</v>
      </c>
      <c r="AI314" s="60">
        <v>2074876340</v>
      </c>
      <c r="AJ314" s="60">
        <v>778707251</v>
      </c>
      <c r="AK314" s="60">
        <v>1964303034</v>
      </c>
      <c r="AL314" s="60"/>
      <c r="AM314" s="60">
        <v>5125710440</v>
      </c>
      <c r="AN314" s="60">
        <f t="shared" si="43"/>
        <v>68865119381</v>
      </c>
      <c r="AO314" s="60"/>
      <c r="AP314" s="60"/>
      <c r="AQ314" s="60">
        <v>2164774265</v>
      </c>
      <c r="AR314" s="60"/>
      <c r="AS314" s="60"/>
      <c r="AT314" s="60">
        <v>12380812247</v>
      </c>
      <c r="AU314" s="60"/>
      <c r="AV314" s="60">
        <v>778707251</v>
      </c>
      <c r="AW314" s="60">
        <v>1330865872</v>
      </c>
      <c r="AX314" s="60"/>
      <c r="AY314" s="60"/>
      <c r="AZ314" s="60">
        <v>1857585356</v>
      </c>
      <c r="BA314" s="60">
        <f>VLOOKUP(B314,[2]Hoja3!J$3:K$674,2,0)</f>
        <v>540590789</v>
      </c>
      <c r="BB314" s="60"/>
      <c r="BC314" s="61">
        <f t="shared" si="37"/>
        <v>87918455161</v>
      </c>
      <c r="BD314" s="60"/>
      <c r="BE314" s="60"/>
      <c r="BF314" s="60">
        <v>432954853</v>
      </c>
      <c r="BG314" s="60"/>
      <c r="BH314" s="60"/>
      <c r="BI314" s="60">
        <v>11982166885</v>
      </c>
      <c r="BJ314" s="60">
        <v>1377396082</v>
      </c>
      <c r="BK314" s="60">
        <v>632802281</v>
      </c>
      <c r="BL314" s="60">
        <v>2204134459</v>
      </c>
      <c r="BM314" s="60"/>
      <c r="BN314" s="60"/>
      <c r="BO314" s="60"/>
      <c r="BP314" s="61">
        <v>104547909721</v>
      </c>
      <c r="BQ314" s="61"/>
      <c r="BR314" s="61"/>
      <c r="BS314" s="61">
        <v>432954853</v>
      </c>
      <c r="BT314" s="61"/>
      <c r="BU314" s="61"/>
      <c r="BV314" s="61"/>
      <c r="BW314" s="61">
        <v>11933744051</v>
      </c>
      <c r="BX314" s="61"/>
      <c r="BY314" s="61">
        <v>5163302781</v>
      </c>
      <c r="BZ314" s="61">
        <v>821154871</v>
      </c>
      <c r="CA314" s="61">
        <v>2089047000</v>
      </c>
      <c r="CB314" s="61"/>
      <c r="CC314" s="61"/>
      <c r="CD314" s="61"/>
      <c r="CE314" s="61">
        <v>127319487</v>
      </c>
      <c r="CF314" s="61"/>
      <c r="CG314" s="61">
        <f t="shared" si="38"/>
        <v>125115432764</v>
      </c>
      <c r="CH314" s="62">
        <f>VLOOKUP(B314,[1]RPTNCT049_ConsultaSaldosContabl!I$4:K$7987,3,0)</f>
        <v>119321812048</v>
      </c>
      <c r="CI314" s="62">
        <f t="shared" si="39"/>
        <v>5793620716</v>
      </c>
      <c r="CJ314" s="63">
        <f t="shared" si="40"/>
        <v>125115432764</v>
      </c>
      <c r="CK314" s="64">
        <f t="shared" si="41"/>
        <v>0</v>
      </c>
      <c r="CL314" s="16"/>
      <c r="CM314" s="16"/>
      <c r="CN314" s="16"/>
    </row>
    <row r="315" spans="1:96" ht="15" customHeight="1" x14ac:dyDescent="0.2">
      <c r="A315" s="1">
        <v>8901020181</v>
      </c>
      <c r="B315" s="76">
        <v>890102018</v>
      </c>
      <c r="C315" s="9">
        <v>210108001</v>
      </c>
      <c r="D315" s="10" t="s">
        <v>25</v>
      </c>
      <c r="E315" s="47" t="s">
        <v>2064</v>
      </c>
      <c r="F315" s="21"/>
      <c r="G315" s="59"/>
      <c r="H315" s="21"/>
      <c r="I315" s="69">
        <f>24114427894+315671072</f>
        <v>24430098966</v>
      </c>
      <c r="J315" s="21">
        <v>1804912674</v>
      </c>
      <c r="K315" s="21">
        <v>3577279621</v>
      </c>
      <c r="L315" s="59"/>
      <c r="M315" s="61">
        <f t="shared" si="44"/>
        <v>29812291261</v>
      </c>
      <c r="N315" s="21"/>
      <c r="O315" s="59"/>
      <c r="P315" s="21">
        <f>VLOOKUP(A315,'[4]PENS-CANC'!A$2:B$37,2,0)</f>
        <v>0</v>
      </c>
      <c r="Q315" s="59">
        <f>22783680798+143486851</f>
        <v>22927167649</v>
      </c>
      <c r="R315" s="21">
        <v>1837493789</v>
      </c>
      <c r="S315" s="21">
        <f>1772366947+1837493789</f>
        <v>3609860736</v>
      </c>
      <c r="T315" s="59"/>
      <c r="U315" s="60">
        <f t="shared" si="36"/>
        <v>58186813435</v>
      </c>
      <c r="V315" s="60"/>
      <c r="W315" s="60"/>
      <c r="X315" s="60"/>
      <c r="Y315" s="60">
        <v>43861492358</v>
      </c>
      <c r="Z315" s="60">
        <v>2098181770</v>
      </c>
      <c r="AA315" s="60">
        <v>4083051976</v>
      </c>
      <c r="AB315" s="60"/>
      <c r="AC315" s="60">
        <f t="shared" si="45"/>
        <v>108229539539</v>
      </c>
      <c r="AD315" s="60"/>
      <c r="AE315" s="60"/>
      <c r="AF315" s="60"/>
      <c r="AG315" s="60"/>
      <c r="AH315" s="60">
        <v>23536310875</v>
      </c>
      <c r="AI315" s="60">
        <v>1698505606</v>
      </c>
      <c r="AJ315" s="60">
        <v>1815496221</v>
      </c>
      <c r="AK315" s="60">
        <v>4577162792</v>
      </c>
      <c r="AL315" s="60"/>
      <c r="AM315" s="60">
        <v>12636785217</v>
      </c>
      <c r="AN315" s="60">
        <f t="shared" si="43"/>
        <v>152493800250</v>
      </c>
      <c r="AO315" s="60"/>
      <c r="AP315" s="60"/>
      <c r="AQ315" s="60">
        <v>3992815040</v>
      </c>
      <c r="AR315" s="60"/>
      <c r="AS315" s="60"/>
      <c r="AT315" s="60">
        <v>24821446959</v>
      </c>
      <c r="AU315" s="60"/>
      <c r="AV315" s="60">
        <v>1815496221</v>
      </c>
      <c r="AW315" s="60">
        <v>3100229102</v>
      </c>
      <c r="AX315" s="60"/>
      <c r="AY315" s="60"/>
      <c r="AZ315" s="60">
        <v>7572414235</v>
      </c>
      <c r="BA315" s="60">
        <f>VLOOKUP(B315,[2]Hoja3!J$3:K$674,2,0)</f>
        <v>118791517</v>
      </c>
      <c r="BB315" s="60">
        <f>VLOOKUP(B315,'[3]anuladas en mayo gratuidad}'!K$2:L$55,2,0)</f>
        <v>1145827026</v>
      </c>
      <c r="BC315" s="61">
        <f t="shared" si="37"/>
        <v>192769166298</v>
      </c>
      <c r="BD315" s="60"/>
      <c r="BE315" s="60"/>
      <c r="BF315" s="60">
        <v>798563008</v>
      </c>
      <c r="BG315" s="60"/>
      <c r="BH315" s="60"/>
      <c r="BI315" s="60">
        <v>24918396139</v>
      </c>
      <c r="BJ315" s="60">
        <v>1010443961</v>
      </c>
      <c r="BK315" s="60">
        <v>1655539527</v>
      </c>
      <c r="BL315" s="60">
        <v>5688645194</v>
      </c>
      <c r="BM315" s="60"/>
      <c r="BN315" s="60"/>
      <c r="BO315" s="60">
        <v>938681879</v>
      </c>
      <c r="BP315" s="61">
        <v>227779436006</v>
      </c>
      <c r="BQ315" s="61"/>
      <c r="BR315" s="61"/>
      <c r="BS315" s="61">
        <v>798563008</v>
      </c>
      <c r="BT315" s="61"/>
      <c r="BU315" s="61"/>
      <c r="BV315" s="61"/>
      <c r="BW315" s="61">
        <v>24646803401</v>
      </c>
      <c r="BX315" s="61">
        <v>2517273231</v>
      </c>
      <c r="BY315" s="61">
        <v>10798574589</v>
      </c>
      <c r="BZ315" s="61">
        <v>1894782130</v>
      </c>
      <c r="CA315" s="61">
        <v>4882755127</v>
      </c>
      <c r="CB315" s="61"/>
      <c r="CC315" s="61"/>
      <c r="CD315" s="61"/>
      <c r="CE315" s="61">
        <v>40694368</v>
      </c>
      <c r="CF315" s="61">
        <v>-76768723</v>
      </c>
      <c r="CG315" s="61">
        <f t="shared" si="38"/>
        <v>273282113137</v>
      </c>
      <c r="CH315" s="62">
        <f>VLOOKUP(B315,[1]RPTNCT049_ConsultaSaldosContabl!I$4:K$7987,3,0)</f>
        <v>260769755905</v>
      </c>
      <c r="CI315" s="62">
        <f t="shared" si="39"/>
        <v>12512357232</v>
      </c>
      <c r="CJ315" s="63">
        <f t="shared" si="40"/>
        <v>273282113137</v>
      </c>
      <c r="CK315" s="64">
        <f t="shared" si="41"/>
        <v>0</v>
      </c>
      <c r="CL315" s="16"/>
      <c r="CM315" s="16"/>
      <c r="CN315" s="16"/>
    </row>
    <row r="316" spans="1:96" ht="15" customHeight="1" x14ac:dyDescent="0.2">
      <c r="A316" s="1">
        <v>8907020263</v>
      </c>
      <c r="B316" s="1">
        <v>890702026</v>
      </c>
      <c r="C316" s="9">
        <v>213673236</v>
      </c>
      <c r="D316" s="10" t="s">
        <v>2214</v>
      </c>
      <c r="E316" s="45" t="s">
        <v>1941</v>
      </c>
      <c r="F316" s="21"/>
      <c r="G316" s="59"/>
      <c r="H316" s="21"/>
      <c r="I316" s="59"/>
      <c r="J316" s="21"/>
      <c r="K316" s="21"/>
      <c r="L316" s="59"/>
      <c r="M316" s="60"/>
      <c r="N316" s="21"/>
      <c r="O316" s="59"/>
      <c r="P316" s="21"/>
      <c r="Q316" s="59"/>
      <c r="R316" s="21"/>
      <c r="S316" s="21"/>
      <c r="T316" s="59"/>
      <c r="U316" s="60">
        <f t="shared" si="36"/>
        <v>0</v>
      </c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>
        <v>60098815</v>
      </c>
      <c r="AZ316" s="60"/>
      <c r="BA316" s="60">
        <f>VLOOKUP(B316,[2]Hoja3!J$3:K$674,2,0)</f>
        <v>131162223</v>
      </c>
      <c r="BB316" s="60"/>
      <c r="BC316" s="61">
        <f t="shared" si="37"/>
        <v>191261038</v>
      </c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>
        <v>12019763</v>
      </c>
      <c r="BO316" s="60"/>
      <c r="BP316" s="61">
        <v>203280801</v>
      </c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>
        <v>12019763</v>
      </c>
      <c r="CD316" s="61"/>
      <c r="CE316" s="61"/>
      <c r="CF316" s="61"/>
      <c r="CG316" s="61">
        <f t="shared" si="38"/>
        <v>215300564</v>
      </c>
      <c r="CH316" s="62">
        <f>VLOOKUP(B316,[1]RPTNCT049_ConsultaSaldosContabl!I$4:K$7987,3,0)</f>
        <v>84138341</v>
      </c>
      <c r="CI316" s="62">
        <f t="shared" si="39"/>
        <v>131162223</v>
      </c>
      <c r="CJ316" s="63">
        <f t="shared" si="40"/>
        <v>215300564</v>
      </c>
      <c r="CK316" s="64">
        <f t="shared" si="41"/>
        <v>0</v>
      </c>
      <c r="CL316" s="16"/>
      <c r="CM316" s="16"/>
      <c r="CN316" s="16"/>
    </row>
    <row r="317" spans="1:96" ht="15" customHeight="1" x14ac:dyDescent="0.2">
      <c r="A317" s="1">
        <v>8909840438</v>
      </c>
      <c r="B317" s="1">
        <v>890984043</v>
      </c>
      <c r="C317" s="9">
        <v>213705237</v>
      </c>
      <c r="D317" s="10" t="s">
        <v>83</v>
      </c>
      <c r="E317" s="45" t="s">
        <v>1114</v>
      </c>
      <c r="F317" s="21"/>
      <c r="G317" s="59"/>
      <c r="H317" s="21"/>
      <c r="I317" s="59"/>
      <c r="J317" s="21"/>
      <c r="K317" s="21"/>
      <c r="L317" s="59"/>
      <c r="M317" s="60"/>
      <c r="N317" s="21"/>
      <c r="O317" s="59"/>
      <c r="P317" s="21"/>
      <c r="Q317" s="59"/>
      <c r="R317" s="21"/>
      <c r="S317" s="21"/>
      <c r="T317" s="59"/>
      <c r="U317" s="60">
        <f t="shared" si="36"/>
        <v>0</v>
      </c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>
        <v>31368371</v>
      </c>
      <c r="AN317" s="60">
        <f>SUBTOTAL(9,AC317:AM317)</f>
        <v>31368371</v>
      </c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>
        <v>99769770</v>
      </c>
      <c r="AZ317" s="60"/>
      <c r="BA317" s="60">
        <f>VLOOKUP(B317,[2]Hoja3!J$3:K$674,2,0)</f>
        <v>212678584</v>
      </c>
      <c r="BB317" s="60"/>
      <c r="BC317" s="61">
        <f t="shared" si="37"/>
        <v>343816725</v>
      </c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>
        <v>19953954</v>
      </c>
      <c r="BO317" s="60"/>
      <c r="BP317" s="61">
        <v>363770679</v>
      </c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>
        <v>19953954</v>
      </c>
      <c r="CD317" s="61"/>
      <c r="CE317" s="61"/>
      <c r="CF317" s="61"/>
      <c r="CG317" s="61">
        <f t="shared" si="38"/>
        <v>383724633</v>
      </c>
      <c r="CH317" s="62">
        <f>VLOOKUP(B317,[1]RPTNCT049_ConsultaSaldosContabl!I$4:K$7987,3,0)</f>
        <v>139677678</v>
      </c>
      <c r="CI317" s="62">
        <f t="shared" si="39"/>
        <v>244046955</v>
      </c>
      <c r="CJ317" s="63">
        <f t="shared" si="40"/>
        <v>383724633</v>
      </c>
      <c r="CK317" s="64">
        <f t="shared" si="41"/>
        <v>0</v>
      </c>
      <c r="CL317" s="16"/>
      <c r="CM317" s="16"/>
      <c r="CN317" s="16"/>
    </row>
    <row r="318" spans="1:96" ht="15" customHeight="1" x14ac:dyDescent="0.2">
      <c r="A318" s="1">
        <v>8000993106</v>
      </c>
      <c r="B318" s="1">
        <v>800099310</v>
      </c>
      <c r="C318" s="9">
        <v>217066170</v>
      </c>
      <c r="D318" s="10" t="s">
        <v>2155</v>
      </c>
      <c r="E318" s="47" t="s">
        <v>1020</v>
      </c>
      <c r="F318" s="21"/>
      <c r="G318" s="59"/>
      <c r="H318" s="21"/>
      <c r="I318" s="59">
        <f>3558618112+104511628</f>
        <v>3663129740</v>
      </c>
      <c r="J318" s="21">
        <v>267068334</v>
      </c>
      <c r="K318" s="21">
        <v>529272286</v>
      </c>
      <c r="L318" s="59"/>
      <c r="M318" s="61">
        <f t="shared" si="44"/>
        <v>4459470360</v>
      </c>
      <c r="N318" s="21"/>
      <c r="O318" s="59"/>
      <c r="P318" s="21"/>
      <c r="Q318" s="59">
        <f>3387860702+47505286</f>
        <v>3435365988</v>
      </c>
      <c r="R318" s="21">
        <v>267068334</v>
      </c>
      <c r="S318" s="21">
        <f>262203952+267068334</f>
        <v>529272286</v>
      </c>
      <c r="T318" s="59"/>
      <c r="U318" s="60">
        <f t="shared" si="36"/>
        <v>8691176968</v>
      </c>
      <c r="V318" s="60"/>
      <c r="W318" s="60"/>
      <c r="X318" s="60"/>
      <c r="Y318" s="60">
        <v>5100802875</v>
      </c>
      <c r="Z318" s="60">
        <v>264405256</v>
      </c>
      <c r="AA318" s="60">
        <v>615732553</v>
      </c>
      <c r="AB318" s="60"/>
      <c r="AC318" s="60">
        <f t="shared" si="45"/>
        <v>14672117652</v>
      </c>
      <c r="AD318" s="60"/>
      <c r="AE318" s="60"/>
      <c r="AF318" s="60"/>
      <c r="AG318" s="60"/>
      <c r="AH318" s="60">
        <v>3665271118</v>
      </c>
      <c r="AI318" s="60">
        <v>510521960</v>
      </c>
      <c r="AJ318" s="60">
        <v>274920973</v>
      </c>
      <c r="AK318" s="60">
        <v>692924494</v>
      </c>
      <c r="AL318" s="60"/>
      <c r="AM318" s="60">
        <v>1597241045</v>
      </c>
      <c r="AN318" s="60">
        <f>SUBTOTAL(9,AC318:AM318)</f>
        <v>21412997242</v>
      </c>
      <c r="AO318" s="60"/>
      <c r="AP318" s="60"/>
      <c r="AQ318" s="60">
        <v>638387995</v>
      </c>
      <c r="AR318" s="60"/>
      <c r="AS318" s="60"/>
      <c r="AT318" s="60">
        <v>3665271118</v>
      </c>
      <c r="AU318" s="60"/>
      <c r="AV318" s="60">
        <v>274920973</v>
      </c>
      <c r="AW318" s="60">
        <v>469339602</v>
      </c>
      <c r="AX318" s="60"/>
      <c r="AY318" s="60"/>
      <c r="AZ318" s="60">
        <v>379248425</v>
      </c>
      <c r="BA318" s="60">
        <f>VLOOKUP(B318,[2]Hoja3!J$3:K$674,2,0)</f>
        <v>236890931</v>
      </c>
      <c r="BB318" s="60"/>
      <c r="BC318" s="61">
        <f t="shared" si="37"/>
        <v>27077056286</v>
      </c>
      <c r="BD318" s="60"/>
      <c r="BE318" s="60"/>
      <c r="BF318" s="60">
        <v>127677599</v>
      </c>
      <c r="BG318" s="60"/>
      <c r="BH318" s="60"/>
      <c r="BI318" s="60">
        <v>3805333696</v>
      </c>
      <c r="BJ318" s="60">
        <v>205432384</v>
      </c>
      <c r="BK318" s="60">
        <v>287048213</v>
      </c>
      <c r="BL318" s="60">
        <v>732316253</v>
      </c>
      <c r="BM318" s="60"/>
      <c r="BN318" s="60"/>
      <c r="BO318" s="60"/>
      <c r="BP318" s="61">
        <v>32234864431</v>
      </c>
      <c r="BQ318" s="61"/>
      <c r="BR318" s="61"/>
      <c r="BS318" s="61">
        <v>127677599</v>
      </c>
      <c r="BT318" s="61"/>
      <c r="BU318" s="61"/>
      <c r="BV318" s="61"/>
      <c r="BW318" s="61">
        <v>3771157443</v>
      </c>
      <c r="BX318" s="61"/>
      <c r="BY318" s="61">
        <v>1689404414</v>
      </c>
      <c r="BZ318" s="61">
        <v>278427204</v>
      </c>
      <c r="CA318" s="61">
        <v>729792210</v>
      </c>
      <c r="CB318" s="61"/>
      <c r="CC318" s="61"/>
      <c r="CD318" s="61"/>
      <c r="CE318" s="61"/>
      <c r="CF318" s="61"/>
      <c r="CG318" s="61">
        <f t="shared" si="38"/>
        <v>38831323301</v>
      </c>
      <c r="CH318" s="62">
        <f>VLOOKUP(B318,[1]RPTNCT049_ConsultaSaldosContabl!I$4:K$7987,3,0)</f>
        <v>36997191325</v>
      </c>
      <c r="CI318" s="62">
        <f t="shared" si="39"/>
        <v>1834131976</v>
      </c>
      <c r="CJ318" s="63">
        <f t="shared" si="40"/>
        <v>38831323301</v>
      </c>
      <c r="CK318" s="64">
        <f t="shared" si="41"/>
        <v>0</v>
      </c>
      <c r="CL318" s="16"/>
      <c r="CM318" s="16"/>
      <c r="CN318" s="16"/>
    </row>
    <row r="319" spans="1:96" ht="15" customHeight="1" x14ac:dyDescent="0.2">
      <c r="A319" s="1">
        <v>8918551381</v>
      </c>
      <c r="B319" s="1">
        <v>891855138</v>
      </c>
      <c r="C319" s="9">
        <v>213815238</v>
      </c>
      <c r="D319" s="10" t="s">
        <v>2156</v>
      </c>
      <c r="E319" s="50" t="s">
        <v>2093</v>
      </c>
      <c r="F319" s="21"/>
      <c r="G319" s="59"/>
      <c r="H319" s="21"/>
      <c r="I319" s="66">
        <f>3001228313+91050509</f>
        <v>3092278822</v>
      </c>
      <c r="J319" s="21">
        <v>191746066</v>
      </c>
      <c r="K319" s="21">
        <v>380004467</v>
      </c>
      <c r="L319" s="59"/>
      <c r="M319" s="61">
        <f t="shared" si="44"/>
        <v>3664029355</v>
      </c>
      <c r="N319" s="21"/>
      <c r="O319" s="59"/>
      <c r="P319" s="21"/>
      <c r="Q319" s="59">
        <f>2875276146+41386595</f>
        <v>2916662741</v>
      </c>
      <c r="R319" s="21">
        <v>191746066</v>
      </c>
      <c r="S319" s="21">
        <f>188258401+191746066</f>
        <v>380004467</v>
      </c>
      <c r="T319" s="59"/>
      <c r="U319" s="60">
        <f t="shared" si="36"/>
        <v>7152442629</v>
      </c>
      <c r="V319" s="60"/>
      <c r="W319" s="60"/>
      <c r="X319" s="60"/>
      <c r="Y319" s="60">
        <v>4341065920</v>
      </c>
      <c r="Z319" s="60">
        <v>195115161</v>
      </c>
      <c r="AA319" s="60">
        <v>451541569</v>
      </c>
      <c r="AB319" s="60"/>
      <c r="AC319" s="60">
        <f t="shared" si="45"/>
        <v>12140165279</v>
      </c>
      <c r="AD319" s="60"/>
      <c r="AE319" s="60"/>
      <c r="AF319" s="60"/>
      <c r="AG319" s="60"/>
      <c r="AH319" s="60">
        <v>2783979191</v>
      </c>
      <c r="AI319" s="60">
        <v>403917514</v>
      </c>
      <c r="AJ319" s="60">
        <v>197214615</v>
      </c>
      <c r="AK319" s="60">
        <v>496799645</v>
      </c>
      <c r="AL319" s="60"/>
      <c r="AM319" s="60">
        <v>1347061593</v>
      </c>
      <c r="AN319" s="60">
        <f>SUBTOTAL(9,AC319:AM319)</f>
        <v>17369137837</v>
      </c>
      <c r="AO319" s="60"/>
      <c r="AP319" s="60"/>
      <c r="AQ319" s="60">
        <v>386220780</v>
      </c>
      <c r="AR319" s="60"/>
      <c r="AS319" s="60"/>
      <c r="AT319" s="60">
        <v>2783979191</v>
      </c>
      <c r="AU319" s="60"/>
      <c r="AV319" s="60">
        <v>197214615</v>
      </c>
      <c r="AW319" s="60">
        <v>336411415</v>
      </c>
      <c r="AX319" s="60"/>
      <c r="AY319" s="60"/>
      <c r="AZ319" s="60">
        <v>381334267</v>
      </c>
      <c r="BA319" s="60">
        <f>VLOOKUP(B319,[2]Hoja3!J$3:K$674,2,0)</f>
        <v>15903443</v>
      </c>
      <c r="BB319" s="60">
        <f>VLOOKUP(B319,'[3]anuladas en mayo gratuidad}'!K$2:L$55,2,0)</f>
        <v>27811306</v>
      </c>
      <c r="BC319" s="61">
        <f t="shared" si="37"/>
        <v>21442390242</v>
      </c>
      <c r="BD319" s="60"/>
      <c r="BE319" s="60"/>
      <c r="BF319" s="60">
        <v>77244156</v>
      </c>
      <c r="BG319" s="60"/>
      <c r="BH319" s="60"/>
      <c r="BI319" s="60">
        <v>3078410413</v>
      </c>
      <c r="BJ319" s="60">
        <v>140607417</v>
      </c>
      <c r="BK319" s="60">
        <v>193235858</v>
      </c>
      <c r="BL319" s="60">
        <v>488582895</v>
      </c>
      <c r="BM319" s="60"/>
      <c r="BN319" s="60"/>
      <c r="BO319" s="60"/>
      <c r="BP319" s="61">
        <v>25420470981</v>
      </c>
      <c r="BQ319" s="61"/>
      <c r="BR319" s="61"/>
      <c r="BS319" s="61">
        <v>77244156</v>
      </c>
      <c r="BT319" s="61"/>
      <c r="BU319" s="61"/>
      <c r="BV319" s="61"/>
      <c r="BW319" s="61">
        <v>2925207949</v>
      </c>
      <c r="BX319" s="61"/>
      <c r="BY319" s="61">
        <v>1289835345</v>
      </c>
      <c r="BZ319" s="61">
        <v>197129226</v>
      </c>
      <c r="CA319" s="61">
        <v>516085457</v>
      </c>
      <c r="CB319" s="61"/>
      <c r="CC319" s="61"/>
      <c r="CD319" s="61"/>
      <c r="CE319" s="61">
        <v>27811306</v>
      </c>
      <c r="CF319" s="61"/>
      <c r="CG319" s="61">
        <f t="shared" si="38"/>
        <v>30453784420</v>
      </c>
      <c r="CH319" s="62">
        <f>VLOOKUP(B319,[1]RPTNCT049_ConsultaSaldosContabl!I$4:K$7987,3,0)</f>
        <v>29090819384</v>
      </c>
      <c r="CI319" s="62">
        <f t="shared" si="39"/>
        <v>1362965036</v>
      </c>
      <c r="CJ319" s="63">
        <f t="shared" si="40"/>
        <v>30453784420</v>
      </c>
      <c r="CK319" s="64">
        <f t="shared" si="41"/>
        <v>0</v>
      </c>
      <c r="CL319" s="16"/>
      <c r="CM319" s="16"/>
      <c r="CN319" s="16"/>
    </row>
    <row r="320" spans="1:96" ht="15" customHeight="1" x14ac:dyDescent="0.2">
      <c r="A320" s="1">
        <v>8000992376</v>
      </c>
      <c r="B320" s="1">
        <v>800099237</v>
      </c>
      <c r="C320" s="9">
        <v>213954239</v>
      </c>
      <c r="D320" s="10" t="s">
        <v>761</v>
      </c>
      <c r="E320" s="45" t="s">
        <v>1779</v>
      </c>
      <c r="F320" s="21"/>
      <c r="G320" s="59"/>
      <c r="H320" s="21"/>
      <c r="I320" s="59"/>
      <c r="J320" s="21"/>
      <c r="K320" s="21"/>
      <c r="L320" s="59"/>
      <c r="M320" s="60"/>
      <c r="N320" s="21"/>
      <c r="O320" s="59"/>
      <c r="P320" s="21"/>
      <c r="Q320" s="59"/>
      <c r="R320" s="21"/>
      <c r="S320" s="21"/>
      <c r="T320" s="59"/>
      <c r="U320" s="60">
        <f t="shared" si="36"/>
        <v>0</v>
      </c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>
        <v>28972705</v>
      </c>
      <c r="AZ320" s="60"/>
      <c r="BA320" s="60">
        <f>VLOOKUP(B320,[2]Hoja3!J$3:K$674,2,0)</f>
        <v>58003226</v>
      </c>
      <c r="BB320" s="60"/>
      <c r="BC320" s="61">
        <f t="shared" si="37"/>
        <v>86975931</v>
      </c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>
        <v>5794541</v>
      </c>
      <c r="BO320" s="60"/>
      <c r="BP320" s="61">
        <v>92770472</v>
      </c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>
        <v>5794541</v>
      </c>
      <c r="CD320" s="61"/>
      <c r="CE320" s="61"/>
      <c r="CF320" s="61"/>
      <c r="CG320" s="61">
        <f t="shared" si="38"/>
        <v>98565013</v>
      </c>
      <c r="CH320" s="62">
        <f>VLOOKUP(B320,[1]RPTNCT049_ConsultaSaldosContabl!I$4:K$7987,3,0)</f>
        <v>40561787</v>
      </c>
      <c r="CI320" s="62">
        <f t="shared" si="39"/>
        <v>58003226</v>
      </c>
      <c r="CJ320" s="63">
        <f t="shared" si="40"/>
        <v>98565013</v>
      </c>
      <c r="CK320" s="64">
        <f t="shared" si="41"/>
        <v>0</v>
      </c>
      <c r="CL320" s="16"/>
      <c r="CM320" s="16"/>
      <c r="CN320" s="16"/>
    </row>
    <row r="321" spans="1:96" ht="15" customHeight="1" x14ac:dyDescent="0.2">
      <c r="A321" s="1">
        <v>8909836647</v>
      </c>
      <c r="B321" s="1">
        <v>890983664</v>
      </c>
      <c r="C321" s="9">
        <v>214005240</v>
      </c>
      <c r="D321" s="10" t="s">
        <v>84</v>
      </c>
      <c r="E321" s="45" t="s">
        <v>1115</v>
      </c>
      <c r="F321" s="21"/>
      <c r="G321" s="59"/>
      <c r="H321" s="21"/>
      <c r="I321" s="59"/>
      <c r="J321" s="21"/>
      <c r="K321" s="21"/>
      <c r="L321" s="59"/>
      <c r="M321" s="60"/>
      <c r="N321" s="21"/>
      <c r="O321" s="59"/>
      <c r="P321" s="21"/>
      <c r="Q321" s="59"/>
      <c r="R321" s="21"/>
      <c r="S321" s="21"/>
      <c r="T321" s="59"/>
      <c r="U321" s="60">
        <f t="shared" si="36"/>
        <v>0</v>
      </c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>
        <v>79613410</v>
      </c>
      <c r="AZ321" s="60"/>
      <c r="BA321" s="60">
        <f>VLOOKUP(B321,[2]Hoja3!J$3:K$674,2,0)</f>
        <v>162555251</v>
      </c>
      <c r="BB321" s="60"/>
      <c r="BC321" s="61">
        <f t="shared" si="37"/>
        <v>242168661</v>
      </c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>
        <v>15922682</v>
      </c>
      <c r="BO321" s="60"/>
      <c r="BP321" s="61">
        <v>258091343</v>
      </c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>
        <v>15922682</v>
      </c>
      <c r="CD321" s="61"/>
      <c r="CE321" s="61"/>
      <c r="CF321" s="61"/>
      <c r="CG321" s="61">
        <f t="shared" si="38"/>
        <v>274014025</v>
      </c>
      <c r="CH321" s="62">
        <f>VLOOKUP(B321,[1]RPTNCT049_ConsultaSaldosContabl!I$4:K$7987,3,0)</f>
        <v>111458774</v>
      </c>
      <c r="CI321" s="62">
        <f t="shared" si="39"/>
        <v>162555251</v>
      </c>
      <c r="CJ321" s="63">
        <f t="shared" si="40"/>
        <v>274014025</v>
      </c>
      <c r="CK321" s="64">
        <f t="shared" si="41"/>
        <v>0</v>
      </c>
      <c r="CL321" s="16"/>
      <c r="CM321" s="16"/>
      <c r="CN321" s="16"/>
    </row>
    <row r="322" spans="1:96" ht="15" customHeight="1" x14ac:dyDescent="0.2">
      <c r="A322" s="1">
        <v>8001005184</v>
      </c>
      <c r="B322" s="1">
        <v>800100518</v>
      </c>
      <c r="C322" s="9">
        <v>214376243</v>
      </c>
      <c r="D322" s="10" t="s">
        <v>922</v>
      </c>
      <c r="E322" s="45" t="s">
        <v>1982</v>
      </c>
      <c r="F322" s="21"/>
      <c r="G322" s="59"/>
      <c r="H322" s="21"/>
      <c r="I322" s="59"/>
      <c r="J322" s="21"/>
      <c r="K322" s="21"/>
      <c r="L322" s="59"/>
      <c r="M322" s="60"/>
      <c r="N322" s="21"/>
      <c r="O322" s="59"/>
      <c r="P322" s="21"/>
      <c r="Q322" s="59"/>
      <c r="R322" s="21"/>
      <c r="S322" s="21"/>
      <c r="T322" s="59"/>
      <c r="U322" s="60">
        <f t="shared" si="36"/>
        <v>0</v>
      </c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>
        <v>88462444</v>
      </c>
      <c r="AN322" s="60">
        <f t="shared" ref="AN322:AN327" si="46">SUBTOTAL(9,AC322:AM322)</f>
        <v>88462444</v>
      </c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>
        <v>64325060</v>
      </c>
      <c r="AZ322" s="60"/>
      <c r="BA322" s="60">
        <f>VLOOKUP(B322,[2]Hoja3!J$3:K$674,2,0)</f>
        <v>47402056</v>
      </c>
      <c r="BB322" s="60"/>
      <c r="BC322" s="61">
        <f t="shared" si="37"/>
        <v>200189560</v>
      </c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>
        <v>12865012</v>
      </c>
      <c r="BO322" s="60"/>
      <c r="BP322" s="61">
        <v>213054572</v>
      </c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>
        <v>12865012</v>
      </c>
      <c r="CD322" s="61"/>
      <c r="CE322" s="61"/>
      <c r="CF322" s="61"/>
      <c r="CG322" s="61">
        <f t="shared" si="38"/>
        <v>225919584</v>
      </c>
      <c r="CH322" s="62">
        <f>VLOOKUP(B322,[1]RPTNCT049_ConsultaSaldosContabl!I$4:K$7987,3,0)</f>
        <v>90055084</v>
      </c>
      <c r="CI322" s="62">
        <f t="shared" si="39"/>
        <v>135864500</v>
      </c>
      <c r="CJ322" s="63">
        <f t="shared" si="40"/>
        <v>225919584</v>
      </c>
      <c r="CK322" s="64">
        <f t="shared" si="41"/>
        <v>0</v>
      </c>
      <c r="CL322" s="16"/>
      <c r="CM322" s="16"/>
      <c r="CN322" s="16"/>
    </row>
    <row r="323" spans="1:96" ht="15" customHeight="1" x14ac:dyDescent="0.2">
      <c r="A323" s="1">
        <v>8909842212</v>
      </c>
      <c r="B323" s="1">
        <v>890984221</v>
      </c>
      <c r="C323" s="9">
        <v>215005250</v>
      </c>
      <c r="D323" s="10" t="s">
        <v>85</v>
      </c>
      <c r="E323" s="45" t="s">
        <v>1116</v>
      </c>
      <c r="F323" s="21"/>
      <c r="G323" s="59"/>
      <c r="H323" s="21"/>
      <c r="I323" s="59"/>
      <c r="J323" s="21"/>
      <c r="K323" s="21"/>
      <c r="L323" s="59"/>
      <c r="M323" s="60"/>
      <c r="N323" s="21"/>
      <c r="O323" s="59"/>
      <c r="P323" s="21"/>
      <c r="Q323" s="59"/>
      <c r="R323" s="21"/>
      <c r="S323" s="21"/>
      <c r="T323" s="59"/>
      <c r="U323" s="60">
        <f t="shared" ref="U323:U386" si="47">SUM(M323:T323)</f>
        <v>0</v>
      </c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>
        <v>206798157</v>
      </c>
      <c r="AN323" s="60">
        <f t="shared" si="46"/>
        <v>206798157</v>
      </c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>
        <v>557695245</v>
      </c>
      <c r="AZ323" s="60"/>
      <c r="BA323" s="60">
        <f>VLOOKUP(B323,[2]Hoja3!J$3:K$674,2,0)</f>
        <v>642722350</v>
      </c>
      <c r="BB323" s="60"/>
      <c r="BC323" s="61">
        <f t="shared" si="37"/>
        <v>1407215752</v>
      </c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>
        <v>111539049</v>
      </c>
      <c r="BO323" s="60"/>
      <c r="BP323" s="61">
        <v>1518754801</v>
      </c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>
        <v>111539049</v>
      </c>
      <c r="CD323" s="61"/>
      <c r="CE323" s="61"/>
      <c r="CF323" s="61"/>
      <c r="CG323" s="61">
        <f t="shared" si="38"/>
        <v>1630293850</v>
      </c>
      <c r="CH323" s="62">
        <f>VLOOKUP(B323,[1]RPTNCT049_ConsultaSaldosContabl!I$4:K$7987,3,0)</f>
        <v>780773343</v>
      </c>
      <c r="CI323" s="62">
        <f t="shared" si="39"/>
        <v>849520507</v>
      </c>
      <c r="CJ323" s="63">
        <f t="shared" si="40"/>
        <v>1630293850</v>
      </c>
      <c r="CK323" s="64">
        <f t="shared" si="41"/>
        <v>0</v>
      </c>
      <c r="CL323" s="16"/>
      <c r="CM323" s="16"/>
      <c r="CN323" s="16"/>
    </row>
    <row r="324" spans="1:96" ht="15" customHeight="1" x14ac:dyDescent="0.2">
      <c r="A324" s="1">
        <v>8917800442</v>
      </c>
      <c r="B324" s="1">
        <v>891780044</v>
      </c>
      <c r="C324" s="9">
        <v>214547245</v>
      </c>
      <c r="D324" s="10" t="s">
        <v>645</v>
      </c>
      <c r="E324" s="45" t="s">
        <v>1664</v>
      </c>
      <c r="F324" s="21"/>
      <c r="G324" s="59"/>
      <c r="H324" s="21"/>
      <c r="I324" s="59"/>
      <c r="J324" s="21"/>
      <c r="K324" s="21"/>
      <c r="L324" s="59"/>
      <c r="M324" s="60"/>
      <c r="N324" s="21"/>
      <c r="O324" s="59"/>
      <c r="P324" s="21"/>
      <c r="Q324" s="59"/>
      <c r="R324" s="21"/>
      <c r="S324" s="21"/>
      <c r="T324" s="59"/>
      <c r="U324" s="60">
        <f t="shared" si="47"/>
        <v>0</v>
      </c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>
        <v>566150111</v>
      </c>
      <c r="AN324" s="60">
        <f t="shared" si="46"/>
        <v>566150111</v>
      </c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>
        <v>822805385</v>
      </c>
      <c r="AZ324" s="60"/>
      <c r="BA324" s="60">
        <f>VLOOKUP(B324,[2]Hoja3!J$3:K$674,2,0)</f>
        <v>806485719</v>
      </c>
      <c r="BB324" s="60">
        <f>VLOOKUP(B324,'[3]anuladas en mayo gratuidad}'!K$2:L$55,2,0)</f>
        <v>46932565</v>
      </c>
      <c r="BC324" s="61">
        <f t="shared" ref="BC324:BC387" si="48">SUM(AN324:BA324)-BB324</f>
        <v>2148508650</v>
      </c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>
        <v>164561077</v>
      </c>
      <c r="BO324" s="60">
        <v>46932565</v>
      </c>
      <c r="BP324" s="61">
        <v>2360002292</v>
      </c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>
        <v>164561077</v>
      </c>
      <c r="CD324" s="61"/>
      <c r="CE324" s="61"/>
      <c r="CF324" s="61"/>
      <c r="CG324" s="61">
        <f t="shared" ref="CG324:CG387" si="49">SUM(BP324:CF324)</f>
        <v>2524563369</v>
      </c>
      <c r="CH324" s="62">
        <f>VLOOKUP(B324,[1]RPTNCT049_ConsultaSaldosContabl!I$4:K$7987,3,0)</f>
        <v>1151927539</v>
      </c>
      <c r="CI324" s="62">
        <f t="shared" ref="CI324:CI387" si="50">+AM324+BA324-BB324+BO324+CE324+CF324</f>
        <v>1372635830</v>
      </c>
      <c r="CJ324" s="63">
        <f t="shared" ref="CJ324:CJ387" si="51">+CH324+CI324</f>
        <v>2524563369</v>
      </c>
      <c r="CK324" s="64">
        <f t="shared" ref="CK324:CK387" si="52">+CG324-CJ324</f>
        <v>0</v>
      </c>
      <c r="CL324" s="16"/>
      <c r="CM324" s="16"/>
      <c r="CN324" s="16"/>
    </row>
    <row r="325" spans="1:96" ht="15" customHeight="1" x14ac:dyDescent="0.2">
      <c r="A325" s="1">
        <v>8001005152</v>
      </c>
      <c r="B325" s="1">
        <v>800100515</v>
      </c>
      <c r="C325" s="9">
        <v>214676246</v>
      </c>
      <c r="D325" s="10" t="s">
        <v>923</v>
      </c>
      <c r="E325" s="45" t="s">
        <v>1983</v>
      </c>
      <c r="F325" s="21"/>
      <c r="G325" s="59"/>
      <c r="H325" s="21"/>
      <c r="I325" s="59"/>
      <c r="J325" s="21"/>
      <c r="K325" s="21"/>
      <c r="L325" s="59"/>
      <c r="M325" s="60"/>
      <c r="N325" s="21"/>
      <c r="O325" s="59"/>
      <c r="P325" s="21"/>
      <c r="Q325" s="59"/>
      <c r="R325" s="21"/>
      <c r="S325" s="21"/>
      <c r="T325" s="59"/>
      <c r="U325" s="60">
        <f t="shared" si="47"/>
        <v>0</v>
      </c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>
        <v>90084690</v>
      </c>
      <c r="AN325" s="60">
        <f t="shared" si="46"/>
        <v>90084690</v>
      </c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>
        <v>53431960</v>
      </c>
      <c r="AZ325" s="60"/>
      <c r="BA325" s="60"/>
      <c r="BB325" s="60"/>
      <c r="BC325" s="61">
        <f t="shared" si="48"/>
        <v>143516650</v>
      </c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>
        <v>10686392</v>
      </c>
      <c r="BO325" s="60"/>
      <c r="BP325" s="61">
        <v>154203042</v>
      </c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>
        <v>10686392</v>
      </c>
      <c r="CD325" s="61"/>
      <c r="CE325" s="61"/>
      <c r="CF325" s="61"/>
      <c r="CG325" s="61">
        <f t="shared" si="49"/>
        <v>164889434</v>
      </c>
      <c r="CH325" s="62">
        <f>VLOOKUP(B325,[1]RPTNCT049_ConsultaSaldosContabl!I$4:K$7987,3,0)</f>
        <v>74804744</v>
      </c>
      <c r="CI325" s="62">
        <f t="shared" si="50"/>
        <v>90084690</v>
      </c>
      <c r="CJ325" s="63">
        <f t="shared" si="51"/>
        <v>164889434</v>
      </c>
      <c r="CK325" s="64">
        <f t="shared" si="52"/>
        <v>0</v>
      </c>
      <c r="CL325" s="16"/>
      <c r="CM325" s="16"/>
      <c r="CN325" s="16"/>
    </row>
    <row r="326" spans="1:96" ht="15" customHeight="1" x14ac:dyDescent="0.2">
      <c r="A326" s="1">
        <v>8920990011</v>
      </c>
      <c r="B326" s="1">
        <v>892099001</v>
      </c>
      <c r="C326" s="9">
        <v>214550245</v>
      </c>
      <c r="D326" s="10" t="s">
        <v>671</v>
      </c>
      <c r="E326" s="45" t="s">
        <v>1692</v>
      </c>
      <c r="F326" s="21"/>
      <c r="G326" s="59"/>
      <c r="H326" s="21"/>
      <c r="I326" s="59"/>
      <c r="J326" s="21"/>
      <c r="K326" s="21"/>
      <c r="L326" s="59"/>
      <c r="M326" s="60"/>
      <c r="N326" s="21"/>
      <c r="O326" s="59"/>
      <c r="P326" s="21"/>
      <c r="Q326" s="59"/>
      <c r="R326" s="21"/>
      <c r="S326" s="21"/>
      <c r="T326" s="59"/>
      <c r="U326" s="60">
        <f t="shared" si="47"/>
        <v>0</v>
      </c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>
        <v>39344555</v>
      </c>
      <c r="AN326" s="60">
        <f t="shared" si="46"/>
        <v>39344555</v>
      </c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1">
        <f t="shared" si="48"/>
        <v>39344555</v>
      </c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>
        <v>0</v>
      </c>
      <c r="BO326" s="60"/>
      <c r="BP326" s="61">
        <v>39344555</v>
      </c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>
        <v>0</v>
      </c>
      <c r="CD326" s="61"/>
      <c r="CE326" s="61"/>
      <c r="CF326" s="61"/>
      <c r="CG326" s="61">
        <f t="shared" si="49"/>
        <v>39344555</v>
      </c>
      <c r="CH326" s="62"/>
      <c r="CI326" s="62">
        <f t="shared" si="50"/>
        <v>39344555</v>
      </c>
      <c r="CJ326" s="63">
        <f t="shared" si="51"/>
        <v>39344555</v>
      </c>
      <c r="CK326" s="64">
        <f t="shared" si="52"/>
        <v>0</v>
      </c>
      <c r="CL326" s="16"/>
      <c r="CM326" s="16"/>
      <c r="CN326" s="16"/>
    </row>
    <row r="327" spans="1:96" ht="15" customHeight="1" x14ac:dyDescent="0.2">
      <c r="A327" s="1">
        <v>8904800221</v>
      </c>
      <c r="B327" s="1">
        <v>890480022</v>
      </c>
      <c r="C327" s="9">
        <v>214413244</v>
      </c>
      <c r="D327" s="10" t="s">
        <v>191</v>
      </c>
      <c r="E327" s="45" t="s">
        <v>1221</v>
      </c>
      <c r="F327" s="21"/>
      <c r="G327" s="59"/>
      <c r="H327" s="21"/>
      <c r="I327" s="59"/>
      <c r="J327" s="21"/>
      <c r="K327" s="21"/>
      <c r="L327" s="59"/>
      <c r="M327" s="60"/>
      <c r="N327" s="21"/>
      <c r="O327" s="59"/>
      <c r="P327" s="21"/>
      <c r="Q327" s="59"/>
      <c r="R327" s="21"/>
      <c r="S327" s="21"/>
      <c r="T327" s="59"/>
      <c r="U327" s="60">
        <f t="shared" si="47"/>
        <v>0</v>
      </c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>
        <v>1135746997</v>
      </c>
      <c r="AN327" s="60">
        <f t="shared" si="46"/>
        <v>1135746997</v>
      </c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>
        <v>988621545</v>
      </c>
      <c r="AZ327" s="60"/>
      <c r="BA327" s="60"/>
      <c r="BB327" s="60"/>
      <c r="BC327" s="61">
        <f t="shared" si="48"/>
        <v>2124368542</v>
      </c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>
        <v>197724309</v>
      </c>
      <c r="BO327" s="60"/>
      <c r="BP327" s="61">
        <v>2322092851</v>
      </c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>
        <v>197724309</v>
      </c>
      <c r="CD327" s="61"/>
      <c r="CE327" s="61"/>
      <c r="CF327" s="61"/>
      <c r="CG327" s="61">
        <f t="shared" si="49"/>
        <v>2519817160</v>
      </c>
      <c r="CH327" s="62">
        <f>VLOOKUP(B327,[1]RPTNCT049_ConsultaSaldosContabl!I$4:K$7987,3,0)</f>
        <v>1384070163</v>
      </c>
      <c r="CI327" s="62">
        <f t="shared" si="50"/>
        <v>1135746997</v>
      </c>
      <c r="CJ327" s="63">
        <f t="shared" si="51"/>
        <v>2519817160</v>
      </c>
      <c r="CK327" s="64">
        <f t="shared" si="52"/>
        <v>0</v>
      </c>
      <c r="CL327" s="16"/>
      <c r="CM327" s="8"/>
      <c r="CN327" s="8"/>
      <c r="CO327" s="8"/>
      <c r="CP327" s="8"/>
      <c r="CQ327" s="8"/>
      <c r="CR327" s="8"/>
    </row>
    <row r="328" spans="1:96" ht="15" customHeight="1" x14ac:dyDescent="0.2">
      <c r="A328" s="1">
        <v>8916800619</v>
      </c>
      <c r="B328" s="1">
        <v>891680061</v>
      </c>
      <c r="C328" s="9">
        <v>214527245</v>
      </c>
      <c r="D328" s="10" t="s">
        <v>578</v>
      </c>
      <c r="E328" s="45" t="s">
        <v>1598</v>
      </c>
      <c r="F328" s="21"/>
      <c r="G328" s="59"/>
      <c r="H328" s="21"/>
      <c r="I328" s="59"/>
      <c r="J328" s="21"/>
      <c r="K328" s="21"/>
      <c r="L328" s="59"/>
      <c r="M328" s="60"/>
      <c r="N328" s="21"/>
      <c r="O328" s="59"/>
      <c r="P328" s="21"/>
      <c r="Q328" s="59"/>
      <c r="R328" s="21"/>
      <c r="S328" s="21"/>
      <c r="T328" s="59"/>
      <c r="U328" s="60">
        <f t="shared" si="47"/>
        <v>0</v>
      </c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>
        <v>67611150</v>
      </c>
      <c r="AZ328" s="60"/>
      <c r="BA328" s="60"/>
      <c r="BB328" s="60"/>
      <c r="BC328" s="61">
        <f t="shared" si="48"/>
        <v>67611150</v>
      </c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>
        <v>13522230</v>
      </c>
      <c r="BO328" s="60"/>
      <c r="BP328" s="61">
        <v>81133380</v>
      </c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>
        <v>13522230</v>
      </c>
      <c r="CD328" s="61"/>
      <c r="CE328" s="61"/>
      <c r="CF328" s="61"/>
      <c r="CG328" s="61">
        <f t="shared" si="49"/>
        <v>94655610</v>
      </c>
      <c r="CH328" s="62">
        <f>VLOOKUP(B328,[1]RPTNCT049_ConsultaSaldosContabl!I$4:K$7987,3,0)</f>
        <v>94655610</v>
      </c>
      <c r="CI328" s="62">
        <f t="shared" si="50"/>
        <v>0</v>
      </c>
      <c r="CJ328" s="63">
        <f t="shared" si="51"/>
        <v>94655610</v>
      </c>
      <c r="CK328" s="64">
        <f t="shared" si="52"/>
        <v>0</v>
      </c>
      <c r="CL328" s="16"/>
      <c r="CM328" s="16"/>
      <c r="CN328" s="16"/>
    </row>
    <row r="329" spans="1:96" ht="15" customHeight="1" x14ac:dyDescent="0.2">
      <c r="A329" s="1">
        <v>8000992383</v>
      </c>
      <c r="B329" s="1">
        <v>800099238</v>
      </c>
      <c r="C329" s="9">
        <v>214554245</v>
      </c>
      <c r="D329" s="10" t="s">
        <v>762</v>
      </c>
      <c r="E329" s="45" t="s">
        <v>1780</v>
      </c>
      <c r="F329" s="21"/>
      <c r="G329" s="59"/>
      <c r="H329" s="21"/>
      <c r="I329" s="59"/>
      <c r="J329" s="21"/>
      <c r="K329" s="21"/>
      <c r="L329" s="59"/>
      <c r="M329" s="60"/>
      <c r="N329" s="21"/>
      <c r="O329" s="59"/>
      <c r="P329" s="21"/>
      <c r="Q329" s="59"/>
      <c r="R329" s="21"/>
      <c r="S329" s="21"/>
      <c r="T329" s="59"/>
      <c r="U329" s="60">
        <f t="shared" si="47"/>
        <v>0</v>
      </c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>
        <v>43021983</v>
      </c>
      <c r="AN329" s="60">
        <f>SUBTOTAL(9,AC329:AM329)</f>
        <v>43021983</v>
      </c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>
        <v>139941820</v>
      </c>
      <c r="AZ329" s="60"/>
      <c r="BA329" s="60">
        <f>VLOOKUP(B329,[2]Hoja3!J$3:K$674,2,0)</f>
        <v>113586625</v>
      </c>
      <c r="BB329" s="60"/>
      <c r="BC329" s="61">
        <f t="shared" si="48"/>
        <v>296550428</v>
      </c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>
        <v>27988364</v>
      </c>
      <c r="BO329" s="60"/>
      <c r="BP329" s="61">
        <v>324538792</v>
      </c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>
        <v>27988364</v>
      </c>
      <c r="CD329" s="61"/>
      <c r="CE329" s="61"/>
      <c r="CF329" s="61"/>
      <c r="CG329" s="61">
        <f t="shared" si="49"/>
        <v>352527156</v>
      </c>
      <c r="CH329" s="62">
        <f>VLOOKUP(B329,[1]RPTNCT049_ConsultaSaldosContabl!I$4:K$7987,3,0)</f>
        <v>195918548</v>
      </c>
      <c r="CI329" s="62">
        <f t="shared" si="50"/>
        <v>156608608</v>
      </c>
      <c r="CJ329" s="63">
        <f t="shared" si="51"/>
        <v>352527156</v>
      </c>
      <c r="CK329" s="64">
        <f t="shared" si="52"/>
        <v>0</v>
      </c>
      <c r="CL329" s="16"/>
      <c r="CM329" s="8"/>
      <c r="CN329" s="8"/>
      <c r="CO329" s="8"/>
      <c r="CP329" s="8"/>
      <c r="CQ329" s="8"/>
      <c r="CR329" s="8"/>
    </row>
    <row r="330" spans="1:96" ht="15" customHeight="1" x14ac:dyDescent="0.2">
      <c r="A330" s="1">
        <v>8902708596</v>
      </c>
      <c r="B330" s="1">
        <v>890270859</v>
      </c>
      <c r="C330" s="9">
        <v>213568235</v>
      </c>
      <c r="D330" s="10" t="s">
        <v>2135</v>
      </c>
      <c r="E330" s="48" t="s">
        <v>2101</v>
      </c>
      <c r="F330" s="21"/>
      <c r="G330" s="59"/>
      <c r="H330" s="21"/>
      <c r="I330" s="59"/>
      <c r="J330" s="21"/>
      <c r="K330" s="21"/>
      <c r="L330" s="59"/>
      <c r="M330" s="60"/>
      <c r="N330" s="21"/>
      <c r="O330" s="59"/>
      <c r="P330" s="21"/>
      <c r="Q330" s="59"/>
      <c r="R330" s="21"/>
      <c r="S330" s="21"/>
      <c r="T330" s="59"/>
      <c r="U330" s="60">
        <f t="shared" si="47"/>
        <v>0</v>
      </c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>
        <v>128438885</v>
      </c>
      <c r="AZ330" s="60"/>
      <c r="BA330" s="60">
        <f>VLOOKUP(B330,[2]Hoja3!J$3:K$674,2,0)</f>
        <v>444596369</v>
      </c>
      <c r="BB330" s="60"/>
      <c r="BC330" s="61">
        <f t="shared" si="48"/>
        <v>573035254</v>
      </c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>
        <v>25687777</v>
      </c>
      <c r="BO330" s="60"/>
      <c r="BP330" s="61">
        <v>598723031</v>
      </c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>
        <v>25687777</v>
      </c>
      <c r="CD330" s="61"/>
      <c r="CE330" s="61"/>
      <c r="CF330" s="61"/>
      <c r="CG330" s="61">
        <f t="shared" si="49"/>
        <v>624410808</v>
      </c>
      <c r="CH330" s="62">
        <f>VLOOKUP(B330,[1]RPTNCT049_ConsultaSaldosContabl!I$4:K$7987,3,0)</f>
        <v>179814439</v>
      </c>
      <c r="CI330" s="62">
        <f t="shared" si="50"/>
        <v>444596369</v>
      </c>
      <c r="CJ330" s="63">
        <f t="shared" si="51"/>
        <v>624410808</v>
      </c>
      <c r="CK330" s="64">
        <f t="shared" si="52"/>
        <v>0</v>
      </c>
      <c r="CL330" s="16"/>
      <c r="CM330" s="16"/>
      <c r="CN330" s="16"/>
    </row>
    <row r="331" spans="1:96" ht="15" customHeight="1" x14ac:dyDescent="0.2">
      <c r="A331" s="1">
        <v>8920992782</v>
      </c>
      <c r="B331" s="1">
        <v>892099278</v>
      </c>
      <c r="C331" s="9">
        <v>215150251</v>
      </c>
      <c r="D331" s="10" t="s">
        <v>672</v>
      </c>
      <c r="E331" s="45" t="s">
        <v>1693</v>
      </c>
      <c r="F331" s="21"/>
      <c r="G331" s="59"/>
      <c r="H331" s="21"/>
      <c r="I331" s="59"/>
      <c r="J331" s="21"/>
      <c r="K331" s="21"/>
      <c r="L331" s="59"/>
      <c r="M331" s="60"/>
      <c r="N331" s="21"/>
      <c r="O331" s="59"/>
      <c r="P331" s="21"/>
      <c r="Q331" s="59"/>
      <c r="R331" s="21"/>
      <c r="S331" s="21"/>
      <c r="T331" s="59"/>
      <c r="U331" s="60">
        <f t="shared" si="47"/>
        <v>0</v>
      </c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>
        <v>42799244</v>
      </c>
      <c r="AN331" s="60">
        <f>SUBTOTAL(9,AC331:AM331)</f>
        <v>42799244</v>
      </c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>
        <v>65541655</v>
      </c>
      <c r="AZ331" s="60"/>
      <c r="BA331" s="60">
        <f>VLOOKUP(B331,[2]Hoja3!J$3:K$674,2,0)</f>
        <v>90078116</v>
      </c>
      <c r="BB331" s="60"/>
      <c r="BC331" s="61">
        <f t="shared" si="48"/>
        <v>198419015</v>
      </c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>
        <v>13108331</v>
      </c>
      <c r="BO331" s="60"/>
      <c r="BP331" s="61">
        <v>211527346</v>
      </c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>
        <v>13108331</v>
      </c>
      <c r="CD331" s="61"/>
      <c r="CE331" s="61"/>
      <c r="CF331" s="61"/>
      <c r="CG331" s="61">
        <f t="shared" si="49"/>
        <v>224635677</v>
      </c>
      <c r="CH331" s="62">
        <f>VLOOKUP(B331,[1]RPTNCT049_ConsultaSaldosContabl!I$4:K$7987,3,0)</f>
        <v>91758317</v>
      </c>
      <c r="CI331" s="62">
        <f t="shared" si="50"/>
        <v>132877360</v>
      </c>
      <c r="CJ331" s="63">
        <f t="shared" si="51"/>
        <v>224635677</v>
      </c>
      <c r="CK331" s="64">
        <f t="shared" si="52"/>
        <v>0</v>
      </c>
      <c r="CL331" s="16"/>
      <c r="CM331" s="16"/>
      <c r="CN331" s="16"/>
    </row>
    <row r="332" spans="1:96" ht="15" customHeight="1" x14ac:dyDescent="0.2">
      <c r="A332" s="1">
        <v>8001005335</v>
      </c>
      <c r="B332" s="1">
        <v>800100533</v>
      </c>
      <c r="C332" s="9">
        <v>214876248</v>
      </c>
      <c r="D332" s="10" t="s">
        <v>924</v>
      </c>
      <c r="E332" s="45" t="s">
        <v>1984</v>
      </c>
      <c r="F332" s="21"/>
      <c r="G332" s="59"/>
      <c r="H332" s="21"/>
      <c r="I332" s="59"/>
      <c r="J332" s="21"/>
      <c r="K332" s="21"/>
      <c r="L332" s="59"/>
      <c r="M332" s="60"/>
      <c r="N332" s="21"/>
      <c r="O332" s="59"/>
      <c r="P332" s="21"/>
      <c r="Q332" s="59"/>
      <c r="R332" s="21"/>
      <c r="S332" s="21"/>
      <c r="T332" s="59"/>
      <c r="U332" s="60">
        <f t="shared" si="47"/>
        <v>0</v>
      </c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>
        <v>35937657</v>
      </c>
      <c r="AN332" s="60">
        <f>SUBTOTAL(9,AC332:AM332)</f>
        <v>35937657</v>
      </c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>
        <v>277726955</v>
      </c>
      <c r="AZ332" s="60"/>
      <c r="BA332" s="60">
        <f>VLOOKUP(B332,[2]Hoja3!J$3:K$674,2,0)</f>
        <v>562242289</v>
      </c>
      <c r="BB332" s="60"/>
      <c r="BC332" s="61">
        <f t="shared" si="48"/>
        <v>875906901</v>
      </c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>
        <v>55545391</v>
      </c>
      <c r="BO332" s="60"/>
      <c r="BP332" s="61">
        <v>931452292</v>
      </c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>
        <v>55545391</v>
      </c>
      <c r="CD332" s="61"/>
      <c r="CE332" s="61"/>
      <c r="CF332" s="61"/>
      <c r="CG332" s="61">
        <f t="shared" si="49"/>
        <v>986997683</v>
      </c>
      <c r="CH332" s="62">
        <f>VLOOKUP(B332,[1]RPTNCT049_ConsultaSaldosContabl!I$4:K$7987,3,0)</f>
        <v>388817737</v>
      </c>
      <c r="CI332" s="62">
        <f t="shared" si="50"/>
        <v>598179946</v>
      </c>
      <c r="CJ332" s="63">
        <f t="shared" si="51"/>
        <v>986997683</v>
      </c>
      <c r="CK332" s="64">
        <f t="shared" si="52"/>
        <v>0</v>
      </c>
      <c r="CL332" s="16"/>
      <c r="CM332" s="16"/>
      <c r="CN332" s="16"/>
    </row>
    <row r="333" spans="1:96" ht="15" customHeight="1" x14ac:dyDescent="0.2">
      <c r="A333" s="1">
        <v>8000990767</v>
      </c>
      <c r="B333" s="1">
        <v>800099076</v>
      </c>
      <c r="C333" s="9">
        <v>215052250</v>
      </c>
      <c r="D333" s="10" t="s">
        <v>706</v>
      </c>
      <c r="E333" s="45" t="s">
        <v>1728</v>
      </c>
      <c r="F333" s="21"/>
      <c r="G333" s="59"/>
      <c r="H333" s="21"/>
      <c r="I333" s="59"/>
      <c r="J333" s="21"/>
      <c r="K333" s="21"/>
      <c r="L333" s="59"/>
      <c r="M333" s="60"/>
      <c r="N333" s="21"/>
      <c r="O333" s="59"/>
      <c r="P333" s="21"/>
      <c r="Q333" s="59"/>
      <c r="R333" s="21"/>
      <c r="S333" s="21"/>
      <c r="T333" s="59"/>
      <c r="U333" s="60">
        <f t="shared" si="47"/>
        <v>0</v>
      </c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>
        <f>VLOOKUP(B333,[2]Hoja3!J$3:K$674,2,0)</f>
        <v>535490866</v>
      </c>
      <c r="BB333" s="60"/>
      <c r="BC333" s="61">
        <f t="shared" si="48"/>
        <v>535490866</v>
      </c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>
        <v>95102560</v>
      </c>
      <c r="BO333" s="60"/>
      <c r="BP333" s="61">
        <v>630593426</v>
      </c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>
        <v>95102560</v>
      </c>
      <c r="CD333" s="61">
        <v>475512800</v>
      </c>
      <c r="CE333" s="61"/>
      <c r="CF333" s="61"/>
      <c r="CG333" s="61">
        <f t="shared" si="49"/>
        <v>1201208786</v>
      </c>
      <c r="CH333" s="62">
        <f>VLOOKUP(B333,[1]RPTNCT049_ConsultaSaldosContabl!I$4:K$7987,3,0)</f>
        <v>665717920</v>
      </c>
      <c r="CI333" s="62">
        <f t="shared" si="50"/>
        <v>535490866</v>
      </c>
      <c r="CJ333" s="63">
        <f t="shared" si="51"/>
        <v>1201208786</v>
      </c>
      <c r="CK333" s="64">
        <f t="shared" si="52"/>
        <v>0</v>
      </c>
      <c r="CL333" s="16"/>
      <c r="CM333" s="16"/>
      <c r="CN333" s="16"/>
    </row>
    <row r="334" spans="1:96" ht="15" customHeight="1" x14ac:dyDescent="0.2">
      <c r="A334" s="1">
        <v>8918578440</v>
      </c>
      <c r="B334" s="1">
        <v>891857844</v>
      </c>
      <c r="C334" s="9">
        <v>214415244</v>
      </c>
      <c r="D334" s="10" t="s">
        <v>247</v>
      </c>
      <c r="E334" s="45" t="s">
        <v>1282</v>
      </c>
      <c r="F334" s="21"/>
      <c r="G334" s="59"/>
      <c r="H334" s="21"/>
      <c r="I334" s="59"/>
      <c r="J334" s="21"/>
      <c r="K334" s="21"/>
      <c r="L334" s="59"/>
      <c r="M334" s="60"/>
      <c r="N334" s="21"/>
      <c r="O334" s="59"/>
      <c r="P334" s="21"/>
      <c r="Q334" s="59"/>
      <c r="R334" s="21"/>
      <c r="S334" s="21"/>
      <c r="T334" s="59"/>
      <c r="U334" s="60">
        <f t="shared" si="47"/>
        <v>0</v>
      </c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>
        <v>38430715</v>
      </c>
      <c r="AZ334" s="60"/>
      <c r="BA334" s="60">
        <f>VLOOKUP(B334,[2]Hoja3!J$3:K$674,2,0)</f>
        <v>70767856</v>
      </c>
      <c r="BB334" s="60"/>
      <c r="BC334" s="61">
        <f t="shared" si="48"/>
        <v>109198571</v>
      </c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>
        <v>7686143</v>
      </c>
      <c r="BO334" s="60"/>
      <c r="BP334" s="61">
        <v>116884714</v>
      </c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>
        <v>7686143</v>
      </c>
      <c r="CD334" s="61"/>
      <c r="CE334" s="61"/>
      <c r="CF334" s="61"/>
      <c r="CG334" s="61">
        <f t="shared" si="49"/>
        <v>124570857</v>
      </c>
      <c r="CH334" s="62">
        <f>VLOOKUP(B334,[1]RPTNCT049_ConsultaSaldosContabl!I$4:K$7987,3,0)</f>
        <v>53803001</v>
      </c>
      <c r="CI334" s="62">
        <f t="shared" si="50"/>
        <v>70767856</v>
      </c>
      <c r="CJ334" s="63">
        <f t="shared" si="51"/>
        <v>124570857</v>
      </c>
      <c r="CK334" s="64">
        <f t="shared" si="52"/>
        <v>0</v>
      </c>
      <c r="CL334" s="16"/>
      <c r="CM334" s="8"/>
      <c r="CN334" s="8"/>
      <c r="CO334" s="8"/>
      <c r="CP334" s="8"/>
      <c r="CQ334" s="8"/>
      <c r="CR334" s="8"/>
    </row>
    <row r="335" spans="1:96" ht="15" customHeight="1" x14ac:dyDescent="0.2">
      <c r="A335" s="1">
        <v>8906801620</v>
      </c>
      <c r="B335" s="1">
        <v>890680162</v>
      </c>
      <c r="C335" s="9">
        <v>214525245</v>
      </c>
      <c r="D335" s="10" t="s">
        <v>482</v>
      </c>
      <c r="E335" s="45" t="s">
        <v>1508</v>
      </c>
      <c r="F335" s="21"/>
      <c r="G335" s="59"/>
      <c r="H335" s="21"/>
      <c r="I335" s="59"/>
      <c r="J335" s="21"/>
      <c r="K335" s="21"/>
      <c r="L335" s="59"/>
      <c r="M335" s="60"/>
      <c r="N335" s="21"/>
      <c r="O335" s="59"/>
      <c r="P335" s="21"/>
      <c r="Q335" s="59"/>
      <c r="R335" s="21"/>
      <c r="S335" s="21"/>
      <c r="T335" s="59"/>
      <c r="U335" s="60">
        <f t="shared" si="47"/>
        <v>0</v>
      </c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>
        <v>147592520</v>
      </c>
      <c r="AZ335" s="60"/>
      <c r="BA335" s="60">
        <f>VLOOKUP(B335,[2]Hoja3!J$3:K$674,2,0)</f>
        <v>337849785</v>
      </c>
      <c r="BB335" s="60"/>
      <c r="BC335" s="61">
        <f t="shared" si="48"/>
        <v>485442305</v>
      </c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>
        <v>29518504</v>
      </c>
      <c r="BO335" s="60"/>
      <c r="BP335" s="61">
        <v>514960809</v>
      </c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>
        <v>29518504</v>
      </c>
      <c r="CD335" s="61"/>
      <c r="CE335" s="61"/>
      <c r="CF335" s="61"/>
      <c r="CG335" s="61">
        <f t="shared" si="49"/>
        <v>544479313</v>
      </c>
      <c r="CH335" s="62">
        <f>VLOOKUP(B335,[1]RPTNCT049_ConsultaSaldosContabl!I$4:K$7987,3,0)</f>
        <v>206629528</v>
      </c>
      <c r="CI335" s="62">
        <f t="shared" si="50"/>
        <v>337849785</v>
      </c>
      <c r="CJ335" s="63">
        <f t="shared" si="51"/>
        <v>544479313</v>
      </c>
      <c r="CK335" s="64">
        <f t="shared" si="52"/>
        <v>0</v>
      </c>
      <c r="CL335" s="16"/>
      <c r="CM335" s="16"/>
      <c r="CN335" s="16"/>
    </row>
    <row r="336" spans="1:96" ht="15" customHeight="1" x14ac:dyDescent="0.2">
      <c r="A336" s="1">
        <v>8000965875</v>
      </c>
      <c r="B336" s="1">
        <v>800096587</v>
      </c>
      <c r="C336" s="9">
        <v>213820238</v>
      </c>
      <c r="D336" s="10" t="s">
        <v>421</v>
      </c>
      <c r="E336" s="45" t="s">
        <v>2094</v>
      </c>
      <c r="F336" s="21"/>
      <c r="G336" s="59"/>
      <c r="H336" s="21"/>
      <c r="I336" s="59"/>
      <c r="J336" s="21"/>
      <c r="K336" s="21"/>
      <c r="L336" s="59"/>
      <c r="M336" s="60"/>
      <c r="N336" s="21"/>
      <c r="O336" s="59"/>
      <c r="P336" s="21"/>
      <c r="Q336" s="59"/>
      <c r="R336" s="21"/>
      <c r="S336" s="21"/>
      <c r="T336" s="59"/>
      <c r="U336" s="60">
        <f t="shared" si="47"/>
        <v>0</v>
      </c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>
        <v>286238645</v>
      </c>
      <c r="AZ336" s="60"/>
      <c r="BA336" s="60">
        <f>VLOOKUP(B336,[2]Hoja3!J$3:K$674,2,0)</f>
        <v>452293057</v>
      </c>
      <c r="BB336" s="60"/>
      <c r="BC336" s="61">
        <f t="shared" si="48"/>
        <v>738531702</v>
      </c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>
        <v>57247729</v>
      </c>
      <c r="BO336" s="60"/>
      <c r="BP336" s="61">
        <v>795779431</v>
      </c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>
        <v>57247729</v>
      </c>
      <c r="CD336" s="61"/>
      <c r="CE336" s="61"/>
      <c r="CF336" s="61"/>
      <c r="CG336" s="61">
        <f t="shared" si="49"/>
        <v>853027160</v>
      </c>
      <c r="CH336" s="62">
        <f>VLOOKUP(B336,[1]RPTNCT049_ConsultaSaldosContabl!I$4:K$7987,3,0)</f>
        <v>400734103</v>
      </c>
      <c r="CI336" s="62">
        <f t="shared" si="50"/>
        <v>452293057</v>
      </c>
      <c r="CJ336" s="63">
        <f t="shared" si="51"/>
        <v>853027160</v>
      </c>
      <c r="CK336" s="64">
        <f t="shared" si="52"/>
        <v>0</v>
      </c>
      <c r="CL336" s="16"/>
      <c r="CM336" s="16"/>
      <c r="CN336" s="16"/>
    </row>
    <row r="337" spans="1:96" ht="15" customHeight="1" x14ac:dyDescent="0.2">
      <c r="A337" s="1">
        <v>8000957609</v>
      </c>
      <c r="B337" s="1">
        <v>800095760</v>
      </c>
      <c r="C337" s="9">
        <v>214718247</v>
      </c>
      <c r="D337" s="10" t="s">
        <v>365</v>
      </c>
      <c r="E337" s="45" t="s">
        <v>1395</v>
      </c>
      <c r="F337" s="21"/>
      <c r="G337" s="59"/>
      <c r="H337" s="21"/>
      <c r="I337" s="59"/>
      <c r="J337" s="21"/>
      <c r="K337" s="21"/>
      <c r="L337" s="59"/>
      <c r="M337" s="60"/>
      <c r="N337" s="21"/>
      <c r="O337" s="59"/>
      <c r="P337" s="21"/>
      <c r="Q337" s="59"/>
      <c r="R337" s="21"/>
      <c r="S337" s="21"/>
      <c r="T337" s="59"/>
      <c r="U337" s="60">
        <f t="shared" si="47"/>
        <v>0</v>
      </c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>
        <v>298176090</v>
      </c>
      <c r="AN337" s="60">
        <f>SUBTOTAL(9,AC337:AM337)</f>
        <v>298176090</v>
      </c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>
        <v>169507120</v>
      </c>
      <c r="AZ337" s="60"/>
      <c r="BA337" s="60">
        <f>VLOOKUP(B337,[2]Hoja3!J$3:K$674,2,0)</f>
        <v>73535549</v>
      </c>
      <c r="BB337" s="60">
        <f>VLOOKUP(B337,'[3]anuladas en mayo gratuidad}'!K$2:L$55,2,0)</f>
        <v>146535388</v>
      </c>
      <c r="BC337" s="61">
        <f t="shared" si="48"/>
        <v>394683371</v>
      </c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>
        <v>33901424</v>
      </c>
      <c r="BO337" s="60"/>
      <c r="BP337" s="61">
        <v>428584795</v>
      </c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>
        <v>33901424</v>
      </c>
      <c r="CD337" s="61"/>
      <c r="CE337" s="61">
        <v>146535388</v>
      </c>
      <c r="CF337" s="61"/>
      <c r="CG337" s="61">
        <f t="shared" si="49"/>
        <v>609021607</v>
      </c>
      <c r="CH337" s="62">
        <f>VLOOKUP(B337,[1]RPTNCT049_ConsultaSaldosContabl!I$4:K$7987,3,0)</f>
        <v>237309968</v>
      </c>
      <c r="CI337" s="62">
        <f t="shared" si="50"/>
        <v>371711639</v>
      </c>
      <c r="CJ337" s="63">
        <f t="shared" si="51"/>
        <v>609021607</v>
      </c>
      <c r="CK337" s="64">
        <f t="shared" si="52"/>
        <v>0</v>
      </c>
      <c r="CL337" s="16"/>
      <c r="CM337" s="16"/>
      <c r="CN337" s="16"/>
    </row>
    <row r="338" spans="1:96" ht="15" customHeight="1" x14ac:dyDescent="0.2">
      <c r="A338" s="1">
        <v>8002554436</v>
      </c>
      <c r="B338" s="1">
        <v>800255443</v>
      </c>
      <c r="C338" s="9">
        <v>217050270</v>
      </c>
      <c r="D338" s="10" t="s">
        <v>673</v>
      </c>
      <c r="E338" s="45" t="s">
        <v>1694</v>
      </c>
      <c r="F338" s="21"/>
      <c r="G338" s="59"/>
      <c r="H338" s="21"/>
      <c r="I338" s="59"/>
      <c r="J338" s="21"/>
      <c r="K338" s="21"/>
      <c r="L338" s="59"/>
      <c r="M338" s="60"/>
      <c r="N338" s="21"/>
      <c r="O338" s="59"/>
      <c r="P338" s="21"/>
      <c r="Q338" s="59"/>
      <c r="R338" s="21"/>
      <c r="S338" s="21"/>
      <c r="T338" s="59"/>
      <c r="U338" s="60">
        <f t="shared" si="47"/>
        <v>0</v>
      </c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>
        <v>79212902</v>
      </c>
      <c r="AN338" s="60">
        <f>SUBTOTAL(9,AC338:AM338)</f>
        <v>79212902</v>
      </c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>
        <v>29684230</v>
      </c>
      <c r="AZ338" s="60"/>
      <c r="BA338" s="60"/>
      <c r="BB338" s="60"/>
      <c r="BC338" s="61">
        <f t="shared" si="48"/>
        <v>108897132</v>
      </c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>
        <v>5936846</v>
      </c>
      <c r="BO338" s="60"/>
      <c r="BP338" s="61">
        <v>114833978</v>
      </c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>
        <v>5936846</v>
      </c>
      <c r="CD338" s="61"/>
      <c r="CE338" s="61"/>
      <c r="CF338" s="61"/>
      <c r="CG338" s="61">
        <f t="shared" si="49"/>
        <v>120770824</v>
      </c>
      <c r="CH338" s="62">
        <f>VLOOKUP(B338,[1]RPTNCT049_ConsultaSaldosContabl!I$4:K$7987,3,0)</f>
        <v>41557922</v>
      </c>
      <c r="CI338" s="62">
        <f t="shared" si="50"/>
        <v>79212902</v>
      </c>
      <c r="CJ338" s="63">
        <f t="shared" si="51"/>
        <v>120770824</v>
      </c>
      <c r="CK338" s="64">
        <f t="shared" si="52"/>
        <v>0</v>
      </c>
      <c r="CL338" s="16"/>
      <c r="CM338" s="16"/>
      <c r="CN338" s="16"/>
    </row>
    <row r="339" spans="1:96" ht="15" customHeight="1" x14ac:dyDescent="0.2">
      <c r="A339" s="1">
        <v>8919012235</v>
      </c>
      <c r="B339" s="1">
        <v>891901223</v>
      </c>
      <c r="C339" s="9">
        <v>215076250</v>
      </c>
      <c r="D339" s="10" t="s">
        <v>925</v>
      </c>
      <c r="E339" s="45" t="s">
        <v>1985</v>
      </c>
      <c r="F339" s="21"/>
      <c r="G339" s="59"/>
      <c r="H339" s="21"/>
      <c r="I339" s="59"/>
      <c r="J339" s="21"/>
      <c r="K339" s="21"/>
      <c r="L339" s="59"/>
      <c r="M339" s="60"/>
      <c r="N339" s="21"/>
      <c r="O339" s="59"/>
      <c r="P339" s="21"/>
      <c r="Q339" s="59"/>
      <c r="R339" s="21"/>
      <c r="S339" s="21"/>
      <c r="T339" s="59"/>
      <c r="U339" s="60">
        <f t="shared" si="47"/>
        <v>0</v>
      </c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>
        <v>126075723</v>
      </c>
      <c r="AN339" s="60">
        <f>SUBTOTAL(9,AC339:AM339)</f>
        <v>126075723</v>
      </c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1">
        <f t="shared" si="48"/>
        <v>126075723</v>
      </c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>
        <v>0</v>
      </c>
      <c r="BO339" s="60"/>
      <c r="BP339" s="61">
        <v>126075723</v>
      </c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>
        <v>137001655</v>
      </c>
      <c r="CD339" s="61"/>
      <c r="CE339" s="61"/>
      <c r="CF339" s="61"/>
      <c r="CG339" s="61">
        <f t="shared" si="49"/>
        <v>263077378</v>
      </c>
      <c r="CH339" s="62">
        <f>VLOOKUP(B339,[1]RPTNCT049_ConsultaSaldosContabl!I$4:K$7987,3,0)</f>
        <v>137001655</v>
      </c>
      <c r="CI339" s="62">
        <f t="shared" si="50"/>
        <v>126075723</v>
      </c>
      <c r="CJ339" s="63">
        <f t="shared" si="51"/>
        <v>263077378</v>
      </c>
      <c r="CK339" s="64">
        <f t="shared" si="52"/>
        <v>0</v>
      </c>
      <c r="CL339" s="16"/>
      <c r="CM339" s="16"/>
      <c r="CN339" s="16"/>
    </row>
    <row r="340" spans="1:96" ht="15" customHeight="1" x14ac:dyDescent="0.2">
      <c r="A340" s="1">
        <v>8000310732</v>
      </c>
      <c r="B340" s="1">
        <v>800031073</v>
      </c>
      <c r="C340" s="9">
        <v>214815248</v>
      </c>
      <c r="D340" s="10" t="s">
        <v>248</v>
      </c>
      <c r="E340" s="45" t="s">
        <v>1283</v>
      </c>
      <c r="F340" s="21"/>
      <c r="G340" s="59"/>
      <c r="H340" s="21"/>
      <c r="I340" s="59"/>
      <c r="J340" s="21"/>
      <c r="K340" s="21"/>
      <c r="L340" s="59"/>
      <c r="M340" s="60"/>
      <c r="N340" s="21"/>
      <c r="O340" s="59"/>
      <c r="P340" s="21"/>
      <c r="Q340" s="59"/>
      <c r="R340" s="21"/>
      <c r="S340" s="21"/>
      <c r="T340" s="59"/>
      <c r="U340" s="60">
        <f t="shared" si="47"/>
        <v>0</v>
      </c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>
        <v>23076325</v>
      </c>
      <c r="AZ340" s="60"/>
      <c r="BA340" s="60">
        <f>VLOOKUP(B340,[2]Hoja3!J$3:K$674,2,0)</f>
        <v>43579693</v>
      </c>
      <c r="BB340" s="60"/>
      <c r="BC340" s="61">
        <f t="shared" si="48"/>
        <v>66656018</v>
      </c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>
        <v>4615265</v>
      </c>
      <c r="BO340" s="60"/>
      <c r="BP340" s="61">
        <v>71271283</v>
      </c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>
        <v>4615265</v>
      </c>
      <c r="CD340" s="61"/>
      <c r="CE340" s="61"/>
      <c r="CF340" s="61"/>
      <c r="CG340" s="61">
        <f t="shared" si="49"/>
        <v>75886548</v>
      </c>
      <c r="CH340" s="62">
        <f>VLOOKUP(B340,[1]RPTNCT049_ConsultaSaldosContabl!I$4:K$7987,3,0)</f>
        <v>32306855</v>
      </c>
      <c r="CI340" s="62">
        <f t="shared" si="50"/>
        <v>43579693</v>
      </c>
      <c r="CJ340" s="63">
        <f t="shared" si="51"/>
        <v>75886548</v>
      </c>
      <c r="CK340" s="64">
        <f t="shared" si="52"/>
        <v>0</v>
      </c>
      <c r="CL340" s="16"/>
      <c r="CM340" s="8"/>
      <c r="CN340" s="8"/>
      <c r="CO340" s="8"/>
      <c r="CP340" s="8"/>
      <c r="CQ340" s="8"/>
      <c r="CR340" s="8"/>
    </row>
    <row r="341" spans="1:96" ht="15" customHeight="1" x14ac:dyDescent="0.2">
      <c r="A341" s="1">
        <v>8904812958</v>
      </c>
      <c r="B341" s="1">
        <v>890481295</v>
      </c>
      <c r="C341" s="9">
        <v>214813248</v>
      </c>
      <c r="D341" s="10" t="s">
        <v>192</v>
      </c>
      <c r="E341" s="45" t="s">
        <v>1222</v>
      </c>
      <c r="F341" s="21"/>
      <c r="G341" s="59"/>
      <c r="H341" s="21"/>
      <c r="I341" s="59"/>
      <c r="J341" s="21"/>
      <c r="K341" s="21"/>
      <c r="L341" s="59"/>
      <c r="M341" s="60"/>
      <c r="N341" s="21"/>
      <c r="O341" s="59"/>
      <c r="P341" s="21"/>
      <c r="Q341" s="59"/>
      <c r="R341" s="21"/>
      <c r="S341" s="21"/>
      <c r="T341" s="59"/>
      <c r="U341" s="60">
        <f t="shared" si="47"/>
        <v>0</v>
      </c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>
        <v>68309755</v>
      </c>
      <c r="AZ341" s="60"/>
      <c r="BA341" s="60">
        <f>VLOOKUP(B341,[2]Hoja3!J$3:K$674,2,0)</f>
        <v>128855933</v>
      </c>
      <c r="BB341" s="60"/>
      <c r="BC341" s="61">
        <f t="shared" si="48"/>
        <v>197165688</v>
      </c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>
        <v>13661951</v>
      </c>
      <c r="BO341" s="60"/>
      <c r="BP341" s="61">
        <v>210827639</v>
      </c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>
        <v>13661951</v>
      </c>
      <c r="CD341" s="61"/>
      <c r="CE341" s="61"/>
      <c r="CF341" s="61"/>
      <c r="CG341" s="61">
        <f t="shared" si="49"/>
        <v>224489590</v>
      </c>
      <c r="CH341" s="62">
        <f>VLOOKUP(B341,[1]RPTNCT049_ConsultaSaldosContabl!I$4:K$7987,3,0)</f>
        <v>95633657</v>
      </c>
      <c r="CI341" s="62">
        <f t="shared" si="50"/>
        <v>128855933</v>
      </c>
      <c r="CJ341" s="63">
        <f t="shared" si="51"/>
        <v>224489590</v>
      </c>
      <c r="CK341" s="64">
        <f t="shared" si="52"/>
        <v>0</v>
      </c>
      <c r="CL341" s="16"/>
      <c r="CM341" s="8"/>
      <c r="CN341" s="8"/>
      <c r="CO341" s="8"/>
      <c r="CP341" s="8"/>
      <c r="CQ341" s="8"/>
      <c r="CR341" s="8"/>
    </row>
    <row r="342" spans="1:96" ht="15" customHeight="1" x14ac:dyDescent="0.2">
      <c r="A342" s="1">
        <v>8000927880</v>
      </c>
      <c r="B342" s="1">
        <v>800092788</v>
      </c>
      <c r="C342" s="9">
        <v>211044110</v>
      </c>
      <c r="D342" s="10" t="s">
        <v>634</v>
      </c>
      <c r="E342" s="45" t="s">
        <v>1652</v>
      </c>
      <c r="F342" s="21"/>
      <c r="G342" s="59"/>
      <c r="H342" s="21"/>
      <c r="I342" s="59"/>
      <c r="J342" s="21"/>
      <c r="K342" s="21"/>
      <c r="L342" s="59"/>
      <c r="M342" s="60"/>
      <c r="N342" s="21"/>
      <c r="O342" s="59"/>
      <c r="P342" s="21"/>
      <c r="Q342" s="59"/>
      <c r="R342" s="21"/>
      <c r="S342" s="21"/>
      <c r="T342" s="59"/>
      <c r="U342" s="60">
        <f t="shared" si="47"/>
        <v>0</v>
      </c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>
        <v>39341430</v>
      </c>
      <c r="AZ342" s="60"/>
      <c r="BA342" s="60">
        <f>VLOOKUP(B342,[2]Hoja3!J$3:K$674,2,0)</f>
        <v>71514366</v>
      </c>
      <c r="BB342" s="60"/>
      <c r="BC342" s="61">
        <f t="shared" si="48"/>
        <v>110855796</v>
      </c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>
        <v>7868286</v>
      </c>
      <c r="BO342" s="60"/>
      <c r="BP342" s="61">
        <v>118724082</v>
      </c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>
        <v>7868286</v>
      </c>
      <c r="CD342" s="61"/>
      <c r="CE342" s="61"/>
      <c r="CF342" s="61"/>
      <c r="CG342" s="61">
        <f t="shared" si="49"/>
        <v>126592368</v>
      </c>
      <c r="CH342" s="62">
        <f>VLOOKUP(B342,[1]RPTNCT049_ConsultaSaldosContabl!I$4:K$7987,3,0)</f>
        <v>55078002</v>
      </c>
      <c r="CI342" s="62">
        <f t="shared" si="50"/>
        <v>71514366</v>
      </c>
      <c r="CJ342" s="63">
        <f t="shared" si="51"/>
        <v>126592368</v>
      </c>
      <c r="CK342" s="64">
        <f t="shared" si="52"/>
        <v>0</v>
      </c>
      <c r="CL342" s="16"/>
      <c r="CM342" s="16"/>
      <c r="CN342" s="16"/>
    </row>
    <row r="343" spans="1:96" ht="15" customHeight="1" x14ac:dyDescent="0.2">
      <c r="A343" s="1">
        <v>8000965922</v>
      </c>
      <c r="B343" s="1">
        <v>800096592</v>
      </c>
      <c r="C343" s="9">
        <v>215020250</v>
      </c>
      <c r="D343" s="10" t="s">
        <v>422</v>
      </c>
      <c r="E343" s="45" t="s">
        <v>1449</v>
      </c>
      <c r="F343" s="21"/>
      <c r="G343" s="59"/>
      <c r="H343" s="21"/>
      <c r="I343" s="59"/>
      <c r="J343" s="21"/>
      <c r="K343" s="21"/>
      <c r="L343" s="59"/>
      <c r="M343" s="60"/>
      <c r="N343" s="21"/>
      <c r="O343" s="59"/>
      <c r="P343" s="21"/>
      <c r="Q343" s="59"/>
      <c r="R343" s="21"/>
      <c r="S343" s="21"/>
      <c r="T343" s="59"/>
      <c r="U343" s="60">
        <f t="shared" si="47"/>
        <v>0</v>
      </c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>
        <v>514460874</v>
      </c>
      <c r="AN343" s="60">
        <f>SUBTOTAL(9,AC343:AM343)</f>
        <v>514460874</v>
      </c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>
        <v>463859960</v>
      </c>
      <c r="AZ343" s="60"/>
      <c r="BA343" s="60">
        <f>VLOOKUP(B343,[2]Hoja3!J$3:K$674,2,0)</f>
        <v>241293059</v>
      </c>
      <c r="BB343" s="60"/>
      <c r="BC343" s="61">
        <f t="shared" si="48"/>
        <v>1219613893</v>
      </c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>
        <v>92771992</v>
      </c>
      <c r="BO343" s="60"/>
      <c r="BP343" s="61">
        <v>1312385885</v>
      </c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>
        <v>92771992</v>
      </c>
      <c r="CD343" s="61"/>
      <c r="CE343" s="61"/>
      <c r="CF343" s="61"/>
      <c r="CG343" s="61">
        <f t="shared" si="49"/>
        <v>1405157877</v>
      </c>
      <c r="CH343" s="62">
        <f>VLOOKUP(B343,[1]RPTNCT049_ConsultaSaldosContabl!I$4:K$7987,3,0)</f>
        <v>649403944</v>
      </c>
      <c r="CI343" s="62">
        <f t="shared" si="50"/>
        <v>755753933</v>
      </c>
      <c r="CJ343" s="63">
        <f t="shared" si="51"/>
        <v>1405157877</v>
      </c>
      <c r="CK343" s="64">
        <f t="shared" si="52"/>
        <v>0</v>
      </c>
      <c r="CL343" s="16"/>
      <c r="CM343" s="16"/>
      <c r="CN343" s="16"/>
    </row>
    <row r="344" spans="1:96" ht="15" customHeight="1" x14ac:dyDescent="0.2">
      <c r="A344" s="1">
        <v>8000957630</v>
      </c>
      <c r="B344" s="1">
        <v>800095763</v>
      </c>
      <c r="C344" s="9">
        <v>215618256</v>
      </c>
      <c r="D344" s="10" t="s">
        <v>366</v>
      </c>
      <c r="E344" s="45" t="s">
        <v>1396</v>
      </c>
      <c r="F344" s="21"/>
      <c r="G344" s="59"/>
      <c r="H344" s="21"/>
      <c r="I344" s="59"/>
      <c r="J344" s="21"/>
      <c r="K344" s="21"/>
      <c r="L344" s="59"/>
      <c r="M344" s="60"/>
      <c r="N344" s="21"/>
      <c r="O344" s="59"/>
      <c r="P344" s="21"/>
      <c r="Q344" s="59"/>
      <c r="R344" s="21"/>
      <c r="S344" s="21"/>
      <c r="T344" s="59"/>
      <c r="U344" s="60">
        <f t="shared" si="47"/>
        <v>0</v>
      </c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>
        <v>23881445</v>
      </c>
      <c r="AN344" s="60">
        <f>SUBTOTAL(9,AC344:AM344)</f>
        <v>23881445</v>
      </c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>
        <v>130128945</v>
      </c>
      <c r="AZ344" s="60"/>
      <c r="BA344" s="60">
        <f>VLOOKUP(B344,[2]Hoja3!J$3:K$674,2,0)</f>
        <v>231011971</v>
      </c>
      <c r="BB344" s="60"/>
      <c r="BC344" s="61">
        <f t="shared" si="48"/>
        <v>385022361</v>
      </c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>
        <v>26025789</v>
      </c>
      <c r="BO344" s="60"/>
      <c r="BP344" s="61">
        <v>411048150</v>
      </c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>
        <v>26025789</v>
      </c>
      <c r="CD344" s="61"/>
      <c r="CE344" s="61"/>
      <c r="CF344" s="61"/>
      <c r="CG344" s="61">
        <f t="shared" si="49"/>
        <v>437073939</v>
      </c>
      <c r="CH344" s="62">
        <f>VLOOKUP(B344,[1]RPTNCT049_ConsultaSaldosContabl!I$4:K$7987,3,0)</f>
        <v>182180523</v>
      </c>
      <c r="CI344" s="62">
        <f t="shared" si="50"/>
        <v>254893416</v>
      </c>
      <c r="CJ344" s="63">
        <f t="shared" si="51"/>
        <v>437073939</v>
      </c>
      <c r="CK344" s="64">
        <f t="shared" si="52"/>
        <v>0</v>
      </c>
      <c r="CL344" s="16"/>
      <c r="CM344" s="16"/>
      <c r="CN344" s="16"/>
    </row>
    <row r="345" spans="1:96" ht="15" customHeight="1" x14ac:dyDescent="0.2">
      <c r="A345" s="1">
        <v>8140022435</v>
      </c>
      <c r="B345" s="1">
        <v>814002243</v>
      </c>
      <c r="C345" s="9">
        <v>215452254</v>
      </c>
      <c r="D345" s="10" t="s">
        <v>1007</v>
      </c>
      <c r="E345" s="45" t="s">
        <v>1729</v>
      </c>
      <c r="F345" s="21"/>
      <c r="G345" s="59"/>
      <c r="H345" s="21"/>
      <c r="I345" s="59"/>
      <c r="J345" s="21"/>
      <c r="K345" s="21"/>
      <c r="L345" s="59"/>
      <c r="M345" s="60"/>
      <c r="N345" s="21"/>
      <c r="O345" s="59"/>
      <c r="P345" s="21"/>
      <c r="Q345" s="59"/>
      <c r="R345" s="21"/>
      <c r="S345" s="21"/>
      <c r="T345" s="59"/>
      <c r="U345" s="60">
        <f t="shared" si="47"/>
        <v>0</v>
      </c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>
        <v>88946456</v>
      </c>
      <c r="AN345" s="60">
        <f>SUBTOTAL(9,AC345:AM345)</f>
        <v>88946456</v>
      </c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>
        <v>46605760</v>
      </c>
      <c r="AZ345" s="60"/>
      <c r="BA345" s="60"/>
      <c r="BB345" s="60"/>
      <c r="BC345" s="61">
        <f t="shared" si="48"/>
        <v>135552216</v>
      </c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>
        <v>9321152</v>
      </c>
      <c r="BO345" s="60"/>
      <c r="BP345" s="61">
        <v>144873368</v>
      </c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>
        <v>9321152</v>
      </c>
      <c r="CD345" s="61"/>
      <c r="CE345" s="61"/>
      <c r="CF345" s="61"/>
      <c r="CG345" s="61">
        <f t="shared" si="49"/>
        <v>154194520</v>
      </c>
      <c r="CH345" s="62">
        <f>VLOOKUP(B345,[1]RPTNCT049_ConsultaSaldosContabl!I$4:K$7987,3,0)</f>
        <v>65248064</v>
      </c>
      <c r="CI345" s="62">
        <f t="shared" si="50"/>
        <v>88946456</v>
      </c>
      <c r="CJ345" s="63">
        <f t="shared" si="51"/>
        <v>154194520</v>
      </c>
      <c r="CK345" s="64">
        <f t="shared" si="52"/>
        <v>0</v>
      </c>
      <c r="CL345" s="16"/>
      <c r="CM345" s="16"/>
      <c r="CN345" s="16"/>
    </row>
    <row r="346" spans="1:96" ht="15" customHeight="1" x14ac:dyDescent="0.2">
      <c r="A346" s="1">
        <v>8060014398</v>
      </c>
      <c r="B346" s="1">
        <v>806001439</v>
      </c>
      <c r="C346" s="9">
        <v>216813268</v>
      </c>
      <c r="D346" s="10" t="s">
        <v>1005</v>
      </c>
      <c r="E346" s="45" t="s">
        <v>1223</v>
      </c>
      <c r="F346" s="21"/>
      <c r="G346" s="59"/>
      <c r="H346" s="21"/>
      <c r="I346" s="59"/>
      <c r="J346" s="21"/>
      <c r="K346" s="21"/>
      <c r="L346" s="59"/>
      <c r="M346" s="60"/>
      <c r="N346" s="21"/>
      <c r="O346" s="59"/>
      <c r="P346" s="21"/>
      <c r="Q346" s="59"/>
      <c r="R346" s="21"/>
      <c r="S346" s="21"/>
      <c r="T346" s="59"/>
      <c r="U346" s="60">
        <f t="shared" si="47"/>
        <v>0</v>
      </c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>
        <v>141292023</v>
      </c>
      <c r="AN346" s="60">
        <f>SUBTOTAL(9,AC346:AM346)</f>
        <v>141292023</v>
      </c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>
        <v>106473570</v>
      </c>
      <c r="AZ346" s="60"/>
      <c r="BA346" s="60">
        <f>VLOOKUP(B346,[2]Hoja3!J$3:K$674,2,0)</f>
        <v>31017050</v>
      </c>
      <c r="BB346" s="60"/>
      <c r="BC346" s="61">
        <f t="shared" si="48"/>
        <v>278782643</v>
      </c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>
        <v>21294714</v>
      </c>
      <c r="BO346" s="60"/>
      <c r="BP346" s="61">
        <v>300077357</v>
      </c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>
        <v>21294714</v>
      </c>
      <c r="CD346" s="61"/>
      <c r="CE346" s="61"/>
      <c r="CF346" s="61"/>
      <c r="CG346" s="61">
        <f t="shared" si="49"/>
        <v>321372071</v>
      </c>
      <c r="CH346" s="62">
        <f>VLOOKUP(B346,[1]RPTNCT049_ConsultaSaldosContabl!I$4:K$7987,3,0)</f>
        <v>149062998</v>
      </c>
      <c r="CI346" s="62">
        <f t="shared" si="50"/>
        <v>172309073</v>
      </c>
      <c r="CJ346" s="63">
        <f t="shared" si="51"/>
        <v>321372071</v>
      </c>
      <c r="CK346" s="64">
        <f t="shared" si="52"/>
        <v>0</v>
      </c>
      <c r="CL346" s="16"/>
      <c r="CM346" s="8"/>
      <c r="CN346" s="8"/>
      <c r="CO346" s="8"/>
      <c r="CP346" s="8"/>
      <c r="CQ346" s="8"/>
      <c r="CR346" s="8"/>
    </row>
    <row r="347" spans="1:96" ht="15" customHeight="1" x14ac:dyDescent="0.2">
      <c r="A347" s="1">
        <v>8999994604</v>
      </c>
      <c r="B347" s="1">
        <v>899999460</v>
      </c>
      <c r="C347" s="9">
        <v>215825258</v>
      </c>
      <c r="D347" s="10" t="s">
        <v>1006</v>
      </c>
      <c r="E347" s="45" t="s">
        <v>1509</v>
      </c>
      <c r="F347" s="21"/>
      <c r="G347" s="59"/>
      <c r="H347" s="21"/>
      <c r="I347" s="59"/>
      <c r="J347" s="21"/>
      <c r="K347" s="21"/>
      <c r="L347" s="59"/>
      <c r="M347" s="60"/>
      <c r="N347" s="21"/>
      <c r="O347" s="59"/>
      <c r="P347" s="21"/>
      <c r="Q347" s="59"/>
      <c r="R347" s="21"/>
      <c r="S347" s="21"/>
      <c r="T347" s="59"/>
      <c r="U347" s="60">
        <f t="shared" si="47"/>
        <v>0</v>
      </c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>
        <v>59219347</v>
      </c>
      <c r="AN347" s="60">
        <f>SUBTOTAL(9,AC347:AM347)</f>
        <v>59219347</v>
      </c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>
        <v>39204545</v>
      </c>
      <c r="AZ347" s="60"/>
      <c r="BA347" s="60"/>
      <c r="BB347" s="60"/>
      <c r="BC347" s="61">
        <f t="shared" si="48"/>
        <v>98423892</v>
      </c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>
        <v>7840909</v>
      </c>
      <c r="BO347" s="60"/>
      <c r="BP347" s="61">
        <v>106264801</v>
      </c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>
        <v>7840909</v>
      </c>
      <c r="CD347" s="61"/>
      <c r="CE347" s="61"/>
      <c r="CF347" s="61"/>
      <c r="CG347" s="61">
        <f t="shared" si="49"/>
        <v>114105710</v>
      </c>
      <c r="CH347" s="62">
        <f>VLOOKUP(B347,[1]RPTNCT049_ConsultaSaldosContabl!I$4:K$7987,3,0)</f>
        <v>54886363</v>
      </c>
      <c r="CI347" s="62">
        <f t="shared" si="50"/>
        <v>59219347</v>
      </c>
      <c r="CJ347" s="63">
        <f t="shared" si="51"/>
        <v>114105710</v>
      </c>
      <c r="CK347" s="64">
        <f t="shared" si="52"/>
        <v>0</v>
      </c>
      <c r="CL347" s="16"/>
      <c r="CM347" s="16"/>
      <c r="CN347" s="16"/>
    </row>
    <row r="348" spans="1:96" ht="15" customHeight="1" x14ac:dyDescent="0.2">
      <c r="A348" s="1">
        <v>8002139673</v>
      </c>
      <c r="B348" s="1">
        <v>800213967</v>
      </c>
      <c r="C348" s="9">
        <v>215068250</v>
      </c>
      <c r="D348" s="10" t="s">
        <v>1008</v>
      </c>
      <c r="E348" s="45" t="s">
        <v>1850</v>
      </c>
      <c r="F348" s="21"/>
      <c r="G348" s="59"/>
      <c r="H348" s="21"/>
      <c r="I348" s="59"/>
      <c r="J348" s="21"/>
      <c r="K348" s="21"/>
      <c r="L348" s="59"/>
      <c r="M348" s="60"/>
      <c r="N348" s="21"/>
      <c r="O348" s="59"/>
      <c r="P348" s="21"/>
      <c r="Q348" s="59"/>
      <c r="R348" s="21"/>
      <c r="S348" s="21"/>
      <c r="T348" s="59"/>
      <c r="U348" s="60">
        <f t="shared" si="47"/>
        <v>0</v>
      </c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>
        <v>44103405</v>
      </c>
      <c r="AZ348" s="60"/>
      <c r="BA348" s="60">
        <f>VLOOKUP(B348,[2]Hoja3!J$3:K$674,2,0)</f>
        <v>74629237</v>
      </c>
      <c r="BB348" s="60"/>
      <c r="BC348" s="61">
        <f t="shared" si="48"/>
        <v>118732642</v>
      </c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>
        <v>8820681</v>
      </c>
      <c r="BO348" s="60"/>
      <c r="BP348" s="61">
        <v>127553323</v>
      </c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>
        <v>8820681</v>
      </c>
      <c r="CD348" s="61"/>
      <c r="CE348" s="61"/>
      <c r="CF348" s="61"/>
      <c r="CG348" s="61">
        <f t="shared" si="49"/>
        <v>136374004</v>
      </c>
      <c r="CH348" s="62">
        <f>VLOOKUP(B348,[1]RPTNCT049_ConsultaSaldosContabl!I$4:K$7987,3,0)</f>
        <v>61744767</v>
      </c>
      <c r="CI348" s="62">
        <f t="shared" si="50"/>
        <v>74629237</v>
      </c>
      <c r="CJ348" s="63">
        <f t="shared" si="51"/>
        <v>136374004</v>
      </c>
      <c r="CK348" s="64">
        <f t="shared" si="52"/>
        <v>0</v>
      </c>
      <c r="CL348" s="16"/>
      <c r="CM348" s="16"/>
      <c r="CN348" s="16"/>
    </row>
    <row r="349" spans="1:96" ht="15" customHeight="1" x14ac:dyDescent="0.2">
      <c r="A349" s="1">
        <v>8917800499</v>
      </c>
      <c r="B349" s="1">
        <v>891780049</v>
      </c>
      <c r="C349" s="9">
        <v>215847258</v>
      </c>
      <c r="D349" s="10" t="s">
        <v>646</v>
      </c>
      <c r="E349" s="45" t="s">
        <v>1665</v>
      </c>
      <c r="F349" s="21"/>
      <c r="G349" s="59"/>
      <c r="H349" s="21"/>
      <c r="I349" s="59"/>
      <c r="J349" s="21"/>
      <c r="K349" s="21"/>
      <c r="L349" s="59"/>
      <c r="M349" s="60"/>
      <c r="N349" s="21"/>
      <c r="O349" s="59"/>
      <c r="P349" s="21"/>
      <c r="Q349" s="59"/>
      <c r="R349" s="21"/>
      <c r="S349" s="21"/>
      <c r="T349" s="59"/>
      <c r="U349" s="60">
        <f t="shared" si="47"/>
        <v>0</v>
      </c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>
        <v>287436125</v>
      </c>
      <c r="AN349" s="60">
        <f t="shared" ref="AN349:AN358" si="53">SUBTOTAL(9,AC349:AM349)</f>
        <v>287436125</v>
      </c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>
        <f>VLOOKUP(B349,[2]Hoja3!J$3:K$674,2,0)</f>
        <v>65915154</v>
      </c>
      <c r="BB349" s="60"/>
      <c r="BC349" s="61">
        <f t="shared" si="48"/>
        <v>353351279</v>
      </c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>
        <v>41325697</v>
      </c>
      <c r="BO349" s="60"/>
      <c r="BP349" s="61">
        <v>394676976</v>
      </c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>
        <v>41325697</v>
      </c>
      <c r="CD349" s="61">
        <v>206628485</v>
      </c>
      <c r="CE349" s="61"/>
      <c r="CF349" s="61"/>
      <c r="CG349" s="61">
        <f t="shared" si="49"/>
        <v>642631158</v>
      </c>
      <c r="CH349" s="62">
        <f>VLOOKUP(B349,[1]RPTNCT049_ConsultaSaldosContabl!I$4:K$7987,3,0)</f>
        <v>289279879</v>
      </c>
      <c r="CI349" s="62">
        <f t="shared" si="50"/>
        <v>353351279</v>
      </c>
      <c r="CJ349" s="63">
        <f t="shared" si="51"/>
        <v>642631158</v>
      </c>
      <c r="CK349" s="64">
        <f t="shared" si="52"/>
        <v>0</v>
      </c>
      <c r="CL349" s="16"/>
      <c r="CM349" s="16"/>
      <c r="CN349" s="16"/>
    </row>
    <row r="350" spans="1:96" ht="15" customHeight="1" x14ac:dyDescent="0.2">
      <c r="A350" s="1">
        <v>8902081990</v>
      </c>
      <c r="B350" s="1">
        <v>890208199</v>
      </c>
      <c r="C350" s="9">
        <v>215568255</v>
      </c>
      <c r="D350" s="10" t="s">
        <v>836</v>
      </c>
      <c r="E350" s="45" t="s">
        <v>1851</v>
      </c>
      <c r="F350" s="21"/>
      <c r="G350" s="59"/>
      <c r="H350" s="21"/>
      <c r="I350" s="59"/>
      <c r="J350" s="21"/>
      <c r="K350" s="21"/>
      <c r="L350" s="59"/>
      <c r="M350" s="60"/>
      <c r="N350" s="21"/>
      <c r="O350" s="59"/>
      <c r="P350" s="21"/>
      <c r="Q350" s="59"/>
      <c r="R350" s="21"/>
      <c r="S350" s="21"/>
      <c r="T350" s="59"/>
      <c r="U350" s="60">
        <f t="shared" si="47"/>
        <v>0</v>
      </c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>
        <v>218645859</v>
      </c>
      <c r="AN350" s="60">
        <f t="shared" si="53"/>
        <v>218645859</v>
      </c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>
        <v>93276510</v>
      </c>
      <c r="AZ350" s="60"/>
      <c r="BA350" s="60"/>
      <c r="BB350" s="60"/>
      <c r="BC350" s="61">
        <f t="shared" si="48"/>
        <v>311922369</v>
      </c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>
        <v>18655302</v>
      </c>
      <c r="BO350" s="60"/>
      <c r="BP350" s="61">
        <v>330577671</v>
      </c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>
        <v>18655302</v>
      </c>
      <c r="CD350" s="61"/>
      <c r="CE350" s="61"/>
      <c r="CF350" s="61"/>
      <c r="CG350" s="61">
        <f t="shared" si="49"/>
        <v>349232973</v>
      </c>
      <c r="CH350" s="62">
        <f>VLOOKUP(B350,[1]RPTNCT049_ConsultaSaldosContabl!I$4:K$7987,3,0)</f>
        <v>130587114</v>
      </c>
      <c r="CI350" s="62">
        <f t="shared" si="50"/>
        <v>218645859</v>
      </c>
      <c r="CJ350" s="63">
        <f t="shared" si="51"/>
        <v>349232973</v>
      </c>
      <c r="CK350" s="64">
        <f t="shared" si="52"/>
        <v>0</v>
      </c>
      <c r="CL350" s="16"/>
      <c r="CM350" s="16"/>
      <c r="CN350" s="16"/>
    </row>
    <row r="351" spans="1:96" ht="15" customHeight="1" x14ac:dyDescent="0.2">
      <c r="A351" s="1">
        <v>8190009259</v>
      </c>
      <c r="B351" s="1">
        <v>819000925</v>
      </c>
      <c r="C351" s="9">
        <v>216847268</v>
      </c>
      <c r="D351" s="10" t="s">
        <v>647</v>
      </c>
      <c r="E351" s="45" t="s">
        <v>1666</v>
      </c>
      <c r="F351" s="21"/>
      <c r="G351" s="59"/>
      <c r="H351" s="21"/>
      <c r="I351" s="59"/>
      <c r="J351" s="21"/>
      <c r="K351" s="21"/>
      <c r="L351" s="59"/>
      <c r="M351" s="60"/>
      <c r="N351" s="21"/>
      <c r="O351" s="59"/>
      <c r="P351" s="21"/>
      <c r="Q351" s="59"/>
      <c r="R351" s="21"/>
      <c r="S351" s="21"/>
      <c r="T351" s="59"/>
      <c r="U351" s="60">
        <f t="shared" si="47"/>
        <v>0</v>
      </c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>
        <v>526203762</v>
      </c>
      <c r="AN351" s="60">
        <f t="shared" si="53"/>
        <v>526203762</v>
      </c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>
        <v>292403720</v>
      </c>
      <c r="AZ351" s="60"/>
      <c r="BA351" s="60"/>
      <c r="BB351" s="60">
        <f>VLOOKUP(B351,'[3]anuladas en mayo gratuidad}'!K$2:L$55,2,0)</f>
        <v>126273895</v>
      </c>
      <c r="BC351" s="61">
        <f t="shared" si="48"/>
        <v>692333587</v>
      </c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>
        <v>58480744</v>
      </c>
      <c r="BO351" s="60">
        <v>126273895</v>
      </c>
      <c r="BP351" s="61">
        <v>877088226</v>
      </c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>
        <v>58480744</v>
      </c>
      <c r="CD351" s="61"/>
      <c r="CE351" s="61"/>
      <c r="CF351" s="61"/>
      <c r="CG351" s="61">
        <f t="shared" si="49"/>
        <v>935568970</v>
      </c>
      <c r="CH351" s="62">
        <f>VLOOKUP(B351,[1]RPTNCT049_ConsultaSaldosContabl!I$4:K$7987,3,0)</f>
        <v>409365208</v>
      </c>
      <c r="CI351" s="62">
        <f t="shared" si="50"/>
        <v>526203762</v>
      </c>
      <c r="CJ351" s="63">
        <f t="shared" si="51"/>
        <v>935568970</v>
      </c>
      <c r="CK351" s="64">
        <f t="shared" si="52"/>
        <v>0</v>
      </c>
      <c r="CL351" s="16"/>
      <c r="CM351" s="16"/>
      <c r="CN351" s="16"/>
    </row>
    <row r="352" spans="1:96" ht="15" customHeight="1" x14ac:dyDescent="0.2">
      <c r="A352" s="1">
        <v>8001914271</v>
      </c>
      <c r="B352" s="1">
        <v>800191427</v>
      </c>
      <c r="C352" s="9">
        <v>212595025</v>
      </c>
      <c r="D352" s="10" t="s">
        <v>992</v>
      </c>
      <c r="E352" s="45" t="s">
        <v>2049</v>
      </c>
      <c r="F352" s="21"/>
      <c r="G352" s="59"/>
      <c r="H352" s="21"/>
      <c r="I352" s="59"/>
      <c r="J352" s="21"/>
      <c r="K352" s="21"/>
      <c r="L352" s="59"/>
      <c r="M352" s="60"/>
      <c r="N352" s="21"/>
      <c r="O352" s="59"/>
      <c r="P352" s="21"/>
      <c r="Q352" s="59"/>
      <c r="R352" s="21"/>
      <c r="S352" s="21"/>
      <c r="T352" s="59"/>
      <c r="U352" s="60">
        <f t="shared" si="47"/>
        <v>0</v>
      </c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>
        <v>222441463</v>
      </c>
      <c r="AN352" s="60">
        <f t="shared" si="53"/>
        <v>222441463</v>
      </c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>
        <v>207984975</v>
      </c>
      <c r="AZ352" s="60"/>
      <c r="BA352" s="60"/>
      <c r="BB352" s="60"/>
      <c r="BC352" s="61">
        <f t="shared" si="48"/>
        <v>430426438</v>
      </c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>
        <v>41596995</v>
      </c>
      <c r="BO352" s="60"/>
      <c r="BP352" s="61">
        <v>472023433</v>
      </c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>
        <v>41596995</v>
      </c>
      <c r="CD352" s="61"/>
      <c r="CE352" s="61"/>
      <c r="CF352" s="61"/>
      <c r="CG352" s="61">
        <f t="shared" si="49"/>
        <v>513620428</v>
      </c>
      <c r="CH352" s="62">
        <f>VLOOKUP(B352,[1]RPTNCT049_ConsultaSaldosContabl!I$4:K$7987,3,0)</f>
        <v>291178965</v>
      </c>
      <c r="CI352" s="62">
        <f t="shared" si="50"/>
        <v>222441463</v>
      </c>
      <c r="CJ352" s="63">
        <f t="shared" si="51"/>
        <v>513620428</v>
      </c>
      <c r="CK352" s="64">
        <f t="shared" si="52"/>
        <v>0</v>
      </c>
      <c r="CL352" s="16"/>
      <c r="CM352" s="16"/>
      <c r="CN352" s="16"/>
    </row>
    <row r="353" spans="1:96" ht="15" customHeight="1" x14ac:dyDescent="0.2">
      <c r="A353" s="1">
        <v>8230025955</v>
      </c>
      <c r="B353" s="1">
        <v>823002595</v>
      </c>
      <c r="C353" s="9">
        <v>213370233</v>
      </c>
      <c r="D353" s="10" t="s">
        <v>896</v>
      </c>
      <c r="E353" s="45" t="s">
        <v>1909</v>
      </c>
      <c r="F353" s="21"/>
      <c r="G353" s="59"/>
      <c r="H353" s="21"/>
      <c r="I353" s="59"/>
      <c r="J353" s="21"/>
      <c r="K353" s="21"/>
      <c r="L353" s="59"/>
      <c r="M353" s="60"/>
      <c r="N353" s="21"/>
      <c r="O353" s="59"/>
      <c r="P353" s="21"/>
      <c r="Q353" s="59"/>
      <c r="R353" s="21"/>
      <c r="S353" s="21"/>
      <c r="T353" s="59"/>
      <c r="U353" s="60">
        <f t="shared" si="47"/>
        <v>0</v>
      </c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>
        <v>37382790</v>
      </c>
      <c r="AN353" s="60">
        <f t="shared" si="53"/>
        <v>37382790</v>
      </c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>
        <f>VLOOKUP(B353,[2]Hoja3!J$3:K$674,2,0)</f>
        <v>143235066</v>
      </c>
      <c r="BB353" s="60"/>
      <c r="BC353" s="61">
        <f t="shared" si="48"/>
        <v>180617856</v>
      </c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>
        <v>25785696</v>
      </c>
      <c r="BO353" s="60"/>
      <c r="BP353" s="61">
        <v>206403552</v>
      </c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>
        <v>25785696</v>
      </c>
      <c r="CD353" s="61">
        <v>128928480</v>
      </c>
      <c r="CE353" s="61"/>
      <c r="CF353" s="61"/>
      <c r="CG353" s="61">
        <f t="shared" si="49"/>
        <v>361117728</v>
      </c>
      <c r="CH353" s="62">
        <f>VLOOKUP(B353,[1]RPTNCT049_ConsultaSaldosContabl!I$4:K$7987,3,0)</f>
        <v>180499872</v>
      </c>
      <c r="CI353" s="62">
        <f t="shared" si="50"/>
        <v>180617856</v>
      </c>
      <c r="CJ353" s="63">
        <f t="shared" si="51"/>
        <v>361117728</v>
      </c>
      <c r="CK353" s="64">
        <f t="shared" si="52"/>
        <v>0</v>
      </c>
      <c r="CL353" s="16"/>
      <c r="CM353" s="16"/>
      <c r="CN353" s="16"/>
    </row>
    <row r="354" spans="1:96" ht="15" customHeight="1" x14ac:dyDescent="0.2">
      <c r="A354" s="1">
        <v>8320023184</v>
      </c>
      <c r="B354" s="1">
        <v>832002318</v>
      </c>
      <c r="C354" s="9">
        <v>216025260</v>
      </c>
      <c r="D354" s="10" t="s">
        <v>483</v>
      </c>
      <c r="E354" s="45" t="s">
        <v>1510</v>
      </c>
      <c r="F354" s="21"/>
      <c r="G354" s="59"/>
      <c r="H354" s="21"/>
      <c r="I354" s="59"/>
      <c r="J354" s="21"/>
      <c r="K354" s="21"/>
      <c r="L354" s="59"/>
      <c r="M354" s="60"/>
      <c r="N354" s="21"/>
      <c r="O354" s="59"/>
      <c r="P354" s="21"/>
      <c r="Q354" s="59"/>
      <c r="R354" s="21"/>
      <c r="S354" s="21"/>
      <c r="T354" s="59"/>
      <c r="U354" s="60">
        <f t="shared" si="47"/>
        <v>0</v>
      </c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>
        <v>228850982</v>
      </c>
      <c r="AN354" s="60">
        <f t="shared" si="53"/>
        <v>228850982</v>
      </c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>
        <v>82709495</v>
      </c>
      <c r="AZ354" s="60"/>
      <c r="BA354" s="60"/>
      <c r="BB354" s="60"/>
      <c r="BC354" s="61">
        <f t="shared" si="48"/>
        <v>311560477</v>
      </c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>
        <v>16541899</v>
      </c>
      <c r="BO354" s="60"/>
      <c r="BP354" s="61">
        <v>328102376</v>
      </c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>
        <v>16541899</v>
      </c>
      <c r="CD354" s="61"/>
      <c r="CE354" s="61"/>
      <c r="CF354" s="61"/>
      <c r="CG354" s="61">
        <f t="shared" si="49"/>
        <v>344644275</v>
      </c>
      <c r="CH354" s="62">
        <f>VLOOKUP(B354,[1]RPTNCT049_ConsultaSaldosContabl!I$4:K$7987,3,0)</f>
        <v>115793293</v>
      </c>
      <c r="CI354" s="62">
        <f t="shared" si="50"/>
        <v>228850982</v>
      </c>
      <c r="CJ354" s="63">
        <f t="shared" si="51"/>
        <v>344644275</v>
      </c>
      <c r="CK354" s="64">
        <f t="shared" si="52"/>
        <v>0</v>
      </c>
      <c r="CL354" s="16"/>
      <c r="CM354" s="16"/>
      <c r="CN354" s="16"/>
    </row>
    <row r="355" spans="1:96" ht="15" customHeight="1" x14ac:dyDescent="0.2">
      <c r="A355" s="1">
        <v>8000990799</v>
      </c>
      <c r="B355" s="1">
        <v>800099079</v>
      </c>
      <c r="C355" s="9">
        <v>215652256</v>
      </c>
      <c r="D355" s="10" t="s">
        <v>707</v>
      </c>
      <c r="E355" s="45" t="s">
        <v>1730</v>
      </c>
      <c r="F355" s="21"/>
      <c r="G355" s="59"/>
      <c r="H355" s="21"/>
      <c r="I355" s="59"/>
      <c r="J355" s="21"/>
      <c r="K355" s="21"/>
      <c r="L355" s="59"/>
      <c r="M355" s="60"/>
      <c r="N355" s="21"/>
      <c r="O355" s="59"/>
      <c r="P355" s="21"/>
      <c r="Q355" s="59"/>
      <c r="R355" s="21"/>
      <c r="S355" s="21"/>
      <c r="T355" s="59"/>
      <c r="U355" s="60">
        <f t="shared" si="47"/>
        <v>0</v>
      </c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>
        <v>59938249</v>
      </c>
      <c r="AN355" s="60">
        <f t="shared" si="53"/>
        <v>59938249</v>
      </c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>
        <v>91548060</v>
      </c>
      <c r="AZ355" s="60"/>
      <c r="BA355" s="60">
        <f>VLOOKUP(B355,[2]Hoja3!J$3:K$674,2,0)</f>
        <v>40460291</v>
      </c>
      <c r="BB355" s="60"/>
      <c r="BC355" s="61">
        <f t="shared" si="48"/>
        <v>191946600</v>
      </c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>
        <v>18309612</v>
      </c>
      <c r="BO355" s="60"/>
      <c r="BP355" s="61">
        <v>210256212</v>
      </c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>
        <v>18309612</v>
      </c>
      <c r="CD355" s="61"/>
      <c r="CE355" s="61"/>
      <c r="CF355" s="61"/>
      <c r="CG355" s="61">
        <f t="shared" si="49"/>
        <v>228565824</v>
      </c>
      <c r="CH355" s="62">
        <f>VLOOKUP(B355,[1]RPTNCT049_ConsultaSaldosContabl!I$4:K$7987,3,0)</f>
        <v>128167284</v>
      </c>
      <c r="CI355" s="62">
        <f t="shared" si="50"/>
        <v>100398540</v>
      </c>
      <c r="CJ355" s="63">
        <f t="shared" si="51"/>
        <v>228565824</v>
      </c>
      <c r="CK355" s="64">
        <f t="shared" si="52"/>
        <v>0</v>
      </c>
      <c r="CL355" s="16"/>
      <c r="CM355" s="16"/>
      <c r="CN355" s="16"/>
    </row>
    <row r="356" spans="1:96" ht="15" customHeight="1" x14ac:dyDescent="0.2">
      <c r="A356" s="1">
        <v>8909838138</v>
      </c>
      <c r="B356" s="1">
        <v>890983813</v>
      </c>
      <c r="C356" s="9">
        <v>219705697</v>
      </c>
      <c r="D356" s="10" t="s">
        <v>140</v>
      </c>
      <c r="E356" s="45" t="s">
        <v>1169</v>
      </c>
      <c r="F356" s="21"/>
      <c r="G356" s="59"/>
      <c r="H356" s="21"/>
      <c r="I356" s="59"/>
      <c r="J356" s="21"/>
      <c r="K356" s="21"/>
      <c r="L356" s="59"/>
      <c r="M356" s="60"/>
      <c r="N356" s="21"/>
      <c r="O356" s="59"/>
      <c r="P356" s="21"/>
      <c r="Q356" s="59"/>
      <c r="R356" s="21"/>
      <c r="S356" s="21"/>
      <c r="T356" s="59"/>
      <c r="U356" s="60">
        <f t="shared" si="47"/>
        <v>0</v>
      </c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>
        <v>154939389</v>
      </c>
      <c r="AN356" s="60">
        <f t="shared" si="53"/>
        <v>154939389</v>
      </c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>
        <v>168359175</v>
      </c>
      <c r="AZ356" s="60"/>
      <c r="BA356" s="60">
        <f>VLOOKUP(B356,[2]Hoja3!J$3:K$674,2,0)</f>
        <v>263394022</v>
      </c>
      <c r="BB356" s="60"/>
      <c r="BC356" s="61">
        <f t="shared" si="48"/>
        <v>586692586</v>
      </c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>
        <v>33671835</v>
      </c>
      <c r="BO356" s="60"/>
      <c r="BP356" s="61">
        <v>620364421</v>
      </c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>
        <v>33671835</v>
      </c>
      <c r="CD356" s="61"/>
      <c r="CE356" s="61"/>
      <c r="CF356" s="61"/>
      <c r="CG356" s="61">
        <f t="shared" si="49"/>
        <v>654036256</v>
      </c>
      <c r="CH356" s="62">
        <f>VLOOKUP(B356,[1]RPTNCT049_ConsultaSaldosContabl!I$4:K$7987,3,0)</f>
        <v>235702845</v>
      </c>
      <c r="CI356" s="62">
        <f t="shared" si="50"/>
        <v>418333411</v>
      </c>
      <c r="CJ356" s="63">
        <f t="shared" si="51"/>
        <v>654036256</v>
      </c>
      <c r="CK356" s="64">
        <f t="shared" si="52"/>
        <v>0</v>
      </c>
      <c r="CL356" s="16"/>
      <c r="CM356" s="16"/>
      <c r="CN356" s="16"/>
    </row>
    <row r="357" spans="1:96" ht="15" customHeight="1" x14ac:dyDescent="0.2">
      <c r="A357" s="1">
        <v>8000990807</v>
      </c>
      <c r="B357" s="1">
        <v>800099080</v>
      </c>
      <c r="C357" s="9">
        <v>215852258</v>
      </c>
      <c r="D357" s="10" t="s">
        <v>708</v>
      </c>
      <c r="E357" s="45" t="s">
        <v>1731</v>
      </c>
      <c r="F357" s="21"/>
      <c r="G357" s="59"/>
      <c r="H357" s="21"/>
      <c r="I357" s="59"/>
      <c r="J357" s="21"/>
      <c r="K357" s="21"/>
      <c r="L357" s="59"/>
      <c r="M357" s="60"/>
      <c r="N357" s="21"/>
      <c r="O357" s="59"/>
      <c r="P357" s="21"/>
      <c r="Q357" s="59"/>
      <c r="R357" s="21"/>
      <c r="S357" s="21"/>
      <c r="T357" s="59"/>
      <c r="U357" s="60">
        <f t="shared" si="47"/>
        <v>0</v>
      </c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>
        <v>226095861</v>
      </c>
      <c r="AN357" s="60">
        <f t="shared" si="53"/>
        <v>226095861</v>
      </c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>
        <v>117994050</v>
      </c>
      <c r="AZ357" s="60"/>
      <c r="BA357" s="60"/>
      <c r="BB357" s="60"/>
      <c r="BC357" s="61">
        <f t="shared" si="48"/>
        <v>344089911</v>
      </c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>
        <v>23598810</v>
      </c>
      <c r="BO357" s="60"/>
      <c r="BP357" s="61">
        <v>367688721</v>
      </c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>
        <v>23598810</v>
      </c>
      <c r="CD357" s="61"/>
      <c r="CE357" s="61"/>
      <c r="CF357" s="61"/>
      <c r="CG357" s="61">
        <f t="shared" si="49"/>
        <v>391287531</v>
      </c>
      <c r="CH357" s="62">
        <f>VLOOKUP(B357,[1]RPTNCT049_ConsultaSaldosContabl!I$4:K$7987,3,0)</f>
        <v>165191670</v>
      </c>
      <c r="CI357" s="62">
        <f t="shared" si="50"/>
        <v>226095861</v>
      </c>
      <c r="CJ357" s="63">
        <f t="shared" si="51"/>
        <v>391287531</v>
      </c>
      <c r="CK357" s="64">
        <f t="shared" si="52"/>
        <v>0</v>
      </c>
      <c r="CL357" s="16"/>
      <c r="CM357" s="16"/>
      <c r="CN357" s="16"/>
    </row>
    <row r="358" spans="1:96" ht="15" customHeight="1" x14ac:dyDescent="0.2">
      <c r="A358" s="1">
        <v>8915009786</v>
      </c>
      <c r="B358" s="1">
        <v>891500978</v>
      </c>
      <c r="C358" s="9">
        <v>215619256</v>
      </c>
      <c r="D358" s="10" t="s">
        <v>382</v>
      </c>
      <c r="E358" s="48" t="s">
        <v>2102</v>
      </c>
      <c r="F358" s="21"/>
      <c r="G358" s="59"/>
      <c r="H358" s="21"/>
      <c r="I358" s="59"/>
      <c r="J358" s="21"/>
      <c r="K358" s="21"/>
      <c r="L358" s="59"/>
      <c r="M358" s="60"/>
      <c r="N358" s="21"/>
      <c r="O358" s="59"/>
      <c r="P358" s="21"/>
      <c r="Q358" s="59"/>
      <c r="R358" s="21"/>
      <c r="S358" s="21"/>
      <c r="T358" s="59"/>
      <c r="U358" s="60">
        <f t="shared" si="47"/>
        <v>0</v>
      </c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>
        <v>191512871</v>
      </c>
      <c r="AN358" s="60">
        <f t="shared" si="53"/>
        <v>191512871</v>
      </c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>
        <f>VLOOKUP(B358,[2]Hoja3!J$3:K$674,2,0)</f>
        <v>367735282</v>
      </c>
      <c r="BB358" s="60"/>
      <c r="BC358" s="61">
        <f t="shared" si="48"/>
        <v>559248153</v>
      </c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>
        <v>0</v>
      </c>
      <c r="BO358" s="60"/>
      <c r="BP358" s="61">
        <v>559248153</v>
      </c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>
        <v>0</v>
      </c>
      <c r="CD358" s="61"/>
      <c r="CE358" s="61"/>
      <c r="CF358" s="61"/>
      <c r="CG358" s="61">
        <f t="shared" si="49"/>
        <v>559248153</v>
      </c>
      <c r="CH358" s="62"/>
      <c r="CI358" s="62">
        <f t="shared" si="50"/>
        <v>559248153</v>
      </c>
      <c r="CJ358" s="63">
        <f t="shared" si="51"/>
        <v>559248153</v>
      </c>
      <c r="CK358" s="64">
        <f t="shared" si="52"/>
        <v>0</v>
      </c>
      <c r="CL358" s="16"/>
      <c r="CM358" s="16"/>
      <c r="CN358" s="16"/>
    </row>
    <row r="359" spans="1:96" ht="15" customHeight="1" x14ac:dyDescent="0.2">
      <c r="A359" s="1">
        <v>8000990846</v>
      </c>
      <c r="B359" s="1">
        <v>800099084</v>
      </c>
      <c r="C359" s="9">
        <v>216052260</v>
      </c>
      <c r="D359" s="10" t="s">
        <v>709</v>
      </c>
      <c r="E359" s="45" t="s">
        <v>1732</v>
      </c>
      <c r="F359" s="21"/>
      <c r="G359" s="59"/>
      <c r="H359" s="21"/>
      <c r="I359" s="59"/>
      <c r="J359" s="21"/>
      <c r="K359" s="21"/>
      <c r="L359" s="59"/>
      <c r="M359" s="60"/>
      <c r="N359" s="21"/>
      <c r="O359" s="59"/>
      <c r="P359" s="21"/>
      <c r="Q359" s="59"/>
      <c r="R359" s="21"/>
      <c r="S359" s="21"/>
      <c r="T359" s="59"/>
      <c r="U359" s="60">
        <f t="shared" si="47"/>
        <v>0</v>
      </c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>
        <v>107894040</v>
      </c>
      <c r="AZ359" s="60"/>
      <c r="BA359" s="60">
        <f>VLOOKUP(B359,[2]Hoja3!J$3:K$674,2,0)</f>
        <v>66158805</v>
      </c>
      <c r="BB359" s="60"/>
      <c r="BC359" s="61">
        <f t="shared" si="48"/>
        <v>174052845</v>
      </c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>
        <v>21578808</v>
      </c>
      <c r="BO359" s="60"/>
      <c r="BP359" s="61">
        <v>195631653</v>
      </c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>
        <v>21578808</v>
      </c>
      <c r="CD359" s="61"/>
      <c r="CE359" s="61"/>
      <c r="CF359" s="61"/>
      <c r="CG359" s="61">
        <f t="shared" si="49"/>
        <v>217210461</v>
      </c>
      <c r="CH359" s="62">
        <f>VLOOKUP(B359,[1]RPTNCT049_ConsultaSaldosContabl!I$4:K$7987,3,0)</f>
        <v>151051656</v>
      </c>
      <c r="CI359" s="62">
        <f t="shared" si="50"/>
        <v>66158805</v>
      </c>
      <c r="CJ359" s="63">
        <f t="shared" si="51"/>
        <v>217210461</v>
      </c>
      <c r="CK359" s="64">
        <f t="shared" si="52"/>
        <v>0</v>
      </c>
      <c r="CL359" s="16"/>
      <c r="CM359" s="8"/>
      <c r="CN359" s="8"/>
      <c r="CO359" s="8"/>
      <c r="CP359" s="8"/>
      <c r="CQ359" s="8"/>
      <c r="CR359" s="8"/>
    </row>
    <row r="360" spans="1:96" ht="15" customHeight="1" x14ac:dyDescent="0.2">
      <c r="A360" s="1">
        <v>8001389593</v>
      </c>
      <c r="B360" s="1">
        <v>800138959</v>
      </c>
      <c r="C360" s="9">
        <v>215054250</v>
      </c>
      <c r="D360" s="10" t="s">
        <v>763</v>
      </c>
      <c r="E360" s="45" t="s">
        <v>1781</v>
      </c>
      <c r="F360" s="21"/>
      <c r="G360" s="59"/>
      <c r="H360" s="21"/>
      <c r="I360" s="59"/>
      <c r="J360" s="21"/>
      <c r="K360" s="21"/>
      <c r="L360" s="59"/>
      <c r="M360" s="60"/>
      <c r="N360" s="21"/>
      <c r="O360" s="59"/>
      <c r="P360" s="21"/>
      <c r="Q360" s="59"/>
      <c r="R360" s="21"/>
      <c r="S360" s="21"/>
      <c r="T360" s="59"/>
      <c r="U360" s="60">
        <f t="shared" si="47"/>
        <v>0</v>
      </c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>
        <v>268613035</v>
      </c>
      <c r="AZ360" s="60"/>
      <c r="BA360" s="60">
        <f>VLOOKUP(B360,[2]Hoja3!J$3:K$674,2,0)</f>
        <v>185456787</v>
      </c>
      <c r="BB360" s="60"/>
      <c r="BC360" s="61">
        <f t="shared" si="48"/>
        <v>454069822</v>
      </c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>
        <v>53722607</v>
      </c>
      <c r="BO360" s="60"/>
      <c r="BP360" s="61">
        <v>507792429</v>
      </c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>
        <v>53722607</v>
      </c>
      <c r="CD360" s="61"/>
      <c r="CE360" s="61"/>
      <c r="CF360" s="61"/>
      <c r="CG360" s="61">
        <f t="shared" si="49"/>
        <v>561515036</v>
      </c>
      <c r="CH360" s="62">
        <f>VLOOKUP(B360,[1]RPTNCT049_ConsultaSaldosContabl!I$4:K$7987,3,0)</f>
        <v>376058249</v>
      </c>
      <c r="CI360" s="62">
        <f t="shared" si="50"/>
        <v>185456787</v>
      </c>
      <c r="CJ360" s="63">
        <f t="shared" si="51"/>
        <v>561515036</v>
      </c>
      <c r="CK360" s="64">
        <f t="shared" si="52"/>
        <v>0</v>
      </c>
      <c r="CL360" s="16"/>
      <c r="CM360" s="8"/>
      <c r="CN360" s="8"/>
      <c r="CO360" s="8"/>
      <c r="CP360" s="8"/>
      <c r="CQ360" s="8"/>
      <c r="CR360" s="8"/>
    </row>
    <row r="361" spans="1:96" ht="15" customHeight="1" x14ac:dyDescent="0.2">
      <c r="A361" s="1">
        <v>8000398039</v>
      </c>
      <c r="B361" s="1">
        <v>800039803</v>
      </c>
      <c r="C361" s="9">
        <v>216154261</v>
      </c>
      <c r="D361" s="10" t="s">
        <v>764</v>
      </c>
      <c r="E361" s="45" t="s">
        <v>1782</v>
      </c>
      <c r="F361" s="21"/>
      <c r="G361" s="59"/>
      <c r="H361" s="21"/>
      <c r="I361" s="59"/>
      <c r="J361" s="21"/>
      <c r="K361" s="21"/>
      <c r="L361" s="59"/>
      <c r="M361" s="60"/>
      <c r="N361" s="21"/>
      <c r="O361" s="59"/>
      <c r="P361" s="21"/>
      <c r="Q361" s="59"/>
      <c r="R361" s="21"/>
      <c r="S361" s="21"/>
      <c r="T361" s="59"/>
      <c r="U361" s="60">
        <f t="shared" si="47"/>
        <v>0</v>
      </c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>
        <v>266005079</v>
      </c>
      <c r="AN361" s="60">
        <f>SUBTOTAL(9,AC361:AM361)</f>
        <v>266005079</v>
      </c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>
        <v>194947555</v>
      </c>
      <c r="AZ361" s="60"/>
      <c r="BA361" s="60">
        <f>VLOOKUP(B361,[2]Hoja3!J$3:K$674,2,0)</f>
        <v>144451766</v>
      </c>
      <c r="BB361" s="60"/>
      <c r="BC361" s="61">
        <f t="shared" si="48"/>
        <v>605404400</v>
      </c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>
        <v>38989511</v>
      </c>
      <c r="BO361" s="60"/>
      <c r="BP361" s="61">
        <v>644393911</v>
      </c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>
        <v>38989511</v>
      </c>
      <c r="CD361" s="61"/>
      <c r="CE361" s="61"/>
      <c r="CF361" s="61"/>
      <c r="CG361" s="61">
        <f t="shared" si="49"/>
        <v>683383422</v>
      </c>
      <c r="CH361" s="62">
        <f>VLOOKUP(B361,[1]RPTNCT049_ConsultaSaldosContabl!I$4:K$7987,3,0)</f>
        <v>272926577</v>
      </c>
      <c r="CI361" s="62">
        <f t="shared" si="50"/>
        <v>410456845</v>
      </c>
      <c r="CJ361" s="63">
        <f t="shared" si="51"/>
        <v>683383422</v>
      </c>
      <c r="CK361" s="64">
        <f t="shared" si="52"/>
        <v>0</v>
      </c>
      <c r="CL361" s="16"/>
      <c r="CM361" s="16"/>
      <c r="CN361" s="16"/>
    </row>
    <row r="362" spans="1:96" ht="15" customHeight="1" x14ac:dyDescent="0.2">
      <c r="A362" s="1">
        <v>8911801328</v>
      </c>
      <c r="B362" s="1">
        <v>891180132</v>
      </c>
      <c r="C362" s="9">
        <v>214441244</v>
      </c>
      <c r="D362" s="10" t="s">
        <v>601</v>
      </c>
      <c r="E362" s="45" t="s">
        <v>1620</v>
      </c>
      <c r="F362" s="21"/>
      <c r="G362" s="59"/>
      <c r="H362" s="21"/>
      <c r="I362" s="59"/>
      <c r="J362" s="21"/>
      <c r="K362" s="21"/>
      <c r="L362" s="59"/>
      <c r="M362" s="60"/>
      <c r="N362" s="21"/>
      <c r="O362" s="59"/>
      <c r="P362" s="21"/>
      <c r="Q362" s="59"/>
      <c r="R362" s="21"/>
      <c r="S362" s="21"/>
      <c r="T362" s="59"/>
      <c r="U362" s="60">
        <f t="shared" si="47"/>
        <v>0</v>
      </c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>
        <f>VLOOKUP(B362,[2]Hoja3!J$3:K$674,2,0)</f>
        <v>62341337</v>
      </c>
      <c r="BB362" s="60"/>
      <c r="BC362" s="61">
        <f t="shared" si="48"/>
        <v>62341337</v>
      </c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>
        <v>5036549</v>
      </c>
      <c r="BO362" s="60"/>
      <c r="BP362" s="61">
        <v>67377886</v>
      </c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>
        <v>5036549</v>
      </c>
      <c r="CD362" s="61">
        <v>25182745</v>
      </c>
      <c r="CE362" s="61"/>
      <c r="CF362" s="61"/>
      <c r="CG362" s="61">
        <f t="shared" si="49"/>
        <v>97597180</v>
      </c>
      <c r="CH362" s="62">
        <f>VLOOKUP(B362,[1]RPTNCT049_ConsultaSaldosContabl!I$4:K$7987,3,0)</f>
        <v>35255843</v>
      </c>
      <c r="CI362" s="62">
        <f t="shared" si="50"/>
        <v>62341337</v>
      </c>
      <c r="CJ362" s="63">
        <f t="shared" si="51"/>
        <v>97597180</v>
      </c>
      <c r="CK362" s="64">
        <f t="shared" si="52"/>
        <v>0</v>
      </c>
      <c r="CL362" s="16"/>
      <c r="CM362" s="16"/>
      <c r="CN362" s="16"/>
    </row>
    <row r="363" spans="1:96" ht="15" customHeight="1" x14ac:dyDescent="0.2">
      <c r="A363" s="1">
        <v>8902051141</v>
      </c>
      <c r="B363" s="1">
        <v>890205114</v>
      </c>
      <c r="C363" s="9">
        <v>216468264</v>
      </c>
      <c r="D363" s="10" t="s">
        <v>837</v>
      </c>
      <c r="E363" s="45" t="s">
        <v>1852</v>
      </c>
      <c r="F363" s="21"/>
      <c r="G363" s="59"/>
      <c r="H363" s="21"/>
      <c r="I363" s="59"/>
      <c r="J363" s="21"/>
      <c r="K363" s="21"/>
      <c r="L363" s="59"/>
      <c r="M363" s="60"/>
      <c r="N363" s="21"/>
      <c r="O363" s="59"/>
      <c r="P363" s="21"/>
      <c r="Q363" s="59"/>
      <c r="R363" s="21"/>
      <c r="S363" s="21"/>
      <c r="T363" s="59"/>
      <c r="U363" s="60">
        <f t="shared" si="47"/>
        <v>0</v>
      </c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>
        <v>36591777</v>
      </c>
      <c r="AN363" s="60">
        <f t="shared" ref="AN363:AN368" si="54">SUBTOTAL(9,AC363:AM363)</f>
        <v>36591777</v>
      </c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>
        <v>18003620</v>
      </c>
      <c r="AZ363" s="60"/>
      <c r="BA363" s="60"/>
      <c r="BB363" s="60"/>
      <c r="BC363" s="61">
        <f t="shared" si="48"/>
        <v>54595397</v>
      </c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>
        <v>3600724</v>
      </c>
      <c r="BO363" s="60"/>
      <c r="BP363" s="61">
        <v>58196121</v>
      </c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>
        <v>3600724</v>
      </c>
      <c r="CD363" s="61"/>
      <c r="CE363" s="61"/>
      <c r="CF363" s="61"/>
      <c r="CG363" s="61">
        <f t="shared" si="49"/>
        <v>61796845</v>
      </c>
      <c r="CH363" s="62">
        <f>VLOOKUP(B363,[1]RPTNCT049_ConsultaSaldosContabl!I$4:K$7987,3,0)</f>
        <v>25205068</v>
      </c>
      <c r="CI363" s="62">
        <f t="shared" si="50"/>
        <v>36591777</v>
      </c>
      <c r="CJ363" s="63">
        <f t="shared" si="51"/>
        <v>61796845</v>
      </c>
      <c r="CK363" s="64">
        <f t="shared" si="52"/>
        <v>0</v>
      </c>
      <c r="CL363" s="16"/>
      <c r="CM363" s="16"/>
      <c r="CN363" s="16"/>
    </row>
    <row r="364" spans="1:96" ht="15" customHeight="1" x14ac:dyDescent="0.2">
      <c r="A364" s="1">
        <v>8902096663</v>
      </c>
      <c r="B364" s="1">
        <v>890209666</v>
      </c>
      <c r="C364" s="9">
        <v>216668266</v>
      </c>
      <c r="D364" s="10" t="s">
        <v>838</v>
      </c>
      <c r="E364" s="45" t="s">
        <v>1853</v>
      </c>
      <c r="F364" s="21"/>
      <c r="G364" s="59"/>
      <c r="H364" s="21"/>
      <c r="I364" s="59"/>
      <c r="J364" s="21"/>
      <c r="K364" s="21"/>
      <c r="L364" s="59"/>
      <c r="M364" s="60"/>
      <c r="N364" s="21"/>
      <c r="O364" s="59"/>
      <c r="P364" s="21"/>
      <c r="Q364" s="59"/>
      <c r="R364" s="21"/>
      <c r="S364" s="21"/>
      <c r="T364" s="59"/>
      <c r="U364" s="60">
        <f t="shared" si="47"/>
        <v>0</v>
      </c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>
        <v>52400503</v>
      </c>
      <c r="AN364" s="60">
        <f t="shared" si="54"/>
        <v>52400503</v>
      </c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>
        <v>28530425</v>
      </c>
      <c r="AZ364" s="60"/>
      <c r="BA364" s="60"/>
      <c r="BB364" s="60"/>
      <c r="BC364" s="61">
        <f t="shared" si="48"/>
        <v>80930928</v>
      </c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>
        <v>5706085</v>
      </c>
      <c r="BO364" s="60"/>
      <c r="BP364" s="61">
        <v>86637013</v>
      </c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>
        <v>5706085</v>
      </c>
      <c r="CD364" s="61"/>
      <c r="CE364" s="61"/>
      <c r="CF364" s="61"/>
      <c r="CG364" s="61">
        <f t="shared" si="49"/>
        <v>92343098</v>
      </c>
      <c r="CH364" s="62">
        <f>VLOOKUP(B364,[1]RPTNCT049_ConsultaSaldosContabl!I$4:K$7987,3,0)</f>
        <v>39942595</v>
      </c>
      <c r="CI364" s="62">
        <f t="shared" si="50"/>
        <v>52400503</v>
      </c>
      <c r="CJ364" s="63">
        <f t="shared" si="51"/>
        <v>92343098</v>
      </c>
      <c r="CK364" s="64">
        <f t="shared" si="52"/>
        <v>0</v>
      </c>
      <c r="CL364" s="16"/>
      <c r="CM364" s="16"/>
      <c r="CN364" s="16"/>
    </row>
    <row r="365" spans="1:96" ht="15" customHeight="1" x14ac:dyDescent="0.2">
      <c r="A365" s="1">
        <v>8909820682</v>
      </c>
      <c r="B365" s="1">
        <v>890982068</v>
      </c>
      <c r="C365" s="9">
        <v>216405264</v>
      </c>
      <c r="D365" s="10" t="s">
        <v>86</v>
      </c>
      <c r="E365" s="45" t="s">
        <v>1117</v>
      </c>
      <c r="F365" s="21"/>
      <c r="G365" s="59"/>
      <c r="H365" s="21"/>
      <c r="I365" s="59"/>
      <c r="J365" s="21"/>
      <c r="K365" s="21"/>
      <c r="L365" s="59"/>
      <c r="M365" s="60"/>
      <c r="N365" s="21"/>
      <c r="O365" s="59"/>
      <c r="P365" s="21"/>
      <c r="Q365" s="59"/>
      <c r="R365" s="21"/>
      <c r="S365" s="21"/>
      <c r="T365" s="59"/>
      <c r="U365" s="60">
        <f t="shared" si="47"/>
        <v>0</v>
      </c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>
        <v>117715313</v>
      </c>
      <c r="AN365" s="60">
        <f t="shared" si="54"/>
        <v>117715313</v>
      </c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>
        <v>50577130</v>
      </c>
      <c r="AZ365" s="60"/>
      <c r="BA365" s="60"/>
      <c r="BB365" s="60"/>
      <c r="BC365" s="61">
        <f t="shared" si="48"/>
        <v>168292443</v>
      </c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>
        <v>10115426</v>
      </c>
      <c r="BO365" s="60"/>
      <c r="BP365" s="61">
        <v>178407869</v>
      </c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>
        <v>10115426</v>
      </c>
      <c r="CD365" s="61"/>
      <c r="CE365" s="61"/>
      <c r="CF365" s="61"/>
      <c r="CG365" s="61">
        <f t="shared" si="49"/>
        <v>188523295</v>
      </c>
      <c r="CH365" s="62">
        <f>VLOOKUP(B365,[1]RPTNCT049_ConsultaSaldosContabl!I$4:K$7987,3,0)</f>
        <v>70807982</v>
      </c>
      <c r="CI365" s="62">
        <f t="shared" si="50"/>
        <v>117715313</v>
      </c>
      <c r="CJ365" s="63">
        <f t="shared" si="51"/>
        <v>188523295</v>
      </c>
      <c r="CK365" s="64">
        <f t="shared" si="52"/>
        <v>0</v>
      </c>
      <c r="CL365" s="16"/>
      <c r="CM365" s="16"/>
      <c r="CN365" s="16"/>
    </row>
    <row r="366" spans="1:96" ht="15" customHeight="1" x14ac:dyDescent="0.2">
      <c r="A366" s="1">
        <v>8909071065</v>
      </c>
      <c r="B366" s="1">
        <v>890907106</v>
      </c>
      <c r="C366" s="9">
        <v>216605266</v>
      </c>
      <c r="D366" s="10" t="s">
        <v>2157</v>
      </c>
      <c r="E366" s="47" t="s">
        <v>1049</v>
      </c>
      <c r="F366" s="21"/>
      <c r="G366" s="59"/>
      <c r="H366" s="21"/>
      <c r="I366" s="59">
        <f>2130216366+95794453</f>
        <v>2226010819</v>
      </c>
      <c r="J366" s="21">
        <v>165734630</v>
      </c>
      <c r="K366" s="21">
        <v>328365391</v>
      </c>
      <c r="L366" s="59"/>
      <c r="M366" s="61">
        <f>SUM(F366:L366)</f>
        <v>2720110840</v>
      </c>
      <c r="N366" s="21"/>
      <c r="O366" s="59"/>
      <c r="P366" s="21"/>
      <c r="Q366" s="59">
        <f>2069475424+43542933</f>
        <v>2113018357</v>
      </c>
      <c r="R366" s="21">
        <v>165991302</v>
      </c>
      <c r="S366" s="21">
        <f>162630761+165991302</f>
        <v>328622063</v>
      </c>
      <c r="T366" s="59"/>
      <c r="U366" s="60">
        <f t="shared" si="47"/>
        <v>5327742562</v>
      </c>
      <c r="V366" s="60"/>
      <c r="W366" s="60"/>
      <c r="X366" s="60"/>
      <c r="Y366" s="60">
        <v>3763631457</v>
      </c>
      <c r="Z366" s="60">
        <v>179877808</v>
      </c>
      <c r="AA366" s="60">
        <v>412575938</v>
      </c>
      <c r="AB366" s="60"/>
      <c r="AC366" s="60">
        <f t="shared" ref="AC324:AC387" si="55">SUM(U366:AB366)</f>
        <v>9683827765</v>
      </c>
      <c r="AD366" s="60"/>
      <c r="AE366" s="60"/>
      <c r="AF366" s="60"/>
      <c r="AG366" s="60"/>
      <c r="AH366" s="60">
        <v>2357126986</v>
      </c>
      <c r="AI366" s="60">
        <v>381036788</v>
      </c>
      <c r="AJ366" s="60">
        <v>177806308</v>
      </c>
      <c r="AK366" s="60">
        <v>447584777</v>
      </c>
      <c r="AL366" s="60"/>
      <c r="AM366" s="60">
        <v>1255278627</v>
      </c>
      <c r="AN366" s="60">
        <f t="shared" si="54"/>
        <v>14302661251</v>
      </c>
      <c r="AO366" s="60"/>
      <c r="AP366" s="60"/>
      <c r="AQ366" s="60">
        <v>372498345</v>
      </c>
      <c r="AR366" s="60"/>
      <c r="AS366" s="60"/>
      <c r="AT366" s="60">
        <v>2357126986</v>
      </c>
      <c r="AU366" s="60"/>
      <c r="AV366" s="60">
        <v>177806308</v>
      </c>
      <c r="AW366" s="60">
        <v>303235341</v>
      </c>
      <c r="AX366" s="60"/>
      <c r="AY366" s="60"/>
      <c r="AZ366" s="60"/>
      <c r="BA366" s="60"/>
      <c r="BB366" s="60">
        <f>VLOOKUP(B366,'[3]anuladas en mayo gratuidad}'!K$2:L$55,2,0)</f>
        <v>10074578</v>
      </c>
      <c r="BC366" s="61">
        <f t="shared" si="48"/>
        <v>17503253653</v>
      </c>
      <c r="BD366" s="60"/>
      <c r="BE366" s="60"/>
      <c r="BF366" s="60">
        <v>74499669</v>
      </c>
      <c r="BG366" s="60"/>
      <c r="BH366" s="60"/>
      <c r="BI366" s="60">
        <v>2437442561</v>
      </c>
      <c r="BJ366" s="60">
        <v>3676998</v>
      </c>
      <c r="BK366" s="60">
        <v>172355461</v>
      </c>
      <c r="BL366" s="60">
        <v>446469545</v>
      </c>
      <c r="BM366" s="60"/>
      <c r="BN366" s="60"/>
      <c r="BO366" s="60"/>
      <c r="BP366" s="61">
        <v>20637697887</v>
      </c>
      <c r="BQ366" s="61"/>
      <c r="BR366" s="61"/>
      <c r="BS366" s="61">
        <v>74499669</v>
      </c>
      <c r="BT366" s="61"/>
      <c r="BU366" s="61"/>
      <c r="BV366" s="61"/>
      <c r="BW366" s="61">
        <v>2356471573</v>
      </c>
      <c r="BX366" s="61"/>
      <c r="BY366" s="61">
        <v>1120456715</v>
      </c>
      <c r="BZ366" s="61">
        <v>175682336</v>
      </c>
      <c r="CA366" s="61">
        <v>459834019</v>
      </c>
      <c r="CB366" s="61"/>
      <c r="CC366" s="61"/>
      <c r="CD366" s="61"/>
      <c r="CE366" s="61">
        <v>42531595</v>
      </c>
      <c r="CF366" s="61"/>
      <c r="CG366" s="61">
        <f t="shared" si="49"/>
        <v>24867173794</v>
      </c>
      <c r="CH366" s="62">
        <f>VLOOKUP(B366,[1]RPTNCT049_ConsultaSaldosContabl!I$4:K$7987,3,0)</f>
        <v>23579438150</v>
      </c>
      <c r="CI366" s="62">
        <f t="shared" si="50"/>
        <v>1287735644</v>
      </c>
      <c r="CJ366" s="63">
        <f t="shared" si="51"/>
        <v>24867173794</v>
      </c>
      <c r="CK366" s="64">
        <f t="shared" si="52"/>
        <v>0</v>
      </c>
      <c r="CL366" s="16"/>
      <c r="CM366" s="16"/>
      <c r="CN366" s="16"/>
    </row>
    <row r="367" spans="1:96" ht="15" customHeight="1" x14ac:dyDescent="0.2">
      <c r="A367" s="1">
        <v>8907020270</v>
      </c>
      <c r="B367" s="1">
        <v>890702027</v>
      </c>
      <c r="C367" s="9">
        <v>216873268</v>
      </c>
      <c r="D367" s="10" t="s">
        <v>2215</v>
      </c>
      <c r="E367" s="45" t="s">
        <v>2065</v>
      </c>
      <c r="F367" s="21"/>
      <c r="G367" s="59"/>
      <c r="H367" s="21"/>
      <c r="I367" s="59"/>
      <c r="J367" s="21"/>
      <c r="K367" s="21"/>
      <c r="L367" s="59"/>
      <c r="M367" s="60"/>
      <c r="N367" s="21"/>
      <c r="O367" s="59"/>
      <c r="P367" s="21"/>
      <c r="Q367" s="59"/>
      <c r="R367" s="21"/>
      <c r="S367" s="21"/>
      <c r="T367" s="59"/>
      <c r="U367" s="60">
        <f t="shared" si="47"/>
        <v>0</v>
      </c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>
        <v>797612320</v>
      </c>
      <c r="AN367" s="60">
        <f t="shared" si="54"/>
        <v>797612320</v>
      </c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>
        <v>410914665</v>
      </c>
      <c r="AZ367" s="60"/>
      <c r="BA367" s="60">
        <f>VLOOKUP(B367,[2]Hoja3!J$3:K$674,2,0)</f>
        <v>42532970</v>
      </c>
      <c r="BB367" s="60"/>
      <c r="BC367" s="61">
        <f t="shared" si="48"/>
        <v>1251059955</v>
      </c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>
        <v>82182933</v>
      </c>
      <c r="BO367" s="60"/>
      <c r="BP367" s="61">
        <v>1333242888</v>
      </c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>
        <v>82182933</v>
      </c>
      <c r="CD367" s="61"/>
      <c r="CE367" s="61"/>
      <c r="CF367" s="61"/>
      <c r="CG367" s="61">
        <f t="shared" si="49"/>
        <v>1415425821</v>
      </c>
      <c r="CH367" s="62">
        <f>VLOOKUP(B367,[1]RPTNCT049_ConsultaSaldosContabl!I$4:K$7987,3,0)</f>
        <v>575280531</v>
      </c>
      <c r="CI367" s="62">
        <f t="shared" si="50"/>
        <v>840145290</v>
      </c>
      <c r="CJ367" s="63">
        <f t="shared" si="51"/>
        <v>1415425821</v>
      </c>
      <c r="CK367" s="64">
        <f t="shared" si="52"/>
        <v>0</v>
      </c>
      <c r="CL367" s="16"/>
      <c r="CM367" s="16"/>
      <c r="CN367" s="16"/>
    </row>
    <row r="368" spans="1:96" ht="15" customHeight="1" x14ac:dyDescent="0.2">
      <c r="A368" s="1">
        <v>8999993281</v>
      </c>
      <c r="B368" s="1">
        <v>899999328</v>
      </c>
      <c r="C368" s="9">
        <v>216925269</v>
      </c>
      <c r="D368" s="10" t="s">
        <v>484</v>
      </c>
      <c r="E368" s="47" t="s">
        <v>1511</v>
      </c>
      <c r="F368" s="21"/>
      <c r="G368" s="59"/>
      <c r="H368" s="21"/>
      <c r="I368" s="66">
        <f>2598827980+26976346</f>
        <v>2625804326</v>
      </c>
      <c r="J368" s="21">
        <v>179760148</v>
      </c>
      <c r="K368" s="21">
        <v>356184528</v>
      </c>
      <c r="L368" s="59"/>
      <c r="M368" s="61">
        <f>SUM(F368:L368)</f>
        <v>3161749002</v>
      </c>
      <c r="N368" s="21"/>
      <c r="O368" s="59"/>
      <c r="P368" s="21"/>
      <c r="Q368" s="59">
        <f>2501976962+12261976</f>
        <v>2514238938</v>
      </c>
      <c r="R368" s="21">
        <v>180174998</v>
      </c>
      <c r="S368" s="21">
        <f>176424380+180174998</f>
        <v>356599378</v>
      </c>
      <c r="T368" s="59"/>
      <c r="U368" s="60">
        <f t="shared" si="47"/>
        <v>6212762316</v>
      </c>
      <c r="V368" s="60"/>
      <c r="W368" s="60"/>
      <c r="X368" s="60"/>
      <c r="Y368" s="60">
        <v>3228501418</v>
      </c>
      <c r="Z368" s="60">
        <v>186154177</v>
      </c>
      <c r="AA368" s="60">
        <v>427431515</v>
      </c>
      <c r="AB368" s="60"/>
      <c r="AC368" s="60">
        <f t="shared" si="55"/>
        <v>10054849426</v>
      </c>
      <c r="AD368" s="60"/>
      <c r="AE368" s="60"/>
      <c r="AF368" s="60"/>
      <c r="AG368" s="60"/>
      <c r="AH368" s="60">
        <v>2553113778</v>
      </c>
      <c r="AI368" s="60">
        <v>203472624</v>
      </c>
      <c r="AJ368" s="60">
        <v>186782538</v>
      </c>
      <c r="AK368" s="60">
        <v>470617134</v>
      </c>
      <c r="AL368" s="60"/>
      <c r="AM368" s="60">
        <v>1328207520</v>
      </c>
      <c r="AN368" s="60">
        <f t="shared" si="54"/>
        <v>14797043020</v>
      </c>
      <c r="AO368" s="60"/>
      <c r="AP368" s="60"/>
      <c r="AQ368" s="60">
        <v>588116610</v>
      </c>
      <c r="AR368" s="60"/>
      <c r="AS368" s="60"/>
      <c r="AT368" s="60">
        <v>2553113778</v>
      </c>
      <c r="AU368" s="60"/>
      <c r="AV368" s="60">
        <v>186782538</v>
      </c>
      <c r="AW368" s="60">
        <v>318791426</v>
      </c>
      <c r="AX368" s="60"/>
      <c r="AY368" s="60"/>
      <c r="AZ368" s="60">
        <v>52366033</v>
      </c>
      <c r="BA368" s="60"/>
      <c r="BB368" s="60"/>
      <c r="BC368" s="61">
        <f t="shared" si="48"/>
        <v>18496213405</v>
      </c>
      <c r="BD368" s="60"/>
      <c r="BE368" s="60"/>
      <c r="BF368" s="60">
        <v>117623322</v>
      </c>
      <c r="BG368" s="60"/>
      <c r="BH368" s="60"/>
      <c r="BI368" s="60">
        <v>2697551480</v>
      </c>
      <c r="BJ368" s="60">
        <v>116936479</v>
      </c>
      <c r="BK368" s="60">
        <v>172775253</v>
      </c>
      <c r="BL368" s="60">
        <v>377085912</v>
      </c>
      <c r="BM368" s="60"/>
      <c r="BN368" s="60"/>
      <c r="BO368" s="60"/>
      <c r="BP368" s="61">
        <v>21978185851</v>
      </c>
      <c r="BQ368" s="61"/>
      <c r="BR368" s="61"/>
      <c r="BS368" s="61">
        <v>117623322</v>
      </c>
      <c r="BT368" s="61"/>
      <c r="BU368" s="61"/>
      <c r="BV368" s="61"/>
      <c r="BW368" s="61">
        <v>2682613897</v>
      </c>
      <c r="BX368" s="61"/>
      <c r="BY368" s="61">
        <v>1290134084</v>
      </c>
      <c r="BZ368" s="61">
        <v>204156773</v>
      </c>
      <c r="CA368" s="61">
        <v>507532309</v>
      </c>
      <c r="CB368" s="61"/>
      <c r="CC368" s="61"/>
      <c r="CD368" s="61"/>
      <c r="CE368" s="61"/>
      <c r="CF368" s="61"/>
      <c r="CG368" s="61">
        <f t="shared" si="49"/>
        <v>26780246236</v>
      </c>
      <c r="CH368" s="62">
        <f>VLOOKUP(B368,[1]RPTNCT049_ConsultaSaldosContabl!I$4:K$7987,3,0)</f>
        <v>25452038716</v>
      </c>
      <c r="CI368" s="62">
        <f t="shared" si="50"/>
        <v>1328207520</v>
      </c>
      <c r="CJ368" s="63">
        <f t="shared" si="51"/>
        <v>26780246236</v>
      </c>
      <c r="CK368" s="64">
        <f t="shared" si="52"/>
        <v>0</v>
      </c>
      <c r="CL368" s="16"/>
      <c r="CM368" s="16"/>
      <c r="CN368" s="16"/>
    </row>
    <row r="369" spans="1:96" ht="15" customHeight="1" x14ac:dyDescent="0.2">
      <c r="A369" s="1">
        <v>8001000549</v>
      </c>
      <c r="B369" s="1">
        <v>800100054</v>
      </c>
      <c r="C369" s="9">
        <v>217073270</v>
      </c>
      <c r="D369" s="10" t="s">
        <v>2216</v>
      </c>
      <c r="E369" s="45" t="s">
        <v>1942</v>
      </c>
      <c r="F369" s="21"/>
      <c r="G369" s="59"/>
      <c r="H369" s="21"/>
      <c r="I369" s="59"/>
      <c r="J369" s="21"/>
      <c r="K369" s="21"/>
      <c r="L369" s="59"/>
      <c r="M369" s="60"/>
      <c r="N369" s="21"/>
      <c r="O369" s="59"/>
      <c r="P369" s="21"/>
      <c r="Q369" s="59"/>
      <c r="R369" s="21"/>
      <c r="S369" s="21"/>
      <c r="T369" s="59"/>
      <c r="U369" s="60">
        <f t="shared" si="47"/>
        <v>0</v>
      </c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>
        <v>59230710</v>
      </c>
      <c r="AZ369" s="60"/>
      <c r="BA369" s="60">
        <f>VLOOKUP(B369,[2]Hoja3!J$3:K$674,2,0)</f>
        <v>164866245</v>
      </c>
      <c r="BB369" s="60"/>
      <c r="BC369" s="61">
        <f t="shared" si="48"/>
        <v>224096955</v>
      </c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>
        <v>11846142</v>
      </c>
      <c r="BO369" s="60"/>
      <c r="BP369" s="61">
        <v>235943097</v>
      </c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>
        <v>11846142</v>
      </c>
      <c r="CD369" s="61"/>
      <c r="CE369" s="61"/>
      <c r="CF369" s="61"/>
      <c r="CG369" s="61">
        <f t="shared" si="49"/>
        <v>247789239</v>
      </c>
      <c r="CH369" s="62">
        <f>VLOOKUP(B369,[1]RPTNCT049_ConsultaSaldosContabl!I$4:K$7987,3,0)</f>
        <v>82922994</v>
      </c>
      <c r="CI369" s="62">
        <f t="shared" si="50"/>
        <v>164866245</v>
      </c>
      <c r="CJ369" s="63">
        <f t="shared" si="51"/>
        <v>247789239</v>
      </c>
      <c r="CK369" s="64">
        <f t="shared" si="52"/>
        <v>0</v>
      </c>
      <c r="CL369" s="16"/>
      <c r="CM369" s="16"/>
      <c r="CN369" s="16"/>
    </row>
    <row r="370" spans="1:96" ht="15" customHeight="1" x14ac:dyDescent="0.2">
      <c r="A370" s="1">
        <v>8908011449</v>
      </c>
      <c r="B370" s="1">
        <v>890801144</v>
      </c>
      <c r="C370" s="9">
        <v>217217272</v>
      </c>
      <c r="D370" s="10" t="s">
        <v>341</v>
      </c>
      <c r="E370" s="45" t="s">
        <v>1372</v>
      </c>
      <c r="F370" s="21"/>
      <c r="G370" s="59"/>
      <c r="H370" s="21"/>
      <c r="I370" s="59"/>
      <c r="J370" s="21"/>
      <c r="K370" s="21"/>
      <c r="L370" s="59"/>
      <c r="M370" s="60"/>
      <c r="N370" s="21"/>
      <c r="O370" s="59"/>
      <c r="P370" s="21"/>
      <c r="Q370" s="59"/>
      <c r="R370" s="21"/>
      <c r="S370" s="21"/>
      <c r="T370" s="59"/>
      <c r="U370" s="60">
        <f t="shared" si="47"/>
        <v>0</v>
      </c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>
        <v>141579621</v>
      </c>
      <c r="AN370" s="60">
        <f>SUBTOTAL(9,AC370:AM370)</f>
        <v>141579621</v>
      </c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>
        <v>72356580</v>
      </c>
      <c r="AZ370" s="60"/>
      <c r="BA370" s="60"/>
      <c r="BB370" s="60"/>
      <c r="BC370" s="61">
        <f t="shared" si="48"/>
        <v>213936201</v>
      </c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>
        <v>14471316</v>
      </c>
      <c r="BO370" s="60"/>
      <c r="BP370" s="61">
        <v>228407517</v>
      </c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>
        <v>14471316</v>
      </c>
      <c r="CD370" s="61"/>
      <c r="CE370" s="61"/>
      <c r="CF370" s="61"/>
      <c r="CG370" s="61">
        <f t="shared" si="49"/>
        <v>242878833</v>
      </c>
      <c r="CH370" s="62">
        <f>VLOOKUP(B370,[1]RPTNCT049_ConsultaSaldosContabl!I$4:K$7987,3,0)</f>
        <v>101299212</v>
      </c>
      <c r="CI370" s="62">
        <f t="shared" si="50"/>
        <v>141579621</v>
      </c>
      <c r="CJ370" s="63">
        <f t="shared" si="51"/>
        <v>242878833</v>
      </c>
      <c r="CK370" s="64">
        <f t="shared" si="52"/>
        <v>0</v>
      </c>
      <c r="CL370" s="16"/>
      <c r="CM370" s="16"/>
      <c r="CN370" s="16"/>
    </row>
    <row r="371" spans="1:96" ht="15" customHeight="1" x14ac:dyDescent="0.2">
      <c r="A371" s="1">
        <v>8900013395</v>
      </c>
      <c r="B371" s="1">
        <v>890001339</v>
      </c>
      <c r="C371" s="9">
        <v>217263272</v>
      </c>
      <c r="D371" s="10" t="s">
        <v>793</v>
      </c>
      <c r="E371" s="45" t="s">
        <v>1810</v>
      </c>
      <c r="F371" s="21"/>
      <c r="G371" s="59"/>
      <c r="H371" s="21"/>
      <c r="I371" s="59"/>
      <c r="J371" s="21"/>
      <c r="K371" s="21"/>
      <c r="L371" s="59"/>
      <c r="M371" s="60"/>
      <c r="N371" s="21"/>
      <c r="O371" s="59"/>
      <c r="P371" s="21"/>
      <c r="Q371" s="59"/>
      <c r="R371" s="21"/>
      <c r="S371" s="21"/>
      <c r="T371" s="59"/>
      <c r="U371" s="60">
        <f t="shared" si="47"/>
        <v>0</v>
      </c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>
        <v>88081545</v>
      </c>
      <c r="AZ371" s="60"/>
      <c r="BA371" s="60">
        <f>VLOOKUP(B371,[2]Hoja3!J$3:K$674,2,0)</f>
        <v>100681050</v>
      </c>
      <c r="BB371" s="60"/>
      <c r="BC371" s="61">
        <f t="shared" si="48"/>
        <v>188762595</v>
      </c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>
        <v>17616309</v>
      </c>
      <c r="BO371" s="60"/>
      <c r="BP371" s="61">
        <v>206378904</v>
      </c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>
        <v>17616309</v>
      </c>
      <c r="CD371" s="61"/>
      <c r="CE371" s="61"/>
      <c r="CF371" s="61"/>
      <c r="CG371" s="61">
        <f t="shared" si="49"/>
        <v>223995213</v>
      </c>
      <c r="CH371" s="62">
        <f>VLOOKUP(B371,[1]RPTNCT049_ConsultaSaldosContabl!I$4:K$7987,3,0)</f>
        <v>123314163</v>
      </c>
      <c r="CI371" s="62">
        <f t="shared" si="50"/>
        <v>100681050</v>
      </c>
      <c r="CJ371" s="63">
        <f t="shared" si="51"/>
        <v>223995213</v>
      </c>
      <c r="CK371" s="64">
        <f t="shared" si="52"/>
        <v>0</v>
      </c>
      <c r="CL371" s="16"/>
      <c r="CM371" s="16"/>
      <c r="CN371" s="16"/>
    </row>
    <row r="372" spans="1:96" ht="15" customHeight="1" x14ac:dyDescent="0.2">
      <c r="A372" s="1">
        <v>8918562880</v>
      </c>
      <c r="B372" s="1">
        <v>891856288</v>
      </c>
      <c r="C372" s="9">
        <v>217215272</v>
      </c>
      <c r="D372" s="10" t="s">
        <v>249</v>
      </c>
      <c r="E372" s="45" t="s">
        <v>1284</v>
      </c>
      <c r="F372" s="21"/>
      <c r="G372" s="59"/>
      <c r="H372" s="21"/>
      <c r="I372" s="59"/>
      <c r="J372" s="21"/>
      <c r="K372" s="21"/>
      <c r="L372" s="59"/>
      <c r="M372" s="60"/>
      <c r="N372" s="21"/>
      <c r="O372" s="59"/>
      <c r="P372" s="21"/>
      <c r="Q372" s="59"/>
      <c r="R372" s="21"/>
      <c r="S372" s="21"/>
      <c r="T372" s="59"/>
      <c r="U372" s="60">
        <f t="shared" si="47"/>
        <v>0</v>
      </c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>
        <v>14093890</v>
      </c>
      <c r="AN372" s="60">
        <f>SUBTOTAL(9,AC372:AM372)</f>
        <v>14093890</v>
      </c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>
        <v>32816120</v>
      </c>
      <c r="AZ372" s="60"/>
      <c r="BA372" s="60">
        <f>VLOOKUP(B372,[2]Hoja3!J$3:K$674,2,0)</f>
        <v>55120273</v>
      </c>
      <c r="BB372" s="60"/>
      <c r="BC372" s="61">
        <f t="shared" si="48"/>
        <v>102030283</v>
      </c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>
        <v>6563224</v>
      </c>
      <c r="BO372" s="60"/>
      <c r="BP372" s="61">
        <v>108593507</v>
      </c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>
        <v>6563224</v>
      </c>
      <c r="CD372" s="61"/>
      <c r="CE372" s="61"/>
      <c r="CF372" s="61"/>
      <c r="CG372" s="61">
        <f t="shared" si="49"/>
        <v>115156731</v>
      </c>
      <c r="CH372" s="62">
        <f>VLOOKUP(B372,[1]RPTNCT049_ConsultaSaldosContabl!I$4:K$7987,3,0)</f>
        <v>45942568</v>
      </c>
      <c r="CI372" s="62">
        <f t="shared" si="50"/>
        <v>69214163</v>
      </c>
      <c r="CJ372" s="63">
        <f t="shared" si="51"/>
        <v>115156731</v>
      </c>
      <c r="CK372" s="64">
        <f t="shared" si="52"/>
        <v>0</v>
      </c>
      <c r="CL372" s="16"/>
      <c r="CM372" s="8"/>
      <c r="CN372" s="8"/>
      <c r="CO372" s="8"/>
      <c r="CP372" s="8"/>
      <c r="CQ372" s="8"/>
      <c r="CR372" s="8"/>
    </row>
    <row r="373" spans="1:96" ht="15" customHeight="1" x14ac:dyDescent="0.2">
      <c r="A373" s="1">
        <v>8001000556</v>
      </c>
      <c r="B373" s="1">
        <v>800100055</v>
      </c>
      <c r="C373" s="9">
        <v>217573275</v>
      </c>
      <c r="D373" s="10" t="s">
        <v>2217</v>
      </c>
      <c r="E373" s="45" t="s">
        <v>1943</v>
      </c>
      <c r="F373" s="21"/>
      <c r="G373" s="59"/>
      <c r="H373" s="21"/>
      <c r="I373" s="59"/>
      <c r="J373" s="21"/>
      <c r="K373" s="21"/>
      <c r="L373" s="59"/>
      <c r="M373" s="60"/>
      <c r="N373" s="21"/>
      <c r="O373" s="59"/>
      <c r="P373" s="21"/>
      <c r="Q373" s="59"/>
      <c r="R373" s="21"/>
      <c r="S373" s="21"/>
      <c r="T373" s="59"/>
      <c r="U373" s="60">
        <f t="shared" si="47"/>
        <v>0</v>
      </c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>
        <v>257811162</v>
      </c>
      <c r="AN373" s="60">
        <f>SUBTOTAL(9,AC373:AM373)</f>
        <v>257811162</v>
      </c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>
        <v>154654355</v>
      </c>
      <c r="AZ373" s="60"/>
      <c r="BA373" s="60"/>
      <c r="BB373" s="60"/>
      <c r="BC373" s="61">
        <f t="shared" si="48"/>
        <v>412465517</v>
      </c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>
        <v>30930871</v>
      </c>
      <c r="BO373" s="60"/>
      <c r="BP373" s="61">
        <v>443396388</v>
      </c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>
        <v>30930871</v>
      </c>
      <c r="CD373" s="61"/>
      <c r="CE373" s="61"/>
      <c r="CF373" s="61"/>
      <c r="CG373" s="61">
        <f t="shared" si="49"/>
        <v>474327259</v>
      </c>
      <c r="CH373" s="62">
        <f>VLOOKUP(B373,[1]RPTNCT049_ConsultaSaldosContabl!I$4:K$7987,3,0)</f>
        <v>216516097</v>
      </c>
      <c r="CI373" s="62">
        <f t="shared" si="50"/>
        <v>257811162</v>
      </c>
      <c r="CJ373" s="63">
        <f t="shared" si="51"/>
        <v>474327259</v>
      </c>
      <c r="CK373" s="64">
        <f t="shared" si="52"/>
        <v>0</v>
      </c>
      <c r="CL373" s="16"/>
      <c r="CM373" s="16"/>
      <c r="CN373" s="16"/>
    </row>
    <row r="374" spans="1:96" ht="15" customHeight="1" x14ac:dyDescent="0.2">
      <c r="A374" s="1">
        <v>8000957282</v>
      </c>
      <c r="B374" s="1">
        <v>800095728</v>
      </c>
      <c r="C374" s="9">
        <v>210118001</v>
      </c>
      <c r="D374" s="10" t="s">
        <v>2163</v>
      </c>
      <c r="E374" s="47" t="s">
        <v>1015</v>
      </c>
      <c r="F374" s="21"/>
      <c r="G374" s="59"/>
      <c r="H374" s="21"/>
      <c r="I374" s="59">
        <f>4891158804+174626254</f>
        <v>5065785058</v>
      </c>
      <c r="J374" s="21">
        <v>327071758</v>
      </c>
      <c r="K374" s="21">
        <v>651463006</v>
      </c>
      <c r="L374" s="59"/>
      <c r="M374" s="61">
        <f>SUM(F374:L374)</f>
        <v>6044319822</v>
      </c>
      <c r="N374" s="21"/>
      <c r="O374" s="59"/>
      <c r="P374" s="21"/>
      <c r="Q374" s="59">
        <f>4618076044+79375570</f>
        <v>4697451614</v>
      </c>
      <c r="R374" s="21">
        <v>327071758</v>
      </c>
      <c r="S374" s="21">
        <f>324391248+327071758</f>
        <v>651463006</v>
      </c>
      <c r="T374" s="59"/>
      <c r="U374" s="60">
        <f t="shared" si="47"/>
        <v>11720306200</v>
      </c>
      <c r="V374" s="60"/>
      <c r="W374" s="60"/>
      <c r="X374" s="60"/>
      <c r="Y374" s="60">
        <v>6715017771</v>
      </c>
      <c r="Z374" s="60">
        <v>335125831</v>
      </c>
      <c r="AA374" s="60">
        <v>766878313</v>
      </c>
      <c r="AB374" s="60"/>
      <c r="AC374" s="60">
        <f t="shared" si="55"/>
        <v>19537328115</v>
      </c>
      <c r="AD374" s="60"/>
      <c r="AE374" s="60"/>
      <c r="AF374" s="60"/>
      <c r="AG374" s="60"/>
      <c r="AH374" s="60">
        <v>4779876058</v>
      </c>
      <c r="AI374" s="60">
        <v>784472262</v>
      </c>
      <c r="AJ374" s="60">
        <v>335923796</v>
      </c>
      <c r="AK374" s="60">
        <v>849229218</v>
      </c>
      <c r="AL374" s="60"/>
      <c r="AM374" s="60">
        <v>1774713105</v>
      </c>
      <c r="AN374" s="60">
        <f>SUBTOTAL(9,AC374:AM374)</f>
        <v>28061542554</v>
      </c>
      <c r="AO374" s="60"/>
      <c r="AP374" s="60"/>
      <c r="AQ374" s="60">
        <v>900635495</v>
      </c>
      <c r="AR374" s="60"/>
      <c r="AS374" s="60"/>
      <c r="AT374" s="60">
        <v>4779876058</v>
      </c>
      <c r="AU374" s="60"/>
      <c r="AV374" s="60">
        <v>335923796</v>
      </c>
      <c r="AW374" s="60">
        <v>575812630</v>
      </c>
      <c r="AX374" s="60"/>
      <c r="AY374" s="60"/>
      <c r="AZ374" s="60"/>
      <c r="BA374" s="60">
        <f>VLOOKUP(B374,[2]Hoja3!J$3:K$674,2,0)</f>
        <v>278052895</v>
      </c>
      <c r="BB374" s="60">
        <f>VLOOKUP(B374,'[3]anuladas en mayo gratuidad}'!K$2:L$55,2,0)</f>
        <v>12917846</v>
      </c>
      <c r="BC374" s="61">
        <f t="shared" si="48"/>
        <v>34918925582</v>
      </c>
      <c r="BD374" s="60"/>
      <c r="BE374" s="60"/>
      <c r="BF374" s="60">
        <v>180127099</v>
      </c>
      <c r="BG374" s="60"/>
      <c r="BH374" s="60"/>
      <c r="BI374" s="60">
        <v>4828449079</v>
      </c>
      <c r="BJ374" s="60">
        <v>320545584</v>
      </c>
      <c r="BK374" s="60">
        <v>312975414</v>
      </c>
      <c r="BL374" s="60">
        <v>684518229</v>
      </c>
      <c r="BM374" s="60"/>
      <c r="BN374" s="60"/>
      <c r="BO374" s="60"/>
      <c r="BP374" s="61">
        <v>41245540987</v>
      </c>
      <c r="BQ374" s="61"/>
      <c r="BR374" s="61"/>
      <c r="BS374" s="61">
        <v>180127099</v>
      </c>
      <c r="BT374" s="61"/>
      <c r="BU374" s="61"/>
      <c r="BV374" s="61"/>
      <c r="BW374" s="61">
        <v>4884776345</v>
      </c>
      <c r="BX374" s="61">
        <v>588572405</v>
      </c>
      <c r="BY374" s="61">
        <v>2254577869</v>
      </c>
      <c r="BZ374" s="61">
        <v>345162249</v>
      </c>
      <c r="CA374" s="61">
        <v>894244037</v>
      </c>
      <c r="CB374" s="61"/>
      <c r="CC374" s="61"/>
      <c r="CD374" s="61"/>
      <c r="CE374" s="61">
        <v>12917846</v>
      </c>
      <c r="CF374" s="61"/>
      <c r="CG374" s="61">
        <f t="shared" si="49"/>
        <v>50405918837</v>
      </c>
      <c r="CH374" s="62">
        <f>VLOOKUP(B374,[1]RPTNCT049_ConsultaSaldosContabl!I$4:K$7987,3,0)</f>
        <v>48353152837</v>
      </c>
      <c r="CI374" s="62">
        <f t="shared" si="50"/>
        <v>2052766000</v>
      </c>
      <c r="CJ374" s="63">
        <f t="shared" si="51"/>
        <v>50405918837</v>
      </c>
      <c r="CK374" s="64">
        <f t="shared" si="52"/>
        <v>0</v>
      </c>
      <c r="CL374" s="16"/>
      <c r="CM374" s="16"/>
      <c r="CN374" s="16"/>
    </row>
    <row r="375" spans="1:96" ht="15" customHeight="1" x14ac:dyDescent="0.2">
      <c r="A375" s="1">
        <v>8001884921</v>
      </c>
      <c r="B375" s="1">
        <v>800188492</v>
      </c>
      <c r="C375" s="9">
        <v>219019290</v>
      </c>
      <c r="D375" s="10" t="s">
        <v>383</v>
      </c>
      <c r="E375" s="45" t="s">
        <v>1414</v>
      </c>
      <c r="F375" s="21"/>
      <c r="G375" s="59"/>
      <c r="H375" s="21"/>
      <c r="I375" s="59"/>
      <c r="J375" s="21"/>
      <c r="K375" s="21"/>
      <c r="L375" s="59"/>
      <c r="M375" s="60"/>
      <c r="N375" s="21"/>
      <c r="O375" s="59"/>
      <c r="P375" s="21"/>
      <c r="Q375" s="59"/>
      <c r="R375" s="21"/>
      <c r="S375" s="21"/>
      <c r="T375" s="59"/>
      <c r="U375" s="60">
        <f t="shared" si="47"/>
        <v>0</v>
      </c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>
        <v>73859857</v>
      </c>
      <c r="AN375" s="60">
        <f>SUBTOTAL(9,AC375:AM375)</f>
        <v>73859857</v>
      </c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>
        <f>VLOOKUP(B375,[2]Hoja3!J$3:K$674,2,0)</f>
        <v>10327540</v>
      </c>
      <c r="BB375" s="60"/>
      <c r="BC375" s="61">
        <f t="shared" si="48"/>
        <v>84187397</v>
      </c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>
        <v>0</v>
      </c>
      <c r="BO375" s="60"/>
      <c r="BP375" s="61">
        <v>84187397</v>
      </c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>
        <v>56008484</v>
      </c>
      <c r="CD375" s="61"/>
      <c r="CE375" s="61"/>
      <c r="CF375" s="61"/>
      <c r="CG375" s="61">
        <f t="shared" si="49"/>
        <v>140195881</v>
      </c>
      <c r="CH375" s="62">
        <f>VLOOKUP(B375,[1]RPTNCT049_ConsultaSaldosContabl!I$4:K$7987,3,0)</f>
        <v>56008484</v>
      </c>
      <c r="CI375" s="62">
        <f t="shared" si="50"/>
        <v>84187397</v>
      </c>
      <c r="CJ375" s="63">
        <f t="shared" si="51"/>
        <v>140195881</v>
      </c>
      <c r="CK375" s="64">
        <f t="shared" si="52"/>
        <v>0</v>
      </c>
      <c r="CL375" s="16"/>
      <c r="CM375" s="16"/>
      <c r="CN375" s="16"/>
    </row>
    <row r="376" spans="1:96" ht="15" customHeight="1" x14ac:dyDescent="0.2">
      <c r="A376" s="1">
        <v>8000263681</v>
      </c>
      <c r="B376" s="1">
        <v>800026368</v>
      </c>
      <c r="C376" s="9">
        <v>217615276</v>
      </c>
      <c r="D376" s="10" t="s">
        <v>250</v>
      </c>
      <c r="E376" s="45" t="s">
        <v>1285</v>
      </c>
      <c r="F376" s="21"/>
      <c r="G376" s="59"/>
      <c r="H376" s="21"/>
      <c r="I376" s="59"/>
      <c r="J376" s="21"/>
      <c r="K376" s="21"/>
      <c r="L376" s="59"/>
      <c r="M376" s="60"/>
      <c r="N376" s="21"/>
      <c r="O376" s="59"/>
      <c r="P376" s="21"/>
      <c r="Q376" s="59"/>
      <c r="R376" s="21"/>
      <c r="S376" s="21"/>
      <c r="T376" s="59"/>
      <c r="U376" s="60">
        <f t="shared" si="47"/>
        <v>0</v>
      </c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>
        <v>24410110</v>
      </c>
      <c r="AZ376" s="60"/>
      <c r="BA376" s="60">
        <f>VLOOKUP(B376,[2]Hoja3!J$3:K$674,2,0)</f>
        <v>43928445</v>
      </c>
      <c r="BB376" s="60"/>
      <c r="BC376" s="61">
        <f t="shared" si="48"/>
        <v>68338555</v>
      </c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>
        <v>4882022</v>
      </c>
      <c r="BO376" s="60"/>
      <c r="BP376" s="61">
        <v>73220577</v>
      </c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>
        <v>4882022</v>
      </c>
      <c r="CD376" s="61"/>
      <c r="CE376" s="61"/>
      <c r="CF376" s="61"/>
      <c r="CG376" s="61">
        <f t="shared" si="49"/>
        <v>78102599</v>
      </c>
      <c r="CH376" s="62">
        <f>VLOOKUP(B376,[1]RPTNCT049_ConsultaSaldosContabl!I$4:K$7987,3,0)</f>
        <v>34174154</v>
      </c>
      <c r="CI376" s="62">
        <f t="shared" si="50"/>
        <v>43928445</v>
      </c>
      <c r="CJ376" s="63">
        <f t="shared" si="51"/>
        <v>78102599</v>
      </c>
      <c r="CK376" s="64">
        <f t="shared" si="52"/>
        <v>0</v>
      </c>
      <c r="CL376" s="16"/>
      <c r="CM376" s="8"/>
      <c r="CN376" s="8"/>
      <c r="CO376" s="8"/>
      <c r="CP376" s="8"/>
      <c r="CQ376" s="8"/>
      <c r="CR376" s="8"/>
    </row>
    <row r="377" spans="1:96" ht="15" customHeight="1" x14ac:dyDescent="0.2">
      <c r="A377" s="1">
        <v>8902096402</v>
      </c>
      <c r="B377" s="1">
        <v>890209640</v>
      </c>
      <c r="C377" s="9">
        <v>217168271</v>
      </c>
      <c r="D377" s="10" t="s">
        <v>839</v>
      </c>
      <c r="E377" s="45" t="s">
        <v>1854</v>
      </c>
      <c r="F377" s="21"/>
      <c r="G377" s="59"/>
      <c r="H377" s="21"/>
      <c r="I377" s="59"/>
      <c r="J377" s="21"/>
      <c r="K377" s="21"/>
      <c r="L377" s="59"/>
      <c r="M377" s="60"/>
      <c r="N377" s="21"/>
      <c r="O377" s="59"/>
      <c r="P377" s="21"/>
      <c r="Q377" s="59"/>
      <c r="R377" s="21"/>
      <c r="S377" s="21"/>
      <c r="T377" s="59"/>
      <c r="U377" s="60">
        <f t="shared" si="47"/>
        <v>0</v>
      </c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>
        <v>48782960</v>
      </c>
      <c r="AZ377" s="60"/>
      <c r="BA377" s="60">
        <f>VLOOKUP(B377,[2]Hoja3!J$3:K$674,2,0)</f>
        <v>87175645</v>
      </c>
      <c r="BB377" s="60"/>
      <c r="BC377" s="61">
        <f t="shared" si="48"/>
        <v>135958605</v>
      </c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>
        <v>9756592</v>
      </c>
      <c r="BO377" s="60"/>
      <c r="BP377" s="61">
        <v>145715197</v>
      </c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>
        <v>9756592</v>
      </c>
      <c r="CD377" s="61"/>
      <c r="CE377" s="61"/>
      <c r="CF377" s="61"/>
      <c r="CG377" s="61">
        <f t="shared" si="49"/>
        <v>155471789</v>
      </c>
      <c r="CH377" s="62">
        <f>VLOOKUP(B377,[1]RPTNCT049_ConsultaSaldosContabl!I$4:K$7987,3,0)</f>
        <v>68296144</v>
      </c>
      <c r="CI377" s="62">
        <f t="shared" si="50"/>
        <v>87175645</v>
      </c>
      <c r="CJ377" s="63">
        <f t="shared" si="51"/>
        <v>155471789</v>
      </c>
      <c r="CK377" s="64">
        <f t="shared" si="52"/>
        <v>0</v>
      </c>
      <c r="CL377" s="16"/>
      <c r="CM377" s="16"/>
      <c r="CN377" s="16"/>
    </row>
    <row r="378" spans="1:96" ht="15" customHeight="1" x14ac:dyDescent="0.2">
      <c r="A378" s="1">
        <v>8902051768</v>
      </c>
      <c r="B378" s="1">
        <v>890205176</v>
      </c>
      <c r="C378" s="9">
        <v>217668276</v>
      </c>
      <c r="D378" s="10" t="s">
        <v>2164</v>
      </c>
      <c r="E378" s="47" t="s">
        <v>1038</v>
      </c>
      <c r="F378" s="21"/>
      <c r="G378" s="59"/>
      <c r="H378" s="21"/>
      <c r="I378" s="59">
        <f>4084974740+73309331</f>
        <v>4158284071</v>
      </c>
      <c r="J378" s="21">
        <v>306183579</v>
      </c>
      <c r="K378" s="21">
        <v>609018116</v>
      </c>
      <c r="L378" s="59"/>
      <c r="M378" s="61">
        <f>SUM(F378:L378)</f>
        <v>5073485766</v>
      </c>
      <c r="N378" s="21"/>
      <c r="O378" s="59"/>
      <c r="P378" s="21"/>
      <c r="Q378" s="59">
        <f>3915338716+33322423</f>
        <v>3948661139</v>
      </c>
      <c r="R378" s="21">
        <v>306658486</v>
      </c>
      <c r="S378" s="21">
        <f>302834537+306658486</f>
        <v>609493023</v>
      </c>
      <c r="T378" s="59"/>
      <c r="U378" s="60">
        <f t="shared" si="47"/>
        <v>9938298414</v>
      </c>
      <c r="V378" s="60"/>
      <c r="W378" s="60"/>
      <c r="X378" s="60"/>
      <c r="Y378" s="60">
        <v>5960439741</v>
      </c>
      <c r="Z378" s="60">
        <v>321792405</v>
      </c>
      <c r="AA378" s="60">
        <v>733065407</v>
      </c>
      <c r="AB378" s="60"/>
      <c r="AC378" s="60">
        <f t="shared" si="55"/>
        <v>16953595967</v>
      </c>
      <c r="AD378" s="60"/>
      <c r="AE378" s="60"/>
      <c r="AF378" s="60"/>
      <c r="AG378" s="60"/>
      <c r="AH378" s="60">
        <v>4247282579</v>
      </c>
      <c r="AI378" s="60">
        <v>413566658</v>
      </c>
      <c r="AJ378" s="60">
        <v>321459104</v>
      </c>
      <c r="AK378" s="60">
        <v>809571310</v>
      </c>
      <c r="AL378" s="60"/>
      <c r="AM378" s="60">
        <v>1249566905</v>
      </c>
      <c r="AN378" s="60">
        <f>SUBTOTAL(9,AC378:AM378)</f>
        <v>23995042523</v>
      </c>
      <c r="AO378" s="60"/>
      <c r="AP378" s="60"/>
      <c r="AQ378" s="60">
        <v>722336125</v>
      </c>
      <c r="AR378" s="60"/>
      <c r="AS378" s="60"/>
      <c r="AT378" s="60">
        <v>4247282579</v>
      </c>
      <c r="AU378" s="60"/>
      <c r="AV378" s="60">
        <v>321459104</v>
      </c>
      <c r="AW378" s="60">
        <v>548407688</v>
      </c>
      <c r="AX378" s="60"/>
      <c r="AY378" s="60"/>
      <c r="AZ378" s="60">
        <v>192786241</v>
      </c>
      <c r="BA378" s="60">
        <f>VLOOKUP(B378,[2]Hoja3!J$3:K$674,2,0)</f>
        <v>892878036</v>
      </c>
      <c r="BB378" s="60"/>
      <c r="BC378" s="61">
        <f t="shared" si="48"/>
        <v>30920192296</v>
      </c>
      <c r="BD378" s="60"/>
      <c r="BE378" s="60"/>
      <c r="BF378" s="60">
        <v>144467225</v>
      </c>
      <c r="BG378" s="60"/>
      <c r="BH378" s="60"/>
      <c r="BI378" s="60">
        <v>4425153898</v>
      </c>
      <c r="BJ378" s="60">
        <v>263607960</v>
      </c>
      <c r="BK378" s="60">
        <v>342528192</v>
      </c>
      <c r="BL378" s="60">
        <v>795855135</v>
      </c>
      <c r="BM378" s="60"/>
      <c r="BN378" s="60"/>
      <c r="BO378" s="60"/>
      <c r="BP378" s="61">
        <v>36891804706</v>
      </c>
      <c r="BQ378" s="61"/>
      <c r="BR378" s="61"/>
      <c r="BS378" s="61">
        <v>144467225</v>
      </c>
      <c r="BT378" s="61"/>
      <c r="BU378" s="61"/>
      <c r="BV378" s="61"/>
      <c r="BW378" s="61">
        <v>4366290141</v>
      </c>
      <c r="BX378" s="61"/>
      <c r="BY378" s="61">
        <v>2010358758</v>
      </c>
      <c r="BZ378" s="61">
        <v>327479794</v>
      </c>
      <c r="CA378" s="61">
        <v>853388859</v>
      </c>
      <c r="CB378" s="61"/>
      <c r="CC378" s="61"/>
      <c r="CD378" s="61"/>
      <c r="CE378" s="61"/>
      <c r="CF378" s="61"/>
      <c r="CG378" s="61">
        <f t="shared" si="49"/>
        <v>44593789483</v>
      </c>
      <c r="CH378" s="62">
        <f>VLOOKUP(B378,[1]RPTNCT049_ConsultaSaldosContabl!I$4:K$7987,3,0)</f>
        <v>42451344542</v>
      </c>
      <c r="CI378" s="62">
        <f t="shared" si="50"/>
        <v>2142444941</v>
      </c>
      <c r="CJ378" s="63">
        <f t="shared" si="51"/>
        <v>44593789483</v>
      </c>
      <c r="CK378" s="64">
        <f t="shared" si="52"/>
        <v>0</v>
      </c>
      <c r="CL378" s="16"/>
      <c r="CM378" s="16"/>
      <c r="CN378" s="16"/>
    </row>
    <row r="379" spans="1:96" ht="15" customHeight="1" x14ac:dyDescent="0.2">
      <c r="A379" s="1">
        <v>8001005191</v>
      </c>
      <c r="B379" s="1">
        <v>800100519</v>
      </c>
      <c r="C379" s="9">
        <v>217576275</v>
      </c>
      <c r="D379" s="10" t="s">
        <v>926</v>
      </c>
      <c r="E379" s="45" t="s">
        <v>1986</v>
      </c>
      <c r="F379" s="21"/>
      <c r="G379" s="59"/>
      <c r="H379" s="21"/>
      <c r="I379" s="59"/>
      <c r="J379" s="21"/>
      <c r="K379" s="21"/>
      <c r="L379" s="59"/>
      <c r="M379" s="60"/>
      <c r="N379" s="21"/>
      <c r="O379" s="59"/>
      <c r="P379" s="21"/>
      <c r="Q379" s="59"/>
      <c r="R379" s="21"/>
      <c r="S379" s="21"/>
      <c r="T379" s="59"/>
      <c r="U379" s="60">
        <f t="shared" si="47"/>
        <v>0</v>
      </c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>
        <v>692403819</v>
      </c>
      <c r="AN379" s="60">
        <f>SUBTOTAL(9,AC379:AM379)</f>
        <v>692403819</v>
      </c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>
        <v>338047235</v>
      </c>
      <c r="AZ379" s="60"/>
      <c r="BA379" s="60">
        <f>VLOOKUP(B379,[2]Hoja3!J$3:K$674,2,0)</f>
        <v>79708514</v>
      </c>
      <c r="BB379" s="60"/>
      <c r="BC379" s="61">
        <f t="shared" si="48"/>
        <v>1110159568</v>
      </c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>
        <v>67609447</v>
      </c>
      <c r="BO379" s="60"/>
      <c r="BP379" s="61">
        <v>1177769015</v>
      </c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>
        <v>67609447</v>
      </c>
      <c r="CD379" s="61"/>
      <c r="CE379" s="61"/>
      <c r="CF379" s="61"/>
      <c r="CG379" s="61">
        <f t="shared" si="49"/>
        <v>1245378462</v>
      </c>
      <c r="CH379" s="62">
        <f>VLOOKUP(B379,[1]RPTNCT049_ConsultaSaldosContabl!I$4:K$7987,3,0)</f>
        <v>473266129</v>
      </c>
      <c r="CI379" s="62">
        <f t="shared" si="50"/>
        <v>772112333</v>
      </c>
      <c r="CJ379" s="63">
        <f t="shared" si="51"/>
        <v>1245378462</v>
      </c>
      <c r="CK379" s="64">
        <f t="shared" si="52"/>
        <v>0</v>
      </c>
      <c r="CL379" s="16"/>
      <c r="CM379" s="16"/>
      <c r="CN379" s="16"/>
    </row>
    <row r="380" spans="1:96" ht="15" customHeight="1" x14ac:dyDescent="0.2">
      <c r="A380" s="1">
        <v>8999993645</v>
      </c>
      <c r="B380" s="1">
        <v>899999364</v>
      </c>
      <c r="C380" s="9">
        <v>217925279</v>
      </c>
      <c r="D380" s="10" t="s">
        <v>485</v>
      </c>
      <c r="E380" s="45" t="s">
        <v>1512</v>
      </c>
      <c r="F380" s="21"/>
      <c r="G380" s="59"/>
      <c r="H380" s="21"/>
      <c r="I380" s="59"/>
      <c r="J380" s="21"/>
      <c r="K380" s="21"/>
      <c r="L380" s="59"/>
      <c r="M380" s="60"/>
      <c r="N380" s="21"/>
      <c r="O380" s="59"/>
      <c r="P380" s="21"/>
      <c r="Q380" s="59"/>
      <c r="R380" s="21"/>
      <c r="S380" s="21"/>
      <c r="T380" s="59"/>
      <c r="U380" s="60">
        <f t="shared" si="47"/>
        <v>0</v>
      </c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>
        <v>163759537</v>
      </c>
      <c r="AN380" s="60">
        <f>SUBTOTAL(9,AC380:AM380)</f>
        <v>163759537</v>
      </c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>
        <v>72427545</v>
      </c>
      <c r="AZ380" s="60"/>
      <c r="BA380" s="60"/>
      <c r="BB380" s="60"/>
      <c r="BC380" s="61">
        <f t="shared" si="48"/>
        <v>236187082</v>
      </c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>
        <v>14485509</v>
      </c>
      <c r="BO380" s="60"/>
      <c r="BP380" s="61">
        <v>250672591</v>
      </c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>
        <v>14485509</v>
      </c>
      <c r="CD380" s="61"/>
      <c r="CE380" s="61"/>
      <c r="CF380" s="61"/>
      <c r="CG380" s="61">
        <f t="shared" si="49"/>
        <v>265158100</v>
      </c>
      <c r="CH380" s="62">
        <f>VLOOKUP(B380,[1]RPTNCT049_ConsultaSaldosContabl!I$4:K$7987,3,0)</f>
        <v>101398563</v>
      </c>
      <c r="CI380" s="62">
        <f t="shared" si="50"/>
        <v>163759537</v>
      </c>
      <c r="CJ380" s="63">
        <f t="shared" si="51"/>
        <v>265158100</v>
      </c>
      <c r="CK380" s="64">
        <f t="shared" si="52"/>
        <v>0</v>
      </c>
      <c r="CL380" s="16"/>
      <c r="CM380" s="16"/>
      <c r="CN380" s="16"/>
    </row>
    <row r="381" spans="1:96" ht="15" customHeight="1" x14ac:dyDescent="0.2">
      <c r="A381" s="1">
        <v>8921700083</v>
      </c>
      <c r="B381" s="1">
        <v>892170008</v>
      </c>
      <c r="C381" s="9">
        <v>217944279</v>
      </c>
      <c r="D381" s="10" t="s">
        <v>635</v>
      </c>
      <c r="E381" s="45" t="s">
        <v>1653</v>
      </c>
      <c r="F381" s="21"/>
      <c r="G381" s="59"/>
      <c r="H381" s="21"/>
      <c r="I381" s="59"/>
      <c r="J381" s="21"/>
      <c r="K381" s="21"/>
      <c r="L381" s="59"/>
      <c r="M381" s="60"/>
      <c r="N381" s="21"/>
      <c r="O381" s="59"/>
      <c r="P381" s="21"/>
      <c r="Q381" s="59"/>
      <c r="R381" s="21"/>
      <c r="S381" s="21"/>
      <c r="T381" s="59"/>
      <c r="U381" s="60">
        <f t="shared" si="47"/>
        <v>0</v>
      </c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>
        <v>628905388</v>
      </c>
      <c r="AN381" s="60">
        <f>SUBTOTAL(9,AC381:AM381)</f>
        <v>628905388</v>
      </c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1">
        <f t="shared" si="48"/>
        <v>628905388</v>
      </c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>
        <v>0</v>
      </c>
      <c r="BO381" s="60"/>
      <c r="BP381" s="61">
        <v>628905388</v>
      </c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>
        <v>0</v>
      </c>
      <c r="CD381" s="61"/>
      <c r="CE381" s="61">
        <v>28033226</v>
      </c>
      <c r="CF381" s="61"/>
      <c r="CG381" s="61">
        <f t="shared" si="49"/>
        <v>656938614</v>
      </c>
      <c r="CH381" s="62"/>
      <c r="CI381" s="62">
        <f t="shared" si="50"/>
        <v>656938614</v>
      </c>
      <c r="CJ381" s="63">
        <f t="shared" si="51"/>
        <v>656938614</v>
      </c>
      <c r="CK381" s="64">
        <f t="shared" si="52"/>
        <v>0</v>
      </c>
      <c r="CL381" s="16"/>
      <c r="CM381" s="16"/>
      <c r="CN381" s="16"/>
    </row>
    <row r="382" spans="1:96" ht="15" customHeight="1" x14ac:dyDescent="0.2">
      <c r="A382" s="1">
        <v>8001360694</v>
      </c>
      <c r="B382" s="1">
        <v>800136069</v>
      </c>
      <c r="C382" s="9">
        <v>210081300</v>
      </c>
      <c r="D382" s="10" t="s">
        <v>951</v>
      </c>
      <c r="E382" s="45" t="s">
        <v>2011</v>
      </c>
      <c r="F382" s="21"/>
      <c r="G382" s="59"/>
      <c r="H382" s="21"/>
      <c r="I382" s="59"/>
      <c r="J382" s="21"/>
      <c r="K382" s="21"/>
      <c r="L382" s="59"/>
      <c r="M382" s="60"/>
      <c r="N382" s="21"/>
      <c r="O382" s="59"/>
      <c r="P382" s="21"/>
      <c r="Q382" s="59"/>
      <c r="R382" s="21"/>
      <c r="S382" s="21"/>
      <c r="T382" s="59"/>
      <c r="U382" s="60">
        <f t="shared" si="47"/>
        <v>0</v>
      </c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>
        <v>348459835</v>
      </c>
      <c r="AZ382" s="60"/>
      <c r="BA382" s="60">
        <f>VLOOKUP(B382,[2]Hoja3!J$3:K$674,2,0)</f>
        <v>351771836</v>
      </c>
      <c r="BB382" s="60"/>
      <c r="BC382" s="61">
        <f t="shared" si="48"/>
        <v>700231671</v>
      </c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>
        <v>69691967</v>
      </c>
      <c r="BO382" s="60"/>
      <c r="BP382" s="61">
        <v>769923638</v>
      </c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>
        <v>69691967</v>
      </c>
      <c r="CD382" s="61"/>
      <c r="CE382" s="61"/>
      <c r="CF382" s="61"/>
      <c r="CG382" s="61">
        <f t="shared" si="49"/>
        <v>839615605</v>
      </c>
      <c r="CH382" s="62">
        <f>VLOOKUP(B382,[1]RPTNCT049_ConsultaSaldosContabl!I$4:K$7987,3,0)</f>
        <v>487843769</v>
      </c>
      <c r="CI382" s="62">
        <f t="shared" si="50"/>
        <v>351771836</v>
      </c>
      <c r="CJ382" s="63">
        <f t="shared" si="51"/>
        <v>839615605</v>
      </c>
      <c r="CK382" s="64">
        <f t="shared" si="52"/>
        <v>0</v>
      </c>
      <c r="CL382" s="16"/>
      <c r="CM382" s="16"/>
      <c r="CN382" s="16"/>
    </row>
    <row r="383" spans="1:96" ht="15" customHeight="1" x14ac:dyDescent="0.2">
      <c r="A383" s="1">
        <v>8999994201</v>
      </c>
      <c r="B383" s="1">
        <v>899999420</v>
      </c>
      <c r="C383" s="9">
        <v>218125281</v>
      </c>
      <c r="D383" s="10" t="s">
        <v>486</v>
      </c>
      <c r="E383" s="45" t="s">
        <v>1513</v>
      </c>
      <c r="F383" s="21"/>
      <c r="G383" s="59"/>
      <c r="H383" s="21"/>
      <c r="I383" s="59"/>
      <c r="J383" s="21"/>
      <c r="K383" s="21"/>
      <c r="L383" s="59"/>
      <c r="M383" s="60"/>
      <c r="N383" s="21"/>
      <c r="O383" s="59"/>
      <c r="P383" s="21"/>
      <c r="Q383" s="59"/>
      <c r="R383" s="21"/>
      <c r="S383" s="21"/>
      <c r="T383" s="59"/>
      <c r="U383" s="60">
        <f t="shared" si="47"/>
        <v>0</v>
      </c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>
        <v>116856050</v>
      </c>
      <c r="AN383" s="60">
        <f>SUBTOTAL(9,AC383:AM383)</f>
        <v>116856050</v>
      </c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1">
        <f t="shared" si="48"/>
        <v>116856050</v>
      </c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>
        <v>0</v>
      </c>
      <c r="BO383" s="60"/>
      <c r="BP383" s="61">
        <v>116856050</v>
      </c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>
        <v>56405293</v>
      </c>
      <c r="CD383" s="61"/>
      <c r="CE383" s="61"/>
      <c r="CF383" s="61"/>
      <c r="CG383" s="61">
        <f t="shared" si="49"/>
        <v>173261343</v>
      </c>
      <c r="CH383" s="62">
        <f>VLOOKUP(B383,[1]RPTNCT049_ConsultaSaldosContabl!I$4:K$7987,3,0)</f>
        <v>56405293</v>
      </c>
      <c r="CI383" s="62">
        <f t="shared" si="50"/>
        <v>116856050</v>
      </c>
      <c r="CJ383" s="63">
        <f t="shared" si="51"/>
        <v>173261343</v>
      </c>
      <c r="CK383" s="64">
        <f t="shared" si="52"/>
        <v>0</v>
      </c>
      <c r="CL383" s="16"/>
      <c r="CM383" s="16"/>
      <c r="CN383" s="16"/>
    </row>
    <row r="384" spans="1:96" ht="15" customHeight="1" x14ac:dyDescent="0.2">
      <c r="A384" s="1">
        <v>8000990853</v>
      </c>
      <c r="B384" s="1">
        <v>800099085</v>
      </c>
      <c r="C384" s="9">
        <v>212052520</v>
      </c>
      <c r="D384" s="10" t="s">
        <v>730</v>
      </c>
      <c r="E384" s="45" t="s">
        <v>1752</v>
      </c>
      <c r="F384" s="21"/>
      <c r="G384" s="59"/>
      <c r="H384" s="21"/>
      <c r="I384" s="59"/>
      <c r="J384" s="21"/>
      <c r="K384" s="21"/>
      <c r="L384" s="59"/>
      <c r="M384" s="60"/>
      <c r="N384" s="21"/>
      <c r="O384" s="59"/>
      <c r="P384" s="21"/>
      <c r="Q384" s="59"/>
      <c r="R384" s="21"/>
      <c r="S384" s="21"/>
      <c r="T384" s="59"/>
      <c r="U384" s="60">
        <f t="shared" si="47"/>
        <v>0</v>
      </c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>
        <v>114509850</v>
      </c>
      <c r="AZ384" s="60"/>
      <c r="BA384" s="60">
        <f>VLOOKUP(B384,[2]Hoja3!J$3:K$674,2,0)</f>
        <v>118256632</v>
      </c>
      <c r="BB384" s="60"/>
      <c r="BC384" s="61">
        <f t="shared" si="48"/>
        <v>232766482</v>
      </c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>
        <v>22901970</v>
      </c>
      <c r="BO384" s="60"/>
      <c r="BP384" s="61">
        <v>255668452</v>
      </c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>
        <v>22901970</v>
      </c>
      <c r="CD384" s="61"/>
      <c r="CE384" s="61"/>
      <c r="CF384" s="61"/>
      <c r="CG384" s="61">
        <f t="shared" si="49"/>
        <v>278570422</v>
      </c>
      <c r="CH384" s="62">
        <f>VLOOKUP(B384,[1]RPTNCT049_ConsultaSaldosContabl!I$4:K$7987,3,0)</f>
        <v>160313790</v>
      </c>
      <c r="CI384" s="62">
        <f t="shared" si="50"/>
        <v>118256632</v>
      </c>
      <c r="CJ384" s="63">
        <f t="shared" si="51"/>
        <v>278570422</v>
      </c>
      <c r="CK384" s="64">
        <f t="shared" si="52"/>
        <v>0</v>
      </c>
      <c r="CL384" s="16"/>
      <c r="CM384" s="16"/>
      <c r="CN384" s="16"/>
    </row>
    <row r="385" spans="1:96" ht="15" customHeight="1" x14ac:dyDescent="0.2">
      <c r="A385" s="1">
        <v>8909808481</v>
      </c>
      <c r="B385" s="1">
        <v>890980848</v>
      </c>
      <c r="C385" s="9">
        <v>218205282</v>
      </c>
      <c r="D385" s="10" t="s">
        <v>87</v>
      </c>
      <c r="E385" s="45" t="s">
        <v>1118</v>
      </c>
      <c r="F385" s="21"/>
      <c r="G385" s="59"/>
      <c r="H385" s="21"/>
      <c r="I385" s="59"/>
      <c r="J385" s="21"/>
      <c r="K385" s="21"/>
      <c r="L385" s="59"/>
      <c r="M385" s="60"/>
      <c r="N385" s="21"/>
      <c r="O385" s="59"/>
      <c r="P385" s="21"/>
      <c r="Q385" s="59"/>
      <c r="R385" s="21"/>
      <c r="S385" s="21"/>
      <c r="T385" s="59"/>
      <c r="U385" s="60">
        <f t="shared" si="47"/>
        <v>0</v>
      </c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>
        <v>265313232</v>
      </c>
      <c r="AN385" s="60">
        <f>SUBTOTAL(9,AC385:AM385)</f>
        <v>265313232</v>
      </c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1">
        <f t="shared" si="48"/>
        <v>265313232</v>
      </c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>
        <v>0</v>
      </c>
      <c r="BO385" s="60"/>
      <c r="BP385" s="61">
        <v>265313232</v>
      </c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>
        <v>0</v>
      </c>
      <c r="CD385" s="61"/>
      <c r="CE385" s="61"/>
      <c r="CF385" s="61"/>
      <c r="CG385" s="61">
        <f t="shared" si="49"/>
        <v>265313232</v>
      </c>
      <c r="CH385" s="62"/>
      <c r="CI385" s="62">
        <f t="shared" si="50"/>
        <v>265313232</v>
      </c>
      <c r="CJ385" s="63">
        <f t="shared" si="51"/>
        <v>265313232</v>
      </c>
      <c r="CK385" s="64">
        <f t="shared" si="52"/>
        <v>0</v>
      </c>
      <c r="CL385" s="16"/>
      <c r="CM385" s="16"/>
      <c r="CN385" s="16"/>
    </row>
    <row r="386" spans="1:96" ht="15" customHeight="1" x14ac:dyDescent="0.2">
      <c r="A386" s="1">
        <v>8001000563</v>
      </c>
      <c r="B386" s="1">
        <v>800100056</v>
      </c>
      <c r="C386" s="9">
        <v>218373283</v>
      </c>
      <c r="D386" s="10" t="s">
        <v>2218</v>
      </c>
      <c r="E386" s="45" t="s">
        <v>1944</v>
      </c>
      <c r="F386" s="21"/>
      <c r="G386" s="59"/>
      <c r="H386" s="21"/>
      <c r="I386" s="59"/>
      <c r="J386" s="21"/>
      <c r="K386" s="21"/>
      <c r="L386" s="59"/>
      <c r="M386" s="60"/>
      <c r="N386" s="21"/>
      <c r="O386" s="59"/>
      <c r="P386" s="21"/>
      <c r="Q386" s="59"/>
      <c r="R386" s="21"/>
      <c r="S386" s="21"/>
      <c r="T386" s="59"/>
      <c r="U386" s="60">
        <f t="shared" si="47"/>
        <v>0</v>
      </c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>
        <v>507095759</v>
      </c>
      <c r="AN386" s="60">
        <f>SUBTOTAL(9,AC386:AM386)</f>
        <v>507095759</v>
      </c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1">
        <f t="shared" si="48"/>
        <v>507095759</v>
      </c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>
        <v>0</v>
      </c>
      <c r="BO386" s="60"/>
      <c r="BP386" s="61">
        <v>507095759</v>
      </c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>
        <v>0</v>
      </c>
      <c r="CD386" s="61"/>
      <c r="CE386" s="61"/>
      <c r="CF386" s="61"/>
      <c r="CG386" s="61">
        <f t="shared" si="49"/>
        <v>507095759</v>
      </c>
      <c r="CH386" s="62"/>
      <c r="CI386" s="62">
        <f t="shared" si="50"/>
        <v>507095759</v>
      </c>
      <c r="CJ386" s="63">
        <f t="shared" si="51"/>
        <v>507095759</v>
      </c>
      <c r="CK386" s="64">
        <f t="shared" si="52"/>
        <v>0</v>
      </c>
      <c r="CL386" s="16"/>
      <c r="CM386" s="16"/>
      <c r="CN386" s="16"/>
    </row>
    <row r="387" spans="1:96" ht="15" customHeight="1" x14ac:dyDescent="0.2">
      <c r="A387" s="1">
        <v>8909837068</v>
      </c>
      <c r="B387" s="1">
        <v>890983706</v>
      </c>
      <c r="C387" s="9">
        <v>218405284</v>
      </c>
      <c r="D387" s="10" t="s">
        <v>88</v>
      </c>
      <c r="E387" s="45" t="s">
        <v>1119</v>
      </c>
      <c r="F387" s="21"/>
      <c r="G387" s="59"/>
      <c r="H387" s="21"/>
      <c r="I387" s="59"/>
      <c r="J387" s="21"/>
      <c r="K387" s="21"/>
      <c r="L387" s="59"/>
      <c r="M387" s="60"/>
      <c r="N387" s="21"/>
      <c r="O387" s="59"/>
      <c r="P387" s="21"/>
      <c r="Q387" s="59"/>
      <c r="R387" s="21"/>
      <c r="S387" s="21"/>
      <c r="T387" s="59"/>
      <c r="U387" s="60">
        <f t="shared" ref="U387:U450" si="56">SUM(M387:T387)</f>
        <v>0</v>
      </c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>
        <v>251695784</v>
      </c>
      <c r="AN387" s="60">
        <f>SUBTOTAL(9,AC387:AM387)</f>
        <v>251695784</v>
      </c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>
        <v>195193590</v>
      </c>
      <c r="AZ387" s="60"/>
      <c r="BA387" s="60">
        <f>VLOOKUP(B387,[2]Hoja3!J$3:K$674,2,0)</f>
        <v>41002011</v>
      </c>
      <c r="BB387" s="60">
        <f>VLOOKUP(B387,'[3]anuladas en mayo gratuidad}'!K$2:L$55,2,0)</f>
        <v>57303217</v>
      </c>
      <c r="BC387" s="61">
        <f t="shared" si="48"/>
        <v>430588168</v>
      </c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>
        <v>39038718</v>
      </c>
      <c r="BO387" s="60"/>
      <c r="BP387" s="61">
        <v>469626886</v>
      </c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>
        <v>39038718</v>
      </c>
      <c r="CD387" s="61"/>
      <c r="CE387" s="61">
        <v>57340008</v>
      </c>
      <c r="CF387" s="61"/>
      <c r="CG387" s="61">
        <f t="shared" si="49"/>
        <v>566005612</v>
      </c>
      <c r="CH387" s="62">
        <f>VLOOKUP(B387,[1]RPTNCT049_ConsultaSaldosContabl!I$4:K$7987,3,0)</f>
        <v>273271026</v>
      </c>
      <c r="CI387" s="62">
        <f t="shared" si="50"/>
        <v>292734586</v>
      </c>
      <c r="CJ387" s="63">
        <f t="shared" si="51"/>
        <v>566005612</v>
      </c>
      <c r="CK387" s="64">
        <f t="shared" si="52"/>
        <v>0</v>
      </c>
      <c r="CL387" s="16"/>
      <c r="CM387" s="16"/>
      <c r="CN387" s="16"/>
    </row>
    <row r="388" spans="1:96" ht="15" customHeight="1" x14ac:dyDescent="0.2">
      <c r="A388" s="1">
        <v>8920991831</v>
      </c>
      <c r="B388" s="1">
        <v>892099183</v>
      </c>
      <c r="C388" s="9">
        <v>218750287</v>
      </c>
      <c r="D388" s="10" t="s">
        <v>674</v>
      </c>
      <c r="E388" s="45" t="s">
        <v>1695</v>
      </c>
      <c r="F388" s="21"/>
      <c r="G388" s="59"/>
      <c r="H388" s="21"/>
      <c r="I388" s="59"/>
      <c r="J388" s="21"/>
      <c r="K388" s="21"/>
      <c r="L388" s="59"/>
      <c r="M388" s="60"/>
      <c r="N388" s="21"/>
      <c r="O388" s="59"/>
      <c r="P388" s="21"/>
      <c r="Q388" s="59"/>
      <c r="R388" s="21"/>
      <c r="S388" s="21"/>
      <c r="T388" s="59"/>
      <c r="U388" s="60">
        <f t="shared" si="56"/>
        <v>0</v>
      </c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>
        <v>82014935</v>
      </c>
      <c r="AZ388" s="60"/>
      <c r="BA388" s="60">
        <f>VLOOKUP(B388,[2]Hoja3!J$3:K$674,2,0)</f>
        <v>215050391</v>
      </c>
      <c r="BB388" s="60"/>
      <c r="BC388" s="61">
        <f t="shared" ref="BC388:BC451" si="57">SUM(AN388:BA388)-BB388</f>
        <v>297065326</v>
      </c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>
        <v>16402987</v>
      </c>
      <c r="BO388" s="60"/>
      <c r="BP388" s="61">
        <v>313468313</v>
      </c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>
        <v>16402987</v>
      </c>
      <c r="CD388" s="61"/>
      <c r="CE388" s="61"/>
      <c r="CF388" s="61"/>
      <c r="CG388" s="61">
        <f t="shared" ref="CG388:CG451" si="58">SUM(BP388:CF388)</f>
        <v>329871300</v>
      </c>
      <c r="CH388" s="62">
        <f>VLOOKUP(B388,[1]RPTNCT049_ConsultaSaldosContabl!I$4:K$7987,3,0)</f>
        <v>114820909</v>
      </c>
      <c r="CI388" s="62">
        <f t="shared" ref="CI388:CI451" si="59">+AM388+BA388-BB388+BO388+CE388+CF388</f>
        <v>215050391</v>
      </c>
      <c r="CJ388" s="63">
        <f t="shared" ref="CJ388:CJ451" si="60">+CH388+CI388</f>
        <v>329871300</v>
      </c>
      <c r="CK388" s="64">
        <f t="shared" ref="CK388:CK451" si="61">+CG388-CJ388</f>
        <v>0</v>
      </c>
      <c r="CL388" s="16"/>
      <c r="CM388" s="16"/>
      <c r="CN388" s="16"/>
    </row>
    <row r="389" spans="1:96" ht="15" customHeight="1" x14ac:dyDescent="0.2">
      <c r="A389" s="1">
        <v>8917800451</v>
      </c>
      <c r="B389" s="1">
        <v>891780045</v>
      </c>
      <c r="C389" s="9">
        <v>218847288</v>
      </c>
      <c r="D389" s="10" t="s">
        <v>648</v>
      </c>
      <c r="E389" s="45" t="s">
        <v>1667</v>
      </c>
      <c r="F389" s="21"/>
      <c r="G389" s="59"/>
      <c r="H389" s="21"/>
      <c r="I389" s="59"/>
      <c r="J389" s="21"/>
      <c r="K389" s="21"/>
      <c r="L389" s="59"/>
      <c r="M389" s="60"/>
      <c r="N389" s="21"/>
      <c r="O389" s="59"/>
      <c r="P389" s="21"/>
      <c r="Q389" s="59"/>
      <c r="R389" s="21"/>
      <c r="S389" s="21"/>
      <c r="T389" s="59"/>
      <c r="U389" s="60">
        <f t="shared" si="56"/>
        <v>0</v>
      </c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>
        <v>1046400396</v>
      </c>
      <c r="AN389" s="60">
        <f t="shared" ref="AN389:AN394" si="62">SUBTOTAL(9,AC389:AM389)</f>
        <v>1046400396</v>
      </c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>
        <v>563538720</v>
      </c>
      <c r="AZ389" s="60"/>
      <c r="BA389" s="60">
        <f>VLOOKUP(B389,[2]Hoja3!J$3:K$674,2,0)</f>
        <v>244218764</v>
      </c>
      <c r="BB389" s="60">
        <f>VLOOKUP(B389,'[3]anuladas en mayo gratuidad}'!K$2:L$55,2,0)</f>
        <v>183902248</v>
      </c>
      <c r="BC389" s="61">
        <f t="shared" si="57"/>
        <v>1670255632</v>
      </c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>
        <v>112707744</v>
      </c>
      <c r="BO389" s="60">
        <v>86035754</v>
      </c>
      <c r="BP389" s="61">
        <v>1868999130</v>
      </c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>
        <v>112707744</v>
      </c>
      <c r="CD389" s="61"/>
      <c r="CE389" s="61"/>
      <c r="CF389" s="61"/>
      <c r="CG389" s="61">
        <f t="shared" si="58"/>
        <v>1981706874</v>
      </c>
      <c r="CH389" s="62">
        <f>VLOOKUP(B389,[1]RPTNCT049_ConsultaSaldosContabl!I$4:K$7987,3,0)</f>
        <v>788954208</v>
      </c>
      <c r="CI389" s="62">
        <f t="shared" si="59"/>
        <v>1192752666</v>
      </c>
      <c r="CJ389" s="63">
        <f t="shared" si="60"/>
        <v>1981706874</v>
      </c>
      <c r="CK389" s="64">
        <f t="shared" si="61"/>
        <v>0</v>
      </c>
      <c r="CL389" s="16"/>
      <c r="CM389" s="16"/>
      <c r="CN389" s="16"/>
    </row>
    <row r="390" spans="1:96" ht="15" customHeight="1" x14ac:dyDescent="0.2">
      <c r="A390" s="1">
        <v>8000990892</v>
      </c>
      <c r="B390" s="1">
        <v>800099089</v>
      </c>
      <c r="C390" s="9">
        <v>218752287</v>
      </c>
      <c r="D390" s="10" t="s">
        <v>710</v>
      </c>
      <c r="E390" s="45" t="s">
        <v>1733</v>
      </c>
      <c r="F390" s="21"/>
      <c r="G390" s="59"/>
      <c r="H390" s="21"/>
      <c r="I390" s="59"/>
      <c r="J390" s="21"/>
      <c r="K390" s="21"/>
      <c r="L390" s="59"/>
      <c r="M390" s="60"/>
      <c r="N390" s="21"/>
      <c r="O390" s="59"/>
      <c r="P390" s="21"/>
      <c r="Q390" s="59"/>
      <c r="R390" s="21"/>
      <c r="S390" s="21"/>
      <c r="T390" s="59"/>
      <c r="U390" s="60">
        <f t="shared" si="56"/>
        <v>0</v>
      </c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>
        <v>17936589</v>
      </c>
      <c r="AN390" s="60">
        <f t="shared" si="62"/>
        <v>17936589</v>
      </c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>
        <f>VLOOKUP(B390,[2]Hoja3!J$3:K$674,2,0)</f>
        <v>65723652</v>
      </c>
      <c r="BB390" s="60"/>
      <c r="BC390" s="61">
        <f t="shared" si="57"/>
        <v>83660241</v>
      </c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>
        <v>0</v>
      </c>
      <c r="BO390" s="60"/>
      <c r="BP390" s="61">
        <v>83660241</v>
      </c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>
        <v>0</v>
      </c>
      <c r="CD390" s="61"/>
      <c r="CE390" s="61"/>
      <c r="CF390" s="61"/>
      <c r="CG390" s="61">
        <f t="shared" si="58"/>
        <v>83660241</v>
      </c>
      <c r="CH390" s="62"/>
      <c r="CI390" s="62">
        <f t="shared" si="59"/>
        <v>83660241</v>
      </c>
      <c r="CJ390" s="63">
        <f t="shared" si="60"/>
        <v>83660241</v>
      </c>
      <c r="CK390" s="64">
        <f t="shared" si="61"/>
        <v>0</v>
      </c>
      <c r="CL390" s="16"/>
      <c r="CM390" s="16"/>
      <c r="CN390" s="16"/>
    </row>
    <row r="391" spans="1:96" ht="15" customHeight="1" x14ac:dyDescent="0.2">
      <c r="A391" s="1">
        <v>8999994335</v>
      </c>
      <c r="B391" s="1">
        <v>899999433</v>
      </c>
      <c r="C391" s="9">
        <v>218625286</v>
      </c>
      <c r="D391" s="10" t="s">
        <v>487</v>
      </c>
      <c r="E391" s="45" t="s">
        <v>1514</v>
      </c>
      <c r="F391" s="21"/>
      <c r="G391" s="59"/>
      <c r="H391" s="21"/>
      <c r="I391" s="59"/>
      <c r="J391" s="21"/>
      <c r="K391" s="21"/>
      <c r="L391" s="59"/>
      <c r="M391" s="60"/>
      <c r="N391" s="21"/>
      <c r="O391" s="59"/>
      <c r="P391" s="21"/>
      <c r="Q391" s="59"/>
      <c r="R391" s="21"/>
      <c r="S391" s="21"/>
      <c r="T391" s="59"/>
      <c r="U391" s="60">
        <f t="shared" si="56"/>
        <v>0</v>
      </c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>
        <v>743838988</v>
      </c>
      <c r="AN391" s="60">
        <f t="shared" si="62"/>
        <v>743838988</v>
      </c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1">
        <f t="shared" si="57"/>
        <v>743838988</v>
      </c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>
        <v>0</v>
      </c>
      <c r="BO391" s="60"/>
      <c r="BP391" s="61">
        <v>743838988</v>
      </c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>
        <v>364446026</v>
      </c>
      <c r="CD391" s="61"/>
      <c r="CE391" s="61"/>
      <c r="CF391" s="61"/>
      <c r="CG391" s="61">
        <f t="shared" si="58"/>
        <v>1108285014</v>
      </c>
      <c r="CH391" s="62">
        <f>VLOOKUP(B391,[1]RPTNCT049_ConsultaSaldosContabl!I$4:K$7987,3,0)</f>
        <v>364446026</v>
      </c>
      <c r="CI391" s="62">
        <f t="shared" si="59"/>
        <v>743838988</v>
      </c>
      <c r="CJ391" s="63">
        <f t="shared" si="60"/>
        <v>1108285014</v>
      </c>
      <c r="CK391" s="64">
        <f t="shared" si="61"/>
        <v>0</v>
      </c>
      <c r="CL391" s="16"/>
      <c r="CM391" s="16"/>
      <c r="CN391" s="16"/>
    </row>
    <row r="392" spans="1:96" ht="15" customHeight="1" x14ac:dyDescent="0.2">
      <c r="A392" s="1">
        <v>8999993233</v>
      </c>
      <c r="B392" s="1">
        <v>899999323</v>
      </c>
      <c r="C392" s="9">
        <v>218825288</v>
      </c>
      <c r="D392" s="10" t="s">
        <v>488</v>
      </c>
      <c r="E392" s="45" t="s">
        <v>1515</v>
      </c>
      <c r="F392" s="21"/>
      <c r="G392" s="59"/>
      <c r="H392" s="21"/>
      <c r="I392" s="59"/>
      <c r="J392" s="21"/>
      <c r="K392" s="21"/>
      <c r="L392" s="59"/>
      <c r="M392" s="60"/>
      <c r="N392" s="21"/>
      <c r="O392" s="59"/>
      <c r="P392" s="21"/>
      <c r="Q392" s="59"/>
      <c r="R392" s="21"/>
      <c r="S392" s="21"/>
      <c r="T392" s="59"/>
      <c r="U392" s="60">
        <f t="shared" si="56"/>
        <v>0</v>
      </c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>
        <v>98347353</v>
      </c>
      <c r="AN392" s="60">
        <f t="shared" si="62"/>
        <v>98347353</v>
      </c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>
        <f>VLOOKUP(B392,[2]Hoja3!J$3:K$674,2,0)</f>
        <v>29132340</v>
      </c>
      <c r="BB392" s="60"/>
      <c r="BC392" s="61">
        <f t="shared" si="57"/>
        <v>127479693</v>
      </c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>
        <v>0</v>
      </c>
      <c r="BO392" s="60"/>
      <c r="BP392" s="61">
        <v>127479693</v>
      </c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>
        <v>0</v>
      </c>
      <c r="CD392" s="61"/>
      <c r="CE392" s="61"/>
      <c r="CF392" s="61"/>
      <c r="CG392" s="61">
        <f t="shared" si="58"/>
        <v>127479693</v>
      </c>
      <c r="CH392" s="62"/>
      <c r="CI392" s="62">
        <f t="shared" si="59"/>
        <v>127479693</v>
      </c>
      <c r="CJ392" s="63">
        <f t="shared" si="60"/>
        <v>127479693</v>
      </c>
      <c r="CK392" s="64">
        <f t="shared" si="61"/>
        <v>0</v>
      </c>
      <c r="CL392" s="16"/>
      <c r="CM392" s="16"/>
      <c r="CN392" s="16"/>
    </row>
    <row r="393" spans="1:96" ht="15" customHeight="1" x14ac:dyDescent="0.2">
      <c r="A393" s="1">
        <v>8000946717</v>
      </c>
      <c r="B393" s="1">
        <v>800094671</v>
      </c>
      <c r="C393" s="9">
        <v>219325293</v>
      </c>
      <c r="D393" s="10" t="s">
        <v>489</v>
      </c>
      <c r="E393" s="45" t="s">
        <v>1516</v>
      </c>
      <c r="F393" s="21"/>
      <c r="G393" s="59"/>
      <c r="H393" s="21"/>
      <c r="I393" s="59"/>
      <c r="J393" s="21"/>
      <c r="K393" s="21"/>
      <c r="L393" s="59"/>
      <c r="M393" s="60"/>
      <c r="N393" s="21"/>
      <c r="O393" s="59"/>
      <c r="P393" s="21"/>
      <c r="Q393" s="59"/>
      <c r="R393" s="21"/>
      <c r="S393" s="21"/>
      <c r="T393" s="59"/>
      <c r="U393" s="60">
        <f t="shared" si="56"/>
        <v>0</v>
      </c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>
        <v>67163446</v>
      </c>
      <c r="AN393" s="60">
        <f t="shared" si="62"/>
        <v>67163446</v>
      </c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1">
        <f t="shared" si="57"/>
        <v>67163446</v>
      </c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>
        <v>0</v>
      </c>
      <c r="BO393" s="60"/>
      <c r="BP393" s="61">
        <v>67163446</v>
      </c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>
        <v>0</v>
      </c>
      <c r="CD393" s="61"/>
      <c r="CE393" s="61"/>
      <c r="CF393" s="61"/>
      <c r="CG393" s="61">
        <f t="shared" si="58"/>
        <v>67163446</v>
      </c>
      <c r="CH393" s="62"/>
      <c r="CI393" s="62">
        <f t="shared" si="59"/>
        <v>67163446</v>
      </c>
      <c r="CJ393" s="63">
        <f t="shared" si="60"/>
        <v>67163446</v>
      </c>
      <c r="CK393" s="64">
        <f t="shared" si="61"/>
        <v>0</v>
      </c>
      <c r="CL393" s="16"/>
      <c r="CM393" s="16"/>
      <c r="CN393" s="16"/>
    </row>
    <row r="394" spans="1:96" ht="15" customHeight="1" x14ac:dyDescent="0.2">
      <c r="A394" s="1">
        <v>8999994191</v>
      </c>
      <c r="B394" s="1">
        <v>899999419</v>
      </c>
      <c r="C394" s="9">
        <v>219525295</v>
      </c>
      <c r="D394" s="10" t="s">
        <v>490</v>
      </c>
      <c r="E394" s="45" t="s">
        <v>1517</v>
      </c>
      <c r="F394" s="21"/>
      <c r="G394" s="59"/>
      <c r="H394" s="21"/>
      <c r="I394" s="59"/>
      <c r="J394" s="21"/>
      <c r="K394" s="21"/>
      <c r="L394" s="59"/>
      <c r="M394" s="60"/>
      <c r="N394" s="21"/>
      <c r="O394" s="59"/>
      <c r="P394" s="21"/>
      <c r="Q394" s="59"/>
      <c r="R394" s="21"/>
      <c r="S394" s="21"/>
      <c r="T394" s="59"/>
      <c r="U394" s="60">
        <f t="shared" si="56"/>
        <v>0</v>
      </c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>
        <v>189326749</v>
      </c>
      <c r="AN394" s="60">
        <f t="shared" si="62"/>
        <v>189326749</v>
      </c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>
        <v>62634100</v>
      </c>
      <c r="AZ394" s="60"/>
      <c r="BA394" s="60"/>
      <c r="BB394" s="60"/>
      <c r="BC394" s="61">
        <f t="shared" si="57"/>
        <v>251960849</v>
      </c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>
        <v>12526820</v>
      </c>
      <c r="BO394" s="60"/>
      <c r="BP394" s="61">
        <v>264487669</v>
      </c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>
        <v>12526820</v>
      </c>
      <c r="CD394" s="61"/>
      <c r="CE394" s="61"/>
      <c r="CF394" s="61"/>
      <c r="CG394" s="61">
        <f t="shared" si="58"/>
        <v>277014489</v>
      </c>
      <c r="CH394" s="62">
        <f>VLOOKUP(B394,[1]RPTNCT049_ConsultaSaldosContabl!I$4:K$7987,3,0)</f>
        <v>87687740</v>
      </c>
      <c r="CI394" s="62">
        <f t="shared" si="59"/>
        <v>189326749</v>
      </c>
      <c r="CJ394" s="63">
        <f t="shared" si="60"/>
        <v>277014489</v>
      </c>
      <c r="CK394" s="64">
        <f t="shared" si="61"/>
        <v>0</v>
      </c>
      <c r="CL394" s="16"/>
      <c r="CM394" s="16"/>
      <c r="CN394" s="16"/>
    </row>
    <row r="395" spans="1:96" ht="15" customHeight="1" x14ac:dyDescent="0.2">
      <c r="A395" s="1">
        <v>8000200459</v>
      </c>
      <c r="B395" s="1">
        <v>800020045</v>
      </c>
      <c r="C395" s="9">
        <v>219315293</v>
      </c>
      <c r="D395" s="10" t="s">
        <v>251</v>
      </c>
      <c r="E395" s="45" t="s">
        <v>1286</v>
      </c>
      <c r="F395" s="21"/>
      <c r="G395" s="59"/>
      <c r="H395" s="21"/>
      <c r="I395" s="59"/>
      <c r="J395" s="21"/>
      <c r="K395" s="21"/>
      <c r="L395" s="59"/>
      <c r="M395" s="60"/>
      <c r="N395" s="21"/>
      <c r="O395" s="59"/>
      <c r="P395" s="21"/>
      <c r="Q395" s="59"/>
      <c r="R395" s="21"/>
      <c r="S395" s="21"/>
      <c r="T395" s="59"/>
      <c r="U395" s="60">
        <f t="shared" si="56"/>
        <v>0</v>
      </c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>
        <v>32449520</v>
      </c>
      <c r="AZ395" s="60"/>
      <c r="BA395" s="60">
        <f>VLOOKUP(B395,[2]Hoja3!J$3:K$674,2,0)</f>
        <v>51340504</v>
      </c>
      <c r="BB395" s="60"/>
      <c r="BC395" s="61">
        <f t="shared" si="57"/>
        <v>83790024</v>
      </c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>
        <v>6489904</v>
      </c>
      <c r="BO395" s="60"/>
      <c r="BP395" s="61">
        <v>90279928</v>
      </c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>
        <v>6489904</v>
      </c>
      <c r="CD395" s="61"/>
      <c r="CE395" s="61"/>
      <c r="CF395" s="61"/>
      <c r="CG395" s="61">
        <f t="shared" si="58"/>
        <v>96769832</v>
      </c>
      <c r="CH395" s="62">
        <f>VLOOKUP(B395,[1]RPTNCT049_ConsultaSaldosContabl!I$4:K$7987,3,0)</f>
        <v>45429328</v>
      </c>
      <c r="CI395" s="62">
        <f t="shared" si="59"/>
        <v>51340504</v>
      </c>
      <c r="CJ395" s="63">
        <f t="shared" si="60"/>
        <v>96769832</v>
      </c>
      <c r="CK395" s="64">
        <f t="shared" si="61"/>
        <v>0</v>
      </c>
      <c r="CL395" s="16"/>
      <c r="CM395" s="8"/>
      <c r="CN395" s="8"/>
      <c r="CO395" s="8"/>
      <c r="CP395" s="8"/>
      <c r="CQ395" s="8"/>
      <c r="CR395" s="8"/>
    </row>
    <row r="396" spans="1:96" ht="15" customHeight="1" x14ac:dyDescent="0.2">
      <c r="A396" s="1">
        <v>8999993312</v>
      </c>
      <c r="B396" s="1">
        <v>899999331</v>
      </c>
      <c r="C396" s="9">
        <v>219725297</v>
      </c>
      <c r="D396" s="10" t="s">
        <v>491</v>
      </c>
      <c r="E396" s="45" t="s">
        <v>1518</v>
      </c>
      <c r="F396" s="21"/>
      <c r="G396" s="59"/>
      <c r="H396" s="21"/>
      <c r="I396" s="59"/>
      <c r="J396" s="21"/>
      <c r="K396" s="21"/>
      <c r="L396" s="59"/>
      <c r="M396" s="60"/>
      <c r="N396" s="21"/>
      <c r="O396" s="59"/>
      <c r="P396" s="21"/>
      <c r="Q396" s="59"/>
      <c r="R396" s="21"/>
      <c r="S396" s="21"/>
      <c r="T396" s="59"/>
      <c r="U396" s="60">
        <f t="shared" si="56"/>
        <v>0</v>
      </c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>
        <v>127758638</v>
      </c>
      <c r="AN396" s="60">
        <f t="shared" ref="AN396:AN401" si="63">SUBTOTAL(9,AC396:AM396)</f>
        <v>127758638</v>
      </c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1">
        <f t="shared" si="57"/>
        <v>127758638</v>
      </c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>
        <v>0</v>
      </c>
      <c r="BO396" s="60"/>
      <c r="BP396" s="61">
        <v>127758638</v>
      </c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>
        <v>104330394</v>
      </c>
      <c r="CD396" s="61"/>
      <c r="CE396" s="61"/>
      <c r="CF396" s="61"/>
      <c r="CG396" s="61">
        <f t="shared" si="58"/>
        <v>232089032</v>
      </c>
      <c r="CH396" s="62">
        <f>VLOOKUP(B396,[1]RPTNCT049_ConsultaSaldosContabl!I$4:K$7987,3,0)</f>
        <v>104330394</v>
      </c>
      <c r="CI396" s="62">
        <f t="shared" si="59"/>
        <v>127758638</v>
      </c>
      <c r="CJ396" s="63">
        <f t="shared" si="60"/>
        <v>232089032</v>
      </c>
      <c r="CK396" s="64">
        <f t="shared" si="61"/>
        <v>0</v>
      </c>
      <c r="CL396" s="16"/>
      <c r="CM396" s="16"/>
      <c r="CN396" s="16"/>
    </row>
    <row r="397" spans="1:96" ht="15" customHeight="1" x14ac:dyDescent="0.2">
      <c r="A397" s="1">
        <v>8902067224</v>
      </c>
      <c r="B397" s="1">
        <v>890206722</v>
      </c>
      <c r="C397" s="9">
        <v>219668296</v>
      </c>
      <c r="D397" s="10" t="s">
        <v>840</v>
      </c>
      <c r="E397" s="45" t="s">
        <v>1855</v>
      </c>
      <c r="F397" s="21"/>
      <c r="G397" s="59"/>
      <c r="H397" s="21"/>
      <c r="I397" s="59"/>
      <c r="J397" s="21"/>
      <c r="K397" s="21"/>
      <c r="L397" s="59"/>
      <c r="M397" s="60"/>
      <c r="N397" s="21"/>
      <c r="O397" s="59"/>
      <c r="P397" s="21"/>
      <c r="Q397" s="59"/>
      <c r="R397" s="21"/>
      <c r="S397" s="21"/>
      <c r="T397" s="59"/>
      <c r="U397" s="60">
        <f t="shared" si="56"/>
        <v>0</v>
      </c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>
        <v>16911336</v>
      </c>
      <c r="AN397" s="60">
        <f t="shared" si="63"/>
        <v>16911336</v>
      </c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>
        <v>20839605</v>
      </c>
      <c r="AZ397" s="60"/>
      <c r="BA397" s="60">
        <f>VLOOKUP(B397,[2]Hoja3!J$3:K$674,2,0)</f>
        <v>26235802</v>
      </c>
      <c r="BB397" s="60"/>
      <c r="BC397" s="61">
        <f t="shared" si="57"/>
        <v>63986743</v>
      </c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>
        <v>4167921</v>
      </c>
      <c r="BO397" s="60"/>
      <c r="BP397" s="61">
        <v>68154664</v>
      </c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>
        <v>4167921</v>
      </c>
      <c r="CD397" s="61"/>
      <c r="CE397" s="61"/>
      <c r="CF397" s="61"/>
      <c r="CG397" s="61">
        <f t="shared" si="58"/>
        <v>72322585</v>
      </c>
      <c r="CH397" s="62">
        <f>VLOOKUP(B397,[1]RPTNCT049_ConsultaSaldosContabl!I$4:K$7987,3,0)</f>
        <v>29175447</v>
      </c>
      <c r="CI397" s="62">
        <f t="shared" si="59"/>
        <v>43147138</v>
      </c>
      <c r="CJ397" s="63">
        <f t="shared" si="60"/>
        <v>72322585</v>
      </c>
      <c r="CK397" s="64">
        <f t="shared" si="61"/>
        <v>0</v>
      </c>
      <c r="CL397" s="16"/>
      <c r="CM397" s="16"/>
      <c r="CN397" s="16"/>
    </row>
    <row r="398" spans="1:96" ht="15" customHeight="1" x14ac:dyDescent="0.2">
      <c r="A398" s="1">
        <v>8901024720</v>
      </c>
      <c r="B398" s="1">
        <v>890102472</v>
      </c>
      <c r="C398" s="9">
        <v>219608296</v>
      </c>
      <c r="D398" s="10" t="s">
        <v>164</v>
      </c>
      <c r="E398" s="45" t="s">
        <v>1192</v>
      </c>
      <c r="F398" s="21"/>
      <c r="G398" s="59"/>
      <c r="H398" s="21"/>
      <c r="I398" s="59"/>
      <c r="J398" s="21"/>
      <c r="K398" s="21"/>
      <c r="L398" s="59"/>
      <c r="M398" s="60"/>
      <c r="N398" s="21"/>
      <c r="O398" s="59"/>
      <c r="P398" s="21"/>
      <c r="Q398" s="59"/>
      <c r="R398" s="21"/>
      <c r="S398" s="21"/>
      <c r="T398" s="59"/>
      <c r="U398" s="60">
        <f t="shared" si="56"/>
        <v>0</v>
      </c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>
        <v>521072348</v>
      </c>
      <c r="AN398" s="60">
        <f t="shared" si="63"/>
        <v>521072348</v>
      </c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>
        <v>285524400</v>
      </c>
      <c r="AZ398" s="60"/>
      <c r="BA398" s="60"/>
      <c r="BB398" s="60"/>
      <c r="BC398" s="61">
        <f t="shared" si="57"/>
        <v>806596748</v>
      </c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>
        <v>57104880</v>
      </c>
      <c r="BO398" s="60"/>
      <c r="BP398" s="61">
        <v>863701628</v>
      </c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>
        <v>57104880</v>
      </c>
      <c r="CD398" s="61"/>
      <c r="CE398" s="61">
        <v>50422976</v>
      </c>
      <c r="CF398" s="61"/>
      <c r="CG398" s="61">
        <f t="shared" si="58"/>
        <v>971229484</v>
      </c>
      <c r="CH398" s="62">
        <f>VLOOKUP(B398,[1]RPTNCT049_ConsultaSaldosContabl!I$4:K$7987,3,0)</f>
        <v>399734160</v>
      </c>
      <c r="CI398" s="62">
        <f t="shared" si="59"/>
        <v>571495324</v>
      </c>
      <c r="CJ398" s="63">
        <f t="shared" si="60"/>
        <v>971229484</v>
      </c>
      <c r="CK398" s="64">
        <f t="shared" si="61"/>
        <v>0</v>
      </c>
      <c r="CL398" s="16"/>
      <c r="CM398" s="16"/>
      <c r="CN398" s="16"/>
    </row>
    <row r="399" spans="1:96" ht="15" customHeight="1" x14ac:dyDescent="0.2">
      <c r="A399" s="1">
        <v>8000498260</v>
      </c>
      <c r="B399" s="1">
        <v>800049826</v>
      </c>
      <c r="C399" s="9">
        <v>213570235</v>
      </c>
      <c r="D399" s="10" t="s">
        <v>897</v>
      </c>
      <c r="E399" s="45" t="s">
        <v>1910</v>
      </c>
      <c r="F399" s="21"/>
      <c r="G399" s="59"/>
      <c r="H399" s="21"/>
      <c r="I399" s="59"/>
      <c r="J399" s="21"/>
      <c r="K399" s="21"/>
      <c r="L399" s="59"/>
      <c r="M399" s="60"/>
      <c r="N399" s="21"/>
      <c r="O399" s="59"/>
      <c r="P399" s="21"/>
      <c r="Q399" s="59"/>
      <c r="R399" s="21"/>
      <c r="S399" s="21"/>
      <c r="T399" s="59"/>
      <c r="U399" s="60">
        <f t="shared" si="56"/>
        <v>0</v>
      </c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>
        <v>38893863</v>
      </c>
      <c r="AN399" s="60">
        <f t="shared" si="63"/>
        <v>38893863</v>
      </c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>
        <v>189080835</v>
      </c>
      <c r="AZ399" s="60"/>
      <c r="BA399" s="60">
        <f>VLOOKUP(B399,[2]Hoja3!J$3:K$674,2,0)</f>
        <v>331009626</v>
      </c>
      <c r="BB399" s="60"/>
      <c r="BC399" s="61">
        <f t="shared" si="57"/>
        <v>558984324</v>
      </c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>
        <v>37816167</v>
      </c>
      <c r="BO399" s="60"/>
      <c r="BP399" s="61">
        <v>596800491</v>
      </c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>
        <v>37816167</v>
      </c>
      <c r="CD399" s="61"/>
      <c r="CE399" s="61"/>
      <c r="CF399" s="61"/>
      <c r="CG399" s="61">
        <f t="shared" si="58"/>
        <v>634616658</v>
      </c>
      <c r="CH399" s="62">
        <f>VLOOKUP(B399,[1]RPTNCT049_ConsultaSaldosContabl!I$4:K$7987,3,0)</f>
        <v>264713169</v>
      </c>
      <c r="CI399" s="62">
        <f t="shared" si="59"/>
        <v>369903489</v>
      </c>
      <c r="CJ399" s="63">
        <f t="shared" si="60"/>
        <v>634616658</v>
      </c>
      <c r="CK399" s="64">
        <f t="shared" si="61"/>
        <v>0</v>
      </c>
      <c r="CL399" s="16"/>
      <c r="CM399" s="16"/>
      <c r="CN399" s="16"/>
    </row>
    <row r="400" spans="1:96" ht="15" customHeight="1" x14ac:dyDescent="0.2">
      <c r="A400" s="1">
        <v>8000946842</v>
      </c>
      <c r="B400" s="1">
        <v>800094684</v>
      </c>
      <c r="C400" s="9">
        <v>219925299</v>
      </c>
      <c r="D400" s="10" t="s">
        <v>492</v>
      </c>
      <c r="E400" s="45" t="s">
        <v>1519</v>
      </c>
      <c r="F400" s="21"/>
      <c r="G400" s="59"/>
      <c r="H400" s="21"/>
      <c r="I400" s="59"/>
      <c r="J400" s="21"/>
      <c r="K400" s="21"/>
      <c r="L400" s="59"/>
      <c r="M400" s="60"/>
      <c r="N400" s="21"/>
      <c r="O400" s="59"/>
      <c r="P400" s="21"/>
      <c r="Q400" s="59"/>
      <c r="R400" s="21"/>
      <c r="S400" s="21"/>
      <c r="T400" s="59"/>
      <c r="U400" s="60">
        <f t="shared" si="56"/>
        <v>0</v>
      </c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>
        <v>45563759</v>
      </c>
      <c r="AN400" s="60">
        <f t="shared" si="63"/>
        <v>45563759</v>
      </c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1">
        <f t="shared" si="57"/>
        <v>45563759</v>
      </c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>
        <v>0</v>
      </c>
      <c r="BO400" s="60"/>
      <c r="BP400" s="61">
        <v>45563759</v>
      </c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>
        <v>0</v>
      </c>
      <c r="CD400" s="61"/>
      <c r="CE400" s="61"/>
      <c r="CF400" s="61"/>
      <c r="CG400" s="61">
        <f t="shared" si="58"/>
        <v>45563759</v>
      </c>
      <c r="CH400" s="62"/>
      <c r="CI400" s="62">
        <f t="shared" si="59"/>
        <v>45563759</v>
      </c>
      <c r="CJ400" s="63">
        <f t="shared" si="60"/>
        <v>45563759</v>
      </c>
      <c r="CK400" s="64">
        <f t="shared" si="61"/>
        <v>0</v>
      </c>
      <c r="CL400" s="16"/>
      <c r="CM400" s="16"/>
      <c r="CN400" s="16"/>
    </row>
    <row r="401" spans="1:96" ht="15" customHeight="1" x14ac:dyDescent="0.2">
      <c r="A401" s="1">
        <v>8000965954</v>
      </c>
      <c r="B401" s="1">
        <v>800096595</v>
      </c>
      <c r="C401" s="9">
        <v>219520295</v>
      </c>
      <c r="D401" s="10" t="s">
        <v>423</v>
      </c>
      <c r="E401" s="45" t="s">
        <v>1450</v>
      </c>
      <c r="F401" s="21"/>
      <c r="G401" s="59"/>
      <c r="H401" s="21"/>
      <c r="I401" s="59"/>
      <c r="J401" s="21"/>
      <c r="K401" s="21"/>
      <c r="L401" s="59"/>
      <c r="M401" s="60"/>
      <c r="N401" s="21"/>
      <c r="O401" s="59"/>
      <c r="P401" s="21"/>
      <c r="Q401" s="59"/>
      <c r="R401" s="21"/>
      <c r="S401" s="21"/>
      <c r="T401" s="59"/>
      <c r="U401" s="60">
        <f t="shared" si="56"/>
        <v>0</v>
      </c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>
        <v>166762464</v>
      </c>
      <c r="AN401" s="60">
        <f t="shared" si="63"/>
        <v>166762464</v>
      </c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>
        <v>100423565</v>
      </c>
      <c r="AZ401" s="60"/>
      <c r="BA401" s="60">
        <f>VLOOKUP(B401,[2]Hoja3!J$3:K$674,2,0)</f>
        <v>24088847</v>
      </c>
      <c r="BB401" s="60"/>
      <c r="BC401" s="61">
        <f t="shared" si="57"/>
        <v>291274876</v>
      </c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>
        <v>20084713</v>
      </c>
      <c r="BO401" s="60"/>
      <c r="BP401" s="61">
        <v>311359589</v>
      </c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>
        <v>20084713</v>
      </c>
      <c r="CD401" s="61"/>
      <c r="CE401" s="61"/>
      <c r="CF401" s="61"/>
      <c r="CG401" s="61">
        <f t="shared" si="58"/>
        <v>331444302</v>
      </c>
      <c r="CH401" s="62">
        <f>VLOOKUP(B401,[1]RPTNCT049_ConsultaSaldosContabl!I$4:K$7987,3,0)</f>
        <v>140592991</v>
      </c>
      <c r="CI401" s="62">
        <f t="shared" si="59"/>
        <v>190851311</v>
      </c>
      <c r="CJ401" s="63">
        <f t="shared" si="60"/>
        <v>331444302</v>
      </c>
      <c r="CK401" s="64">
        <f t="shared" si="61"/>
        <v>0</v>
      </c>
      <c r="CL401" s="16"/>
      <c r="CM401" s="16"/>
      <c r="CN401" s="16"/>
    </row>
    <row r="402" spans="1:96" ht="15" customHeight="1" x14ac:dyDescent="0.2">
      <c r="A402" s="1">
        <v>8000996917</v>
      </c>
      <c r="B402" s="1">
        <v>800099691</v>
      </c>
      <c r="C402" s="9">
        <v>219868298</v>
      </c>
      <c r="D402" s="10" t="s">
        <v>841</v>
      </c>
      <c r="E402" s="45" t="s">
        <v>1856</v>
      </c>
      <c r="F402" s="21"/>
      <c r="G402" s="59"/>
      <c r="H402" s="21"/>
      <c r="I402" s="59"/>
      <c r="J402" s="21"/>
      <c r="K402" s="21"/>
      <c r="L402" s="59"/>
      <c r="M402" s="60"/>
      <c r="N402" s="21"/>
      <c r="O402" s="59"/>
      <c r="P402" s="21"/>
      <c r="Q402" s="59"/>
      <c r="R402" s="21"/>
      <c r="S402" s="21"/>
      <c r="T402" s="59"/>
      <c r="U402" s="60">
        <f t="shared" si="56"/>
        <v>0</v>
      </c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>
        <v>29622700</v>
      </c>
      <c r="AZ402" s="60"/>
      <c r="BA402" s="60">
        <f>VLOOKUP(B402,[2]Hoja3!J$3:K$674,2,0)</f>
        <v>60923755</v>
      </c>
      <c r="BB402" s="60"/>
      <c r="BC402" s="61">
        <f t="shared" si="57"/>
        <v>90546455</v>
      </c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>
        <v>5924540</v>
      </c>
      <c r="BO402" s="60"/>
      <c r="BP402" s="61">
        <v>96470995</v>
      </c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>
        <v>5924540</v>
      </c>
      <c r="CD402" s="61"/>
      <c r="CE402" s="61"/>
      <c r="CF402" s="61"/>
      <c r="CG402" s="61">
        <f t="shared" si="58"/>
        <v>102395535</v>
      </c>
      <c r="CH402" s="62">
        <f>VLOOKUP(B402,[1]RPTNCT049_ConsultaSaldosContabl!I$4:K$7987,3,0)</f>
        <v>41471780</v>
      </c>
      <c r="CI402" s="62">
        <f t="shared" si="59"/>
        <v>60923755</v>
      </c>
      <c r="CJ402" s="63">
        <f t="shared" si="60"/>
        <v>102395535</v>
      </c>
      <c r="CK402" s="64">
        <f t="shared" si="61"/>
        <v>0</v>
      </c>
      <c r="CL402" s="16"/>
      <c r="CM402" s="16"/>
      <c r="CN402" s="16"/>
    </row>
    <row r="403" spans="1:96" ht="15" customHeight="1" x14ac:dyDescent="0.2">
      <c r="A403" s="1">
        <v>8918577641</v>
      </c>
      <c r="B403" s="1">
        <v>891857764</v>
      </c>
      <c r="C403" s="9">
        <v>219615296</v>
      </c>
      <c r="D403" s="10" t="s">
        <v>252</v>
      </c>
      <c r="E403" s="45" t="s">
        <v>1287</v>
      </c>
      <c r="F403" s="21"/>
      <c r="G403" s="59"/>
      <c r="H403" s="21"/>
      <c r="I403" s="59"/>
      <c r="J403" s="21"/>
      <c r="K403" s="21"/>
      <c r="L403" s="59"/>
      <c r="M403" s="60"/>
      <c r="N403" s="21"/>
      <c r="O403" s="59"/>
      <c r="P403" s="21"/>
      <c r="Q403" s="59"/>
      <c r="R403" s="21"/>
      <c r="S403" s="21"/>
      <c r="T403" s="59"/>
      <c r="U403" s="60">
        <f t="shared" si="56"/>
        <v>0</v>
      </c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>
        <v>37921875</v>
      </c>
      <c r="AZ403" s="60"/>
      <c r="BA403" s="60">
        <f>VLOOKUP(B403,[2]Hoja3!J$3:K$674,2,0)</f>
        <v>73692548</v>
      </c>
      <c r="BB403" s="60"/>
      <c r="BC403" s="61">
        <f t="shared" si="57"/>
        <v>111614423</v>
      </c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>
        <v>7584375</v>
      </c>
      <c r="BO403" s="60"/>
      <c r="BP403" s="61">
        <v>119198798</v>
      </c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>
        <v>7584375</v>
      </c>
      <c r="CD403" s="61"/>
      <c r="CE403" s="61"/>
      <c r="CF403" s="61"/>
      <c r="CG403" s="61">
        <f t="shared" si="58"/>
        <v>126783173</v>
      </c>
      <c r="CH403" s="62">
        <f>VLOOKUP(B403,[1]RPTNCT049_ConsultaSaldosContabl!I$4:K$7987,3,0)</f>
        <v>53090625</v>
      </c>
      <c r="CI403" s="62">
        <f t="shared" si="59"/>
        <v>73692548</v>
      </c>
      <c r="CJ403" s="63">
        <f t="shared" si="60"/>
        <v>126783173</v>
      </c>
      <c r="CK403" s="64">
        <f t="shared" si="61"/>
        <v>0</v>
      </c>
      <c r="CL403" s="16"/>
      <c r="CM403" s="8"/>
      <c r="CN403" s="8"/>
      <c r="CO403" s="8"/>
      <c r="CP403" s="8"/>
      <c r="CQ403" s="8"/>
      <c r="CR403" s="8"/>
    </row>
    <row r="404" spans="1:96" ht="15" customHeight="1" x14ac:dyDescent="0.2">
      <c r="A404" s="1">
        <v>8000256088</v>
      </c>
      <c r="B404" s="1">
        <v>800025608</v>
      </c>
      <c r="C404" s="9">
        <v>219915299</v>
      </c>
      <c r="D404" s="10" t="s">
        <v>253</v>
      </c>
      <c r="E404" s="45" t="s">
        <v>1288</v>
      </c>
      <c r="F404" s="21"/>
      <c r="G404" s="59"/>
      <c r="H404" s="21"/>
      <c r="I404" s="59"/>
      <c r="J404" s="21"/>
      <c r="K404" s="21"/>
      <c r="L404" s="59"/>
      <c r="M404" s="60"/>
      <c r="N404" s="21"/>
      <c r="O404" s="59"/>
      <c r="P404" s="21"/>
      <c r="Q404" s="59"/>
      <c r="R404" s="21"/>
      <c r="S404" s="21"/>
      <c r="T404" s="59"/>
      <c r="U404" s="60">
        <f t="shared" si="56"/>
        <v>0</v>
      </c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>
        <v>109650475</v>
      </c>
      <c r="AZ404" s="60"/>
      <c r="BA404" s="60">
        <f>VLOOKUP(B404,[2]Hoja3!J$3:K$674,2,0)</f>
        <v>196434484</v>
      </c>
      <c r="BB404" s="60"/>
      <c r="BC404" s="61">
        <f t="shared" si="57"/>
        <v>306084959</v>
      </c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>
        <v>21930095</v>
      </c>
      <c r="BO404" s="60"/>
      <c r="BP404" s="61">
        <v>328015054</v>
      </c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>
        <v>21930095</v>
      </c>
      <c r="CD404" s="61"/>
      <c r="CE404" s="61"/>
      <c r="CF404" s="61"/>
      <c r="CG404" s="61">
        <f t="shared" si="58"/>
        <v>349945149</v>
      </c>
      <c r="CH404" s="62">
        <f>VLOOKUP(B404,[1]RPTNCT049_ConsultaSaldosContabl!I$4:K$7987,3,0)</f>
        <v>153510665</v>
      </c>
      <c r="CI404" s="62">
        <f t="shared" si="59"/>
        <v>196434484</v>
      </c>
      <c r="CJ404" s="63">
        <f t="shared" si="60"/>
        <v>349945149</v>
      </c>
      <c r="CK404" s="64">
        <f t="shared" si="61"/>
        <v>0</v>
      </c>
      <c r="CL404" s="16"/>
      <c r="CM404" s="8"/>
      <c r="CN404" s="8"/>
      <c r="CO404" s="8"/>
      <c r="CP404" s="8"/>
      <c r="CQ404" s="8"/>
      <c r="CR404" s="8"/>
    </row>
    <row r="405" spans="1:96" ht="15" customHeight="1" x14ac:dyDescent="0.2">
      <c r="A405" s="1">
        <v>8911800226</v>
      </c>
      <c r="B405" s="1">
        <v>891180022</v>
      </c>
      <c r="C405" s="9">
        <v>219841298</v>
      </c>
      <c r="D405" s="10" t="s">
        <v>602</v>
      </c>
      <c r="E405" s="45" t="s">
        <v>1621</v>
      </c>
      <c r="F405" s="21"/>
      <c r="G405" s="59"/>
      <c r="H405" s="21"/>
      <c r="I405" s="59"/>
      <c r="J405" s="21"/>
      <c r="K405" s="21"/>
      <c r="L405" s="59"/>
      <c r="M405" s="60"/>
      <c r="N405" s="21"/>
      <c r="O405" s="59"/>
      <c r="P405" s="21"/>
      <c r="Q405" s="59"/>
      <c r="R405" s="21"/>
      <c r="S405" s="21"/>
      <c r="T405" s="59"/>
      <c r="U405" s="60">
        <f t="shared" si="56"/>
        <v>0</v>
      </c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>
        <v>1090704401</v>
      </c>
      <c r="AN405" s="60">
        <f>SUBTOTAL(9,AC405:AM405)</f>
        <v>1090704401</v>
      </c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>
        <v>441820895</v>
      </c>
      <c r="AZ405" s="60"/>
      <c r="BA405" s="60"/>
      <c r="BB405" s="60"/>
      <c r="BC405" s="61">
        <f t="shared" si="57"/>
        <v>1532525296</v>
      </c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>
        <v>88364179</v>
      </c>
      <c r="BO405" s="60"/>
      <c r="BP405" s="61">
        <v>1620889475</v>
      </c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>
        <v>88364179</v>
      </c>
      <c r="CD405" s="61"/>
      <c r="CE405" s="61"/>
      <c r="CF405" s="61"/>
      <c r="CG405" s="61">
        <f t="shared" si="58"/>
        <v>1709253654</v>
      </c>
      <c r="CH405" s="62">
        <f>VLOOKUP(B405,[1]RPTNCT049_ConsultaSaldosContabl!I$4:K$7987,3,0)</f>
        <v>618549253</v>
      </c>
      <c r="CI405" s="62">
        <f t="shared" si="59"/>
        <v>1090704401</v>
      </c>
      <c r="CJ405" s="63">
        <f t="shared" si="60"/>
        <v>1709253654</v>
      </c>
      <c r="CK405" s="64">
        <f t="shared" si="61"/>
        <v>0</v>
      </c>
      <c r="CL405" s="16"/>
      <c r="CM405" s="16"/>
      <c r="CN405" s="16"/>
    </row>
    <row r="406" spans="1:96" ht="15" customHeight="1" x14ac:dyDescent="0.2">
      <c r="A406" s="1">
        <v>8900008646</v>
      </c>
      <c r="B406" s="1">
        <v>890000864</v>
      </c>
      <c r="C406" s="9">
        <v>210263302</v>
      </c>
      <c r="D406" s="10" t="s">
        <v>794</v>
      </c>
      <c r="E406" s="45" t="s">
        <v>1811</v>
      </c>
      <c r="F406" s="21"/>
      <c r="G406" s="59"/>
      <c r="H406" s="21"/>
      <c r="I406" s="59"/>
      <c r="J406" s="21"/>
      <c r="K406" s="21"/>
      <c r="L406" s="59"/>
      <c r="M406" s="60"/>
      <c r="N406" s="21"/>
      <c r="O406" s="59"/>
      <c r="P406" s="21"/>
      <c r="Q406" s="59"/>
      <c r="R406" s="21"/>
      <c r="S406" s="21"/>
      <c r="T406" s="59"/>
      <c r="U406" s="60">
        <f t="shared" si="56"/>
        <v>0</v>
      </c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>
        <v>115960118</v>
      </c>
      <c r="AN406" s="60">
        <f>SUBTOTAL(9,AC406:AM406)</f>
        <v>115960118</v>
      </c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>
        <v>58502940</v>
      </c>
      <c r="AZ406" s="60"/>
      <c r="BA406" s="60"/>
      <c r="BB406" s="60"/>
      <c r="BC406" s="61">
        <f t="shared" si="57"/>
        <v>174463058</v>
      </c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>
        <v>11700588</v>
      </c>
      <c r="BO406" s="60"/>
      <c r="BP406" s="61">
        <v>186163646</v>
      </c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>
        <v>11700588</v>
      </c>
      <c r="CD406" s="61"/>
      <c r="CE406" s="61"/>
      <c r="CF406" s="61"/>
      <c r="CG406" s="61">
        <f t="shared" si="58"/>
        <v>197864234</v>
      </c>
      <c r="CH406" s="62">
        <f>VLOOKUP(B406,[1]RPTNCT049_ConsultaSaldosContabl!I$4:K$7987,3,0)</f>
        <v>81904116</v>
      </c>
      <c r="CI406" s="62">
        <f t="shared" si="59"/>
        <v>115960118</v>
      </c>
      <c r="CJ406" s="63">
        <f t="shared" si="60"/>
        <v>197864234</v>
      </c>
      <c r="CK406" s="64">
        <f t="shared" si="61"/>
        <v>0</v>
      </c>
      <c r="CL406" s="16"/>
      <c r="CM406" s="16"/>
      <c r="CN406" s="16"/>
    </row>
    <row r="407" spans="1:96" ht="15" customHeight="1" x14ac:dyDescent="0.2">
      <c r="A407" s="1">
        <v>8911801761</v>
      </c>
      <c r="B407" s="1">
        <v>891180176</v>
      </c>
      <c r="C407" s="9">
        <v>210641306</v>
      </c>
      <c r="D407" s="10" t="s">
        <v>603</v>
      </c>
      <c r="E407" s="52" t="s">
        <v>1622</v>
      </c>
      <c r="F407" s="21"/>
      <c r="G407" s="59"/>
      <c r="H407" s="21"/>
      <c r="I407" s="59"/>
      <c r="J407" s="21"/>
      <c r="K407" s="21"/>
      <c r="L407" s="59"/>
      <c r="M407" s="60"/>
      <c r="N407" s="21"/>
      <c r="O407" s="59"/>
      <c r="P407" s="21"/>
      <c r="Q407" s="59"/>
      <c r="R407" s="21"/>
      <c r="S407" s="21"/>
      <c r="T407" s="59"/>
      <c r="U407" s="60">
        <f t="shared" si="56"/>
        <v>0</v>
      </c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>
        <v>199119255</v>
      </c>
      <c r="AZ407" s="60"/>
      <c r="BA407" s="60">
        <f>VLOOKUP(B407,[2]Hoja3!J$3:K$674,2,0)</f>
        <v>428424160</v>
      </c>
      <c r="BB407" s="60"/>
      <c r="BC407" s="61">
        <f t="shared" si="57"/>
        <v>627543415</v>
      </c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>
        <v>39823851</v>
      </c>
      <c r="BO407" s="60"/>
      <c r="BP407" s="61">
        <v>667367266</v>
      </c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>
        <v>39823851</v>
      </c>
      <c r="CD407" s="61"/>
      <c r="CE407" s="61"/>
      <c r="CF407" s="61"/>
      <c r="CG407" s="61">
        <f t="shared" si="58"/>
        <v>707191117</v>
      </c>
      <c r="CH407" s="62">
        <f>VLOOKUP(B407,[1]RPTNCT049_ConsultaSaldosContabl!I$4:K$7987,3,0)</f>
        <v>278766957</v>
      </c>
      <c r="CI407" s="62">
        <f t="shared" si="59"/>
        <v>428424160</v>
      </c>
      <c r="CJ407" s="63">
        <f t="shared" si="60"/>
        <v>707191117</v>
      </c>
      <c r="CK407" s="64">
        <f t="shared" si="61"/>
        <v>0</v>
      </c>
      <c r="CL407" s="16"/>
      <c r="CM407" s="16"/>
      <c r="CN407" s="16"/>
    </row>
    <row r="408" spans="1:96" ht="15" customHeight="1" x14ac:dyDescent="0.2">
      <c r="A408" s="1">
        <v>8001005201</v>
      </c>
      <c r="B408" s="1">
        <v>800100520</v>
      </c>
      <c r="C408" s="9">
        <v>210676306</v>
      </c>
      <c r="D408" s="10" t="s">
        <v>927</v>
      </c>
      <c r="E408" s="52" t="s">
        <v>1987</v>
      </c>
      <c r="F408" s="21"/>
      <c r="G408" s="59"/>
      <c r="H408" s="21"/>
      <c r="I408" s="59"/>
      <c r="J408" s="21"/>
      <c r="K408" s="21"/>
      <c r="L408" s="59"/>
      <c r="M408" s="60"/>
      <c r="N408" s="21"/>
      <c r="O408" s="59"/>
      <c r="P408" s="21"/>
      <c r="Q408" s="59"/>
      <c r="R408" s="21"/>
      <c r="S408" s="21"/>
      <c r="T408" s="59"/>
      <c r="U408" s="60">
        <f t="shared" si="56"/>
        <v>0</v>
      </c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>
        <v>277360538</v>
      </c>
      <c r="AN408" s="60">
        <f>SUBTOTAL(9,AC408:AM408)</f>
        <v>277360538</v>
      </c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>
        <v>109112215</v>
      </c>
      <c r="AZ408" s="60"/>
      <c r="BA408" s="60"/>
      <c r="BB408" s="60"/>
      <c r="BC408" s="61">
        <f t="shared" si="57"/>
        <v>386472753</v>
      </c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>
        <v>21822443</v>
      </c>
      <c r="BO408" s="60"/>
      <c r="BP408" s="61">
        <v>408295196</v>
      </c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>
        <v>21822443</v>
      </c>
      <c r="CD408" s="61"/>
      <c r="CE408" s="61"/>
      <c r="CF408" s="61"/>
      <c r="CG408" s="61">
        <f t="shared" si="58"/>
        <v>430117639</v>
      </c>
      <c r="CH408" s="62">
        <f>VLOOKUP(B408,[1]RPTNCT049_ConsultaSaldosContabl!I$4:K$7987,3,0)</f>
        <v>152757101</v>
      </c>
      <c r="CI408" s="62">
        <f t="shared" si="59"/>
        <v>277360538</v>
      </c>
      <c r="CJ408" s="63">
        <f t="shared" si="60"/>
        <v>430117639</v>
      </c>
      <c r="CK408" s="64">
        <f t="shared" si="61"/>
        <v>0</v>
      </c>
      <c r="CL408" s="16"/>
      <c r="CM408" s="16"/>
      <c r="CN408" s="16"/>
    </row>
    <row r="409" spans="1:96" ht="15" customHeight="1" x14ac:dyDescent="0.2">
      <c r="A409" s="1">
        <v>8909837867</v>
      </c>
      <c r="B409" s="1">
        <v>890983786</v>
      </c>
      <c r="C409" s="9">
        <v>210605306</v>
      </c>
      <c r="D409" s="10" t="s">
        <v>89</v>
      </c>
      <c r="E409" s="52" t="s">
        <v>1120</v>
      </c>
      <c r="F409" s="21"/>
      <c r="G409" s="59"/>
      <c r="H409" s="21"/>
      <c r="I409" s="59"/>
      <c r="J409" s="21"/>
      <c r="K409" s="21"/>
      <c r="L409" s="59"/>
      <c r="M409" s="60"/>
      <c r="N409" s="21"/>
      <c r="O409" s="59"/>
      <c r="P409" s="21"/>
      <c r="Q409" s="59"/>
      <c r="R409" s="21"/>
      <c r="S409" s="21"/>
      <c r="T409" s="59"/>
      <c r="U409" s="60">
        <f t="shared" si="56"/>
        <v>0</v>
      </c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>
        <v>41537650</v>
      </c>
      <c r="AZ409" s="60"/>
      <c r="BA409" s="60">
        <f>VLOOKUP(B409,[2]Hoja3!J$3:K$674,2,0)</f>
        <v>90787692</v>
      </c>
      <c r="BB409" s="60"/>
      <c r="BC409" s="61">
        <f t="shared" si="57"/>
        <v>132325342</v>
      </c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>
        <v>8307530</v>
      </c>
      <c r="BO409" s="60"/>
      <c r="BP409" s="61">
        <v>140632872</v>
      </c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>
        <v>8307530</v>
      </c>
      <c r="CD409" s="61"/>
      <c r="CE409" s="61"/>
      <c r="CF409" s="61"/>
      <c r="CG409" s="61">
        <f t="shared" si="58"/>
        <v>148940402</v>
      </c>
      <c r="CH409" s="62">
        <f>VLOOKUP(B409,[1]RPTNCT049_ConsultaSaldosContabl!I$4:K$7987,3,0)</f>
        <v>58152710</v>
      </c>
      <c r="CI409" s="62">
        <f t="shared" si="59"/>
        <v>90787692</v>
      </c>
      <c r="CJ409" s="63">
        <f t="shared" si="60"/>
        <v>148940402</v>
      </c>
      <c r="CK409" s="64">
        <f t="shared" si="61"/>
        <v>0</v>
      </c>
      <c r="CL409" s="16"/>
      <c r="CM409" s="16"/>
      <c r="CN409" s="16"/>
    </row>
    <row r="410" spans="1:96" ht="15" customHeight="1" x14ac:dyDescent="0.2">
      <c r="A410" s="1">
        <v>8906803784</v>
      </c>
      <c r="B410" s="1">
        <v>890680378</v>
      </c>
      <c r="C410" s="9">
        <v>210725307</v>
      </c>
      <c r="D410" s="10" t="s">
        <v>2166</v>
      </c>
      <c r="E410" s="53" t="s">
        <v>1044</v>
      </c>
      <c r="F410" s="21"/>
      <c r="G410" s="59"/>
      <c r="H410" s="21"/>
      <c r="I410" s="66">
        <f>1976316623+66560956</f>
        <v>2042877579</v>
      </c>
      <c r="J410" s="21">
        <v>124578880</v>
      </c>
      <c r="K410" s="21">
        <v>246909640</v>
      </c>
      <c r="L410" s="59"/>
      <c r="M410" s="61">
        <f>SUM(F410:L410)</f>
        <v>2414366099</v>
      </c>
      <c r="N410" s="21"/>
      <c r="O410" s="59"/>
      <c r="P410" s="21"/>
      <c r="Q410" s="59">
        <f>1883410129+30254980</f>
        <v>1913665109</v>
      </c>
      <c r="R410" s="21">
        <v>124578880</v>
      </c>
      <c r="S410" s="21">
        <f>122330760+124578880</f>
        <v>246909640</v>
      </c>
      <c r="T410" s="59"/>
      <c r="U410" s="60">
        <f t="shared" si="56"/>
        <v>4699519728</v>
      </c>
      <c r="V410" s="60"/>
      <c r="W410" s="60"/>
      <c r="X410" s="60"/>
      <c r="Y410" s="60">
        <v>2360832668</v>
      </c>
      <c r="Z410" s="60">
        <v>130070016</v>
      </c>
      <c r="AA410" s="60">
        <v>299259950</v>
      </c>
      <c r="AB410" s="60"/>
      <c r="AC410" s="60">
        <f t="shared" ref="AC388:AC451" si="64">SUM(U410:AB410)</f>
        <v>7489682362</v>
      </c>
      <c r="AD410" s="60"/>
      <c r="AE410" s="60"/>
      <c r="AF410" s="60"/>
      <c r="AG410" s="60"/>
      <c r="AH410" s="60">
        <v>1928149607</v>
      </c>
      <c r="AI410" s="60">
        <v>308000538</v>
      </c>
      <c r="AJ410" s="60">
        <v>129626180</v>
      </c>
      <c r="AK410" s="60">
        <v>326716500</v>
      </c>
      <c r="AL410" s="60"/>
      <c r="AM410" s="60">
        <v>867774701</v>
      </c>
      <c r="AN410" s="60">
        <f>SUBTOTAL(9,AC410:AM410)</f>
        <v>11049949888</v>
      </c>
      <c r="AO410" s="60"/>
      <c r="AP410" s="60"/>
      <c r="AQ410" s="60">
        <v>312037055</v>
      </c>
      <c r="AR410" s="60"/>
      <c r="AS410" s="60"/>
      <c r="AT410" s="60">
        <v>1928149607</v>
      </c>
      <c r="AU410" s="60"/>
      <c r="AV410" s="60">
        <v>129626180</v>
      </c>
      <c r="AW410" s="60">
        <v>221330964</v>
      </c>
      <c r="AX410" s="60"/>
      <c r="AY410" s="60"/>
      <c r="AZ410" s="60"/>
      <c r="BA410" s="60"/>
      <c r="BB410" s="60"/>
      <c r="BC410" s="61">
        <f t="shared" si="57"/>
        <v>13641093694</v>
      </c>
      <c r="BD410" s="60"/>
      <c r="BE410" s="60"/>
      <c r="BF410" s="60">
        <v>62407411</v>
      </c>
      <c r="BG410" s="60"/>
      <c r="BH410" s="60"/>
      <c r="BI410" s="60">
        <v>1876114831</v>
      </c>
      <c r="BJ410" s="60">
        <v>38261560</v>
      </c>
      <c r="BK410" s="60">
        <v>102917072</v>
      </c>
      <c r="BL410" s="60">
        <v>225324955</v>
      </c>
      <c r="BM410" s="60"/>
      <c r="BN410" s="60"/>
      <c r="BO410" s="60"/>
      <c r="BP410" s="61">
        <v>15946119523</v>
      </c>
      <c r="BQ410" s="61"/>
      <c r="BR410" s="61"/>
      <c r="BS410" s="61">
        <v>62407411</v>
      </c>
      <c r="BT410" s="61"/>
      <c r="BU410" s="61"/>
      <c r="BV410" s="61"/>
      <c r="BW410" s="61">
        <v>1897309748</v>
      </c>
      <c r="BX410" s="61"/>
      <c r="BY410" s="61">
        <v>884938396</v>
      </c>
      <c r="BZ410" s="61">
        <v>126022918</v>
      </c>
      <c r="CA410" s="61">
        <v>330153822</v>
      </c>
      <c r="CB410" s="61"/>
      <c r="CC410" s="61"/>
      <c r="CD410" s="61"/>
      <c r="CE410" s="61"/>
      <c r="CF410" s="61"/>
      <c r="CG410" s="61">
        <f t="shared" si="58"/>
        <v>19246951818</v>
      </c>
      <c r="CH410" s="62">
        <f>VLOOKUP(B410,[1]RPTNCT049_ConsultaSaldosContabl!I$4:K$7987,3,0)</f>
        <v>18379177117</v>
      </c>
      <c r="CI410" s="62">
        <f t="shared" si="59"/>
        <v>867774701</v>
      </c>
      <c r="CJ410" s="63">
        <f t="shared" si="60"/>
        <v>19246951818</v>
      </c>
      <c r="CK410" s="64">
        <f t="shared" si="61"/>
        <v>0</v>
      </c>
      <c r="CL410" s="16"/>
      <c r="CM410" s="16"/>
      <c r="CN410" s="16"/>
    </row>
    <row r="411" spans="1:96" ht="15" customHeight="1" x14ac:dyDescent="0.2">
      <c r="A411" s="1">
        <v>8909808071</v>
      </c>
      <c r="B411" s="1">
        <v>890980807</v>
      </c>
      <c r="C411" s="9">
        <v>210805308</v>
      </c>
      <c r="D411" s="10" t="s">
        <v>90</v>
      </c>
      <c r="E411" s="52" t="s">
        <v>1121</v>
      </c>
      <c r="F411" s="21"/>
      <c r="G411" s="59"/>
      <c r="H411" s="21"/>
      <c r="I411" s="59"/>
      <c r="J411" s="21"/>
      <c r="K411" s="21"/>
      <c r="L411" s="59"/>
      <c r="M411" s="60"/>
      <c r="N411" s="21"/>
      <c r="O411" s="59"/>
      <c r="P411" s="21"/>
      <c r="Q411" s="59"/>
      <c r="R411" s="21"/>
      <c r="S411" s="21"/>
      <c r="T411" s="59"/>
      <c r="U411" s="60">
        <f t="shared" si="56"/>
        <v>0</v>
      </c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>
        <v>381578896</v>
      </c>
      <c r="AN411" s="60">
        <f>SUBTOTAL(9,AC411:AM411)</f>
        <v>381578896</v>
      </c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>
        <v>193001915</v>
      </c>
      <c r="AZ411" s="60"/>
      <c r="BA411" s="60">
        <f>VLOOKUP(B411,[2]Hoja3!J$3:K$674,2,0)</f>
        <v>78969478</v>
      </c>
      <c r="BB411" s="60"/>
      <c r="BC411" s="61">
        <f t="shared" si="57"/>
        <v>653550289</v>
      </c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>
        <v>38600383</v>
      </c>
      <c r="BO411" s="60"/>
      <c r="BP411" s="61">
        <v>692150672</v>
      </c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>
        <v>38600383</v>
      </c>
      <c r="CD411" s="61"/>
      <c r="CE411" s="61"/>
      <c r="CF411" s="61"/>
      <c r="CG411" s="61">
        <f t="shared" si="58"/>
        <v>730751055</v>
      </c>
      <c r="CH411" s="62">
        <f>VLOOKUP(B411,[1]RPTNCT049_ConsultaSaldosContabl!I$4:K$7987,3,0)</f>
        <v>270202681</v>
      </c>
      <c r="CI411" s="62">
        <f t="shared" si="59"/>
        <v>460548374</v>
      </c>
      <c r="CJ411" s="63">
        <f t="shared" si="60"/>
        <v>730751055</v>
      </c>
      <c r="CK411" s="64">
        <f t="shared" si="61"/>
        <v>0</v>
      </c>
      <c r="CL411" s="16"/>
      <c r="CM411" s="16"/>
      <c r="CN411" s="16"/>
    </row>
    <row r="412" spans="1:96" ht="15" customHeight="1" x14ac:dyDescent="0.2">
      <c r="A412" s="1">
        <v>8902048026</v>
      </c>
      <c r="B412" s="1">
        <v>890204802</v>
      </c>
      <c r="C412" s="9">
        <v>210768307</v>
      </c>
      <c r="D412" s="10" t="s">
        <v>2167</v>
      </c>
      <c r="E412" s="53" t="s">
        <v>1037</v>
      </c>
      <c r="F412" s="21"/>
      <c r="G412" s="59"/>
      <c r="H412" s="21"/>
      <c r="I412" s="66">
        <f>3240371069+69084331</f>
        <v>3309455400</v>
      </c>
      <c r="J412" s="21">
        <v>224733427</v>
      </c>
      <c r="K412" s="21">
        <v>450914432</v>
      </c>
      <c r="L412" s="59"/>
      <c r="M412" s="61">
        <f>SUM(F412:L412)</f>
        <v>3985103259</v>
      </c>
      <c r="N412" s="21"/>
      <c r="O412" s="59"/>
      <c r="P412" s="21"/>
      <c r="Q412" s="59">
        <f>3132289258+31401968</f>
        <v>3163691226</v>
      </c>
      <c r="R412" s="21">
        <v>225099759</v>
      </c>
      <c r="S412" s="21">
        <f>226181005+225099759</f>
        <v>451280764</v>
      </c>
      <c r="T412" s="59"/>
      <c r="U412" s="60">
        <f t="shared" si="56"/>
        <v>7825175008</v>
      </c>
      <c r="V412" s="60"/>
      <c r="W412" s="60"/>
      <c r="X412" s="60"/>
      <c r="Y412" s="60">
        <v>4496419367</v>
      </c>
      <c r="Z412" s="60">
        <v>222420712</v>
      </c>
      <c r="AA412" s="60">
        <v>511130481</v>
      </c>
      <c r="AB412" s="60"/>
      <c r="AC412" s="60">
        <f t="shared" si="64"/>
        <v>13055145568</v>
      </c>
      <c r="AD412" s="60"/>
      <c r="AE412" s="60"/>
      <c r="AF412" s="60"/>
      <c r="AG412" s="60"/>
      <c r="AH412" s="60">
        <v>3182215294</v>
      </c>
      <c r="AI412" s="60">
        <v>391263781</v>
      </c>
      <c r="AJ412" s="60">
        <v>232907268</v>
      </c>
      <c r="AK412" s="60">
        <v>587251864</v>
      </c>
      <c r="AL412" s="60"/>
      <c r="AM412" s="60">
        <v>1479995436</v>
      </c>
      <c r="AN412" s="60">
        <f>SUBTOTAL(9,AC412:AM412)</f>
        <v>18928779211</v>
      </c>
      <c r="AO412" s="60"/>
      <c r="AP412" s="60"/>
      <c r="AQ412" s="60">
        <v>486592645</v>
      </c>
      <c r="AR412" s="60"/>
      <c r="AS412" s="60"/>
      <c r="AT412" s="60">
        <v>3182215294</v>
      </c>
      <c r="AU412" s="60"/>
      <c r="AV412" s="60">
        <v>232907268</v>
      </c>
      <c r="AW412" s="60">
        <v>397899442</v>
      </c>
      <c r="AX412" s="60"/>
      <c r="AY412" s="60"/>
      <c r="AZ412" s="60">
        <v>257612641</v>
      </c>
      <c r="BA412" s="60">
        <f>VLOOKUP(B412,[2]Hoja3!J$3:K$674,2,0)</f>
        <v>151364732</v>
      </c>
      <c r="BB412" s="60"/>
      <c r="BC412" s="61">
        <f t="shared" si="57"/>
        <v>23637371233</v>
      </c>
      <c r="BD412" s="60"/>
      <c r="BE412" s="60"/>
      <c r="BF412" s="60">
        <v>97318529</v>
      </c>
      <c r="BG412" s="60"/>
      <c r="BH412" s="60"/>
      <c r="BI412" s="60">
        <v>3234874547</v>
      </c>
      <c r="BJ412" s="60">
        <v>298192708</v>
      </c>
      <c r="BK412" s="60">
        <v>241622937</v>
      </c>
      <c r="BL412" s="60">
        <v>533645551</v>
      </c>
      <c r="BM412" s="60"/>
      <c r="BN412" s="60"/>
      <c r="BO412" s="60"/>
      <c r="BP412" s="61">
        <v>28043025505</v>
      </c>
      <c r="BQ412" s="61"/>
      <c r="BR412" s="61"/>
      <c r="BS412" s="61">
        <v>97318529</v>
      </c>
      <c r="BT412" s="61"/>
      <c r="BU412" s="61"/>
      <c r="BV412" s="61"/>
      <c r="BW412" s="61">
        <v>3241375825</v>
      </c>
      <c r="BX412" s="61"/>
      <c r="BY412" s="61">
        <v>1674000000</v>
      </c>
      <c r="BZ412" s="61">
        <v>238304433</v>
      </c>
      <c r="CA412" s="61">
        <v>621376638</v>
      </c>
      <c r="CB412" s="61"/>
      <c r="CC412" s="61"/>
      <c r="CD412" s="61"/>
      <c r="CE412" s="61"/>
      <c r="CF412" s="61"/>
      <c r="CG412" s="61">
        <f t="shared" si="58"/>
        <v>33915400930</v>
      </c>
      <c r="CH412" s="62">
        <f>VLOOKUP(B412,[1]RPTNCT049_ConsultaSaldosContabl!I$4:K$7987,3,0)</f>
        <v>32284040762</v>
      </c>
      <c r="CI412" s="62">
        <f t="shared" si="59"/>
        <v>1631360168</v>
      </c>
      <c r="CJ412" s="63">
        <f t="shared" si="60"/>
        <v>33915400930</v>
      </c>
      <c r="CK412" s="64">
        <f t="shared" si="61"/>
        <v>0</v>
      </c>
      <c r="CL412" s="16"/>
      <c r="CM412" s="16"/>
      <c r="CN412" s="16"/>
    </row>
    <row r="413" spans="1:96" ht="15" customHeight="1" x14ac:dyDescent="0.2">
      <c r="A413" s="1">
        <v>8909839381</v>
      </c>
      <c r="B413" s="1">
        <v>890983938</v>
      </c>
      <c r="C413" s="9">
        <v>211005310</v>
      </c>
      <c r="D413" s="10" t="s">
        <v>91</v>
      </c>
      <c r="E413" s="52" t="s">
        <v>1122</v>
      </c>
      <c r="F413" s="21"/>
      <c r="G413" s="59"/>
      <c r="H413" s="21"/>
      <c r="I413" s="59"/>
      <c r="J413" s="21"/>
      <c r="K413" s="21"/>
      <c r="L413" s="59"/>
      <c r="M413" s="60"/>
      <c r="N413" s="21"/>
      <c r="O413" s="59"/>
      <c r="P413" s="21"/>
      <c r="Q413" s="59"/>
      <c r="R413" s="21"/>
      <c r="S413" s="21"/>
      <c r="T413" s="59"/>
      <c r="U413" s="60">
        <f t="shared" si="56"/>
        <v>0</v>
      </c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>
        <v>64351040</v>
      </c>
      <c r="AZ413" s="60"/>
      <c r="BA413" s="60">
        <f>VLOOKUP(B413,[2]Hoja3!J$3:K$674,2,0)</f>
        <v>113489369</v>
      </c>
      <c r="BB413" s="60"/>
      <c r="BC413" s="61">
        <f t="shared" si="57"/>
        <v>177840409</v>
      </c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>
        <v>12870208</v>
      </c>
      <c r="BO413" s="60"/>
      <c r="BP413" s="61">
        <v>190710617</v>
      </c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>
        <v>12870208</v>
      </c>
      <c r="CD413" s="61"/>
      <c r="CE413" s="61"/>
      <c r="CF413" s="61"/>
      <c r="CG413" s="61">
        <f t="shared" si="58"/>
        <v>203580825</v>
      </c>
      <c r="CH413" s="62">
        <f>VLOOKUP(B413,[1]RPTNCT049_ConsultaSaldosContabl!I$4:K$7987,3,0)</f>
        <v>90091456</v>
      </c>
      <c r="CI413" s="62">
        <f t="shared" si="59"/>
        <v>113489369</v>
      </c>
      <c r="CJ413" s="63">
        <f t="shared" si="60"/>
        <v>203580825</v>
      </c>
      <c r="CK413" s="64">
        <f t="shared" si="61"/>
        <v>0</v>
      </c>
      <c r="CL413" s="16"/>
      <c r="CM413" s="16"/>
      <c r="CN413" s="16"/>
    </row>
    <row r="414" spans="1:96" ht="15" customHeight="1" x14ac:dyDescent="0.2">
      <c r="A414" s="1">
        <v>8000965979</v>
      </c>
      <c r="B414" s="1">
        <v>800096597</v>
      </c>
      <c r="C414" s="9">
        <v>211020310</v>
      </c>
      <c r="D414" s="10" t="s">
        <v>424</v>
      </c>
      <c r="E414" s="52" t="s">
        <v>1451</v>
      </c>
      <c r="F414" s="21"/>
      <c r="G414" s="59"/>
      <c r="H414" s="21"/>
      <c r="I414" s="59"/>
      <c r="J414" s="21"/>
      <c r="K414" s="21"/>
      <c r="L414" s="59"/>
      <c r="M414" s="60"/>
      <c r="N414" s="21"/>
      <c r="O414" s="59"/>
      <c r="P414" s="21"/>
      <c r="Q414" s="59"/>
      <c r="R414" s="21"/>
      <c r="S414" s="21"/>
      <c r="T414" s="59"/>
      <c r="U414" s="60">
        <f t="shared" si="56"/>
        <v>0</v>
      </c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>
        <v>46531565</v>
      </c>
      <c r="AZ414" s="60"/>
      <c r="BA414" s="60">
        <f>VLOOKUP(B414,[2]Hoja3!J$3:K$674,2,0)</f>
        <v>71416402</v>
      </c>
      <c r="BB414" s="60"/>
      <c r="BC414" s="61">
        <f t="shared" si="57"/>
        <v>117947967</v>
      </c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>
        <v>9306313</v>
      </c>
      <c r="BO414" s="60"/>
      <c r="BP414" s="61">
        <v>127254280</v>
      </c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>
        <v>9306313</v>
      </c>
      <c r="CD414" s="61"/>
      <c r="CE414" s="61"/>
      <c r="CF414" s="61"/>
      <c r="CG414" s="61">
        <f t="shared" si="58"/>
        <v>136560593</v>
      </c>
      <c r="CH414" s="62">
        <f>VLOOKUP(B414,[1]RPTNCT049_ConsultaSaldosContabl!I$4:K$7987,3,0)</f>
        <v>65144191</v>
      </c>
      <c r="CI414" s="62">
        <f t="shared" si="59"/>
        <v>71416402</v>
      </c>
      <c r="CJ414" s="63">
        <f t="shared" si="60"/>
        <v>136560593</v>
      </c>
      <c r="CK414" s="64">
        <f t="shared" si="61"/>
        <v>0</v>
      </c>
      <c r="CL414" s="16"/>
      <c r="CM414" s="16"/>
      <c r="CN414" s="16"/>
    </row>
    <row r="415" spans="1:96" ht="15" customHeight="1" x14ac:dyDescent="0.2">
      <c r="A415" s="1">
        <v>8905014041</v>
      </c>
      <c r="B415" s="1">
        <v>890501404</v>
      </c>
      <c r="C415" s="9">
        <v>211354313</v>
      </c>
      <c r="D415" s="10" t="s">
        <v>765</v>
      </c>
      <c r="E415" s="52" t="s">
        <v>1783</v>
      </c>
      <c r="F415" s="21"/>
      <c r="G415" s="59"/>
      <c r="H415" s="21"/>
      <c r="I415" s="59"/>
      <c r="J415" s="21"/>
      <c r="K415" s="21"/>
      <c r="L415" s="59"/>
      <c r="M415" s="60"/>
      <c r="N415" s="21"/>
      <c r="O415" s="59"/>
      <c r="P415" s="21"/>
      <c r="Q415" s="59"/>
      <c r="R415" s="21"/>
      <c r="S415" s="21"/>
      <c r="T415" s="59"/>
      <c r="U415" s="60">
        <f t="shared" si="56"/>
        <v>0</v>
      </c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>
        <v>22371166</v>
      </c>
      <c r="AN415" s="60">
        <f>SUBTOTAL(9,AC415:AM415)</f>
        <v>22371166</v>
      </c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>
        <v>49433285</v>
      </c>
      <c r="AZ415" s="60"/>
      <c r="BA415" s="60">
        <f>VLOOKUP(B415,[2]Hoja3!J$3:K$674,2,0)</f>
        <v>68676914</v>
      </c>
      <c r="BB415" s="60"/>
      <c r="BC415" s="61">
        <f t="shared" si="57"/>
        <v>140481365</v>
      </c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>
        <v>9886657</v>
      </c>
      <c r="BO415" s="60"/>
      <c r="BP415" s="61">
        <v>150368022</v>
      </c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>
        <v>9886657</v>
      </c>
      <c r="CD415" s="61"/>
      <c r="CE415" s="61"/>
      <c r="CF415" s="61"/>
      <c r="CG415" s="61">
        <f t="shared" si="58"/>
        <v>160254679</v>
      </c>
      <c r="CH415" s="62">
        <f>VLOOKUP(B415,[1]RPTNCT049_ConsultaSaldosContabl!I$4:K$7987,3,0)</f>
        <v>69206599</v>
      </c>
      <c r="CI415" s="62">
        <f t="shared" si="59"/>
        <v>91048080</v>
      </c>
      <c r="CJ415" s="63">
        <f t="shared" si="60"/>
        <v>160254679</v>
      </c>
      <c r="CK415" s="64">
        <f t="shared" si="61"/>
        <v>0</v>
      </c>
      <c r="CL415" s="16"/>
      <c r="CM415" s="16"/>
      <c r="CN415" s="16"/>
    </row>
    <row r="416" spans="1:96" ht="15" customHeight="1" x14ac:dyDescent="0.2">
      <c r="A416" s="1">
        <v>8909837281</v>
      </c>
      <c r="B416" s="1">
        <v>890983728</v>
      </c>
      <c r="C416" s="9">
        <v>211305313</v>
      </c>
      <c r="D416" s="10" t="s">
        <v>92</v>
      </c>
      <c r="E416" s="52" t="s">
        <v>1123</v>
      </c>
      <c r="F416" s="21"/>
      <c r="G416" s="59"/>
      <c r="H416" s="21"/>
      <c r="I416" s="59"/>
      <c r="J416" s="21"/>
      <c r="K416" s="21"/>
      <c r="L416" s="59"/>
      <c r="M416" s="60"/>
      <c r="N416" s="21"/>
      <c r="O416" s="59"/>
      <c r="P416" s="21"/>
      <c r="Q416" s="59"/>
      <c r="R416" s="21"/>
      <c r="S416" s="21"/>
      <c r="T416" s="59"/>
      <c r="U416" s="60">
        <f t="shared" si="56"/>
        <v>0</v>
      </c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>
        <v>138412057</v>
      </c>
      <c r="AN416" s="60">
        <f>SUBTOTAL(9,AC416:AM416)</f>
        <v>138412057</v>
      </c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>
        <v>61843335</v>
      </c>
      <c r="AZ416" s="60"/>
      <c r="BA416" s="60"/>
      <c r="BB416" s="60"/>
      <c r="BC416" s="61">
        <f t="shared" si="57"/>
        <v>200255392</v>
      </c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>
        <v>12368667</v>
      </c>
      <c r="BO416" s="60"/>
      <c r="BP416" s="61">
        <v>212624059</v>
      </c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>
        <v>12368667</v>
      </c>
      <c r="CD416" s="61"/>
      <c r="CE416" s="61"/>
      <c r="CF416" s="61"/>
      <c r="CG416" s="61">
        <f t="shared" si="58"/>
        <v>224992726</v>
      </c>
      <c r="CH416" s="62">
        <f>VLOOKUP(B416,[1]RPTNCT049_ConsultaSaldosContabl!I$4:K$7987,3,0)</f>
        <v>86580669</v>
      </c>
      <c r="CI416" s="62">
        <f t="shared" si="59"/>
        <v>138412057</v>
      </c>
      <c r="CJ416" s="63">
        <f t="shared" si="60"/>
        <v>224992726</v>
      </c>
      <c r="CK416" s="64">
        <f t="shared" si="61"/>
        <v>0</v>
      </c>
      <c r="CL416" s="16"/>
      <c r="CM416" s="16"/>
      <c r="CN416" s="16"/>
    </row>
    <row r="417" spans="1:96" ht="15" customHeight="1" x14ac:dyDescent="0.2">
      <c r="A417" s="1">
        <v>8320009921</v>
      </c>
      <c r="B417" s="1">
        <v>832000992</v>
      </c>
      <c r="C417" s="9">
        <v>211225312</v>
      </c>
      <c r="D417" s="10" t="s">
        <v>493</v>
      </c>
      <c r="E417" s="52" t="s">
        <v>1520</v>
      </c>
      <c r="F417" s="21"/>
      <c r="G417" s="59"/>
      <c r="H417" s="21"/>
      <c r="I417" s="59"/>
      <c r="J417" s="21"/>
      <c r="K417" s="21"/>
      <c r="L417" s="59"/>
      <c r="M417" s="60"/>
      <c r="N417" s="21"/>
      <c r="O417" s="59"/>
      <c r="P417" s="21"/>
      <c r="Q417" s="59"/>
      <c r="R417" s="21"/>
      <c r="S417" s="21"/>
      <c r="T417" s="59"/>
      <c r="U417" s="60">
        <f t="shared" si="56"/>
        <v>0</v>
      </c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>
        <v>110012315</v>
      </c>
      <c r="AN417" s="60">
        <f>SUBTOTAL(9,AC417:AM417)</f>
        <v>110012315</v>
      </c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>
        <v>43525775</v>
      </c>
      <c r="AZ417" s="60"/>
      <c r="BA417" s="60"/>
      <c r="BB417" s="60"/>
      <c r="BC417" s="61">
        <f t="shared" si="57"/>
        <v>153538090</v>
      </c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>
        <v>8705155</v>
      </c>
      <c r="BO417" s="60"/>
      <c r="BP417" s="61">
        <v>162243245</v>
      </c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>
        <v>8705155</v>
      </c>
      <c r="CD417" s="61"/>
      <c r="CE417" s="61"/>
      <c r="CF417" s="61"/>
      <c r="CG417" s="61">
        <f t="shared" si="58"/>
        <v>170948400</v>
      </c>
      <c r="CH417" s="62">
        <f>VLOOKUP(B417,[1]RPTNCT049_ConsultaSaldosContabl!I$4:K$7987,3,0)</f>
        <v>60936085</v>
      </c>
      <c r="CI417" s="62">
        <f t="shared" si="59"/>
        <v>110012315</v>
      </c>
      <c r="CJ417" s="63">
        <f t="shared" si="60"/>
        <v>170948400</v>
      </c>
      <c r="CK417" s="64">
        <f t="shared" si="61"/>
        <v>0</v>
      </c>
      <c r="CL417" s="16"/>
      <c r="CM417" s="8"/>
      <c r="CN417" s="8"/>
      <c r="CO417" s="8"/>
      <c r="CP417" s="8"/>
      <c r="CQ417" s="8"/>
      <c r="CR417" s="8"/>
    </row>
    <row r="418" spans="1:96" ht="15" customHeight="1" x14ac:dyDescent="0.2">
      <c r="A418" s="1">
        <v>8920992435</v>
      </c>
      <c r="B418" s="1">
        <v>892099243</v>
      </c>
      <c r="C418" s="9">
        <v>211350313</v>
      </c>
      <c r="D418" s="10" t="s">
        <v>675</v>
      </c>
      <c r="E418" s="52" t="s">
        <v>1696</v>
      </c>
      <c r="F418" s="21"/>
      <c r="G418" s="59"/>
      <c r="H418" s="21"/>
      <c r="I418" s="59"/>
      <c r="J418" s="21"/>
      <c r="K418" s="21"/>
      <c r="L418" s="59"/>
      <c r="M418" s="60"/>
      <c r="N418" s="21"/>
      <c r="O418" s="59"/>
      <c r="P418" s="21"/>
      <c r="Q418" s="59"/>
      <c r="R418" s="21"/>
      <c r="S418" s="21"/>
      <c r="T418" s="59"/>
      <c r="U418" s="60">
        <f t="shared" si="56"/>
        <v>0</v>
      </c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>
        <v>829161595</v>
      </c>
      <c r="AN418" s="60">
        <f>SUBTOTAL(9,AC418:AM418)</f>
        <v>829161595</v>
      </c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>
        <v>426867025</v>
      </c>
      <c r="AZ418" s="60"/>
      <c r="BA418" s="60"/>
      <c r="BB418" s="60"/>
      <c r="BC418" s="61">
        <f t="shared" si="57"/>
        <v>1256028620</v>
      </c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>
        <v>85373405</v>
      </c>
      <c r="BO418" s="60"/>
      <c r="BP418" s="61">
        <v>1341402025</v>
      </c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>
        <v>85373405</v>
      </c>
      <c r="CD418" s="61"/>
      <c r="CE418" s="61">
        <v>57310177</v>
      </c>
      <c r="CF418" s="61"/>
      <c r="CG418" s="61">
        <f t="shared" si="58"/>
        <v>1484085607</v>
      </c>
      <c r="CH418" s="62">
        <f>VLOOKUP(B418,[1]RPTNCT049_ConsultaSaldosContabl!I$4:K$7987,3,0)</f>
        <v>597613835</v>
      </c>
      <c r="CI418" s="62">
        <f t="shared" si="59"/>
        <v>886471772</v>
      </c>
      <c r="CJ418" s="63">
        <f t="shared" si="60"/>
        <v>1484085607</v>
      </c>
      <c r="CK418" s="64">
        <f t="shared" si="61"/>
        <v>0</v>
      </c>
      <c r="CL418" s="16"/>
      <c r="CM418" s="8"/>
      <c r="CN418" s="8"/>
      <c r="CO418" s="8"/>
      <c r="CP418" s="8"/>
      <c r="CQ418" s="8"/>
      <c r="CR418" s="8"/>
    </row>
    <row r="419" spans="1:96" ht="15" customHeight="1" x14ac:dyDescent="0.2">
      <c r="A419" s="1">
        <v>8000126311</v>
      </c>
      <c r="B419" s="1">
        <v>800012631</v>
      </c>
      <c r="C419" s="9">
        <v>211715317</v>
      </c>
      <c r="D419" s="10" t="s">
        <v>254</v>
      </c>
      <c r="E419" s="52" t="s">
        <v>1289</v>
      </c>
      <c r="F419" s="21"/>
      <c r="G419" s="59"/>
      <c r="H419" s="21"/>
      <c r="I419" s="59"/>
      <c r="J419" s="21"/>
      <c r="K419" s="21"/>
      <c r="L419" s="59"/>
      <c r="M419" s="60"/>
      <c r="N419" s="21"/>
      <c r="O419" s="59"/>
      <c r="P419" s="21"/>
      <c r="Q419" s="59"/>
      <c r="R419" s="21"/>
      <c r="S419" s="21"/>
      <c r="T419" s="59"/>
      <c r="U419" s="60">
        <f t="shared" si="56"/>
        <v>0</v>
      </c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>
        <v>13376225</v>
      </c>
      <c r="AZ419" s="60"/>
      <c r="BA419" s="60">
        <f>VLOOKUP(B419,[2]Hoja3!J$3:K$674,2,0)</f>
        <v>21512401</v>
      </c>
      <c r="BB419" s="60"/>
      <c r="BC419" s="61">
        <f t="shared" si="57"/>
        <v>34888626</v>
      </c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>
        <v>2675245</v>
      </c>
      <c r="BO419" s="60"/>
      <c r="BP419" s="61">
        <v>37563871</v>
      </c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>
        <v>2675245</v>
      </c>
      <c r="CD419" s="61"/>
      <c r="CE419" s="61"/>
      <c r="CF419" s="61"/>
      <c r="CG419" s="61">
        <f t="shared" si="58"/>
        <v>40239116</v>
      </c>
      <c r="CH419" s="62">
        <f>VLOOKUP(B419,[1]RPTNCT049_ConsultaSaldosContabl!I$4:K$7987,3,0)</f>
        <v>18726715</v>
      </c>
      <c r="CI419" s="62">
        <f t="shared" si="59"/>
        <v>21512401</v>
      </c>
      <c r="CJ419" s="63">
        <f t="shared" si="60"/>
        <v>40239116</v>
      </c>
      <c r="CK419" s="64">
        <f t="shared" si="61"/>
        <v>0</v>
      </c>
      <c r="CL419" s="16"/>
      <c r="CM419" s="8"/>
      <c r="CN419" s="8"/>
      <c r="CO419" s="8"/>
      <c r="CP419" s="8"/>
      <c r="CQ419" s="8"/>
      <c r="CR419" s="8"/>
    </row>
    <row r="420" spans="1:96" ht="15" customHeight="1" x14ac:dyDescent="0.2">
      <c r="A420" s="1">
        <v>8902054391</v>
      </c>
      <c r="B420" s="1">
        <v>890205439</v>
      </c>
      <c r="C420" s="9">
        <v>214568245</v>
      </c>
      <c r="D420" s="10" t="s">
        <v>835</v>
      </c>
      <c r="E420" s="52" t="s">
        <v>1849</v>
      </c>
      <c r="F420" s="21"/>
      <c r="G420" s="59"/>
      <c r="H420" s="21"/>
      <c r="I420" s="59"/>
      <c r="J420" s="21"/>
      <c r="K420" s="21"/>
      <c r="L420" s="59"/>
      <c r="M420" s="60"/>
      <c r="N420" s="21"/>
      <c r="O420" s="59"/>
      <c r="P420" s="21"/>
      <c r="Q420" s="59"/>
      <c r="R420" s="21"/>
      <c r="S420" s="21"/>
      <c r="T420" s="59"/>
      <c r="U420" s="60">
        <f t="shared" si="56"/>
        <v>0</v>
      </c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>
        <v>14654080</v>
      </c>
      <c r="AZ420" s="60"/>
      <c r="BA420" s="60">
        <f>VLOOKUP(B420,[2]Hoja3!J$3:K$674,2,0)</f>
        <v>29339859</v>
      </c>
      <c r="BB420" s="60"/>
      <c r="BC420" s="61">
        <f t="shared" si="57"/>
        <v>43993939</v>
      </c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>
        <v>2930816</v>
      </c>
      <c r="BO420" s="60"/>
      <c r="BP420" s="61">
        <v>46924755</v>
      </c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>
        <v>2930816</v>
      </c>
      <c r="CD420" s="61"/>
      <c r="CE420" s="61"/>
      <c r="CF420" s="61"/>
      <c r="CG420" s="61">
        <f t="shared" si="58"/>
        <v>49855571</v>
      </c>
      <c r="CH420" s="62">
        <f>VLOOKUP(B420,[1]RPTNCT049_ConsultaSaldosContabl!I$4:K$7987,3,0)</f>
        <v>20515712</v>
      </c>
      <c r="CI420" s="62">
        <f t="shared" si="59"/>
        <v>29339859</v>
      </c>
      <c r="CJ420" s="63">
        <f t="shared" si="60"/>
        <v>49855571</v>
      </c>
      <c r="CK420" s="64">
        <f t="shared" si="61"/>
        <v>0</v>
      </c>
      <c r="CL420" s="16"/>
      <c r="CM420" s="16"/>
      <c r="CN420" s="16"/>
    </row>
    <row r="421" spans="1:96" ht="15" customHeight="1" x14ac:dyDescent="0.2">
      <c r="A421" s="1">
        <v>8913800897</v>
      </c>
      <c r="B421" s="1">
        <v>891380089</v>
      </c>
      <c r="C421" s="9">
        <v>211876318</v>
      </c>
      <c r="D421" s="10" t="s">
        <v>928</v>
      </c>
      <c r="E421" s="52" t="s">
        <v>1988</v>
      </c>
      <c r="F421" s="21"/>
      <c r="G421" s="59"/>
      <c r="H421" s="21"/>
      <c r="I421" s="59"/>
      <c r="J421" s="21"/>
      <c r="K421" s="21"/>
      <c r="L421" s="59"/>
      <c r="M421" s="60"/>
      <c r="N421" s="21"/>
      <c r="O421" s="59"/>
      <c r="P421" s="21"/>
      <c r="Q421" s="59"/>
      <c r="R421" s="21"/>
      <c r="S421" s="21"/>
      <c r="T421" s="59"/>
      <c r="U421" s="60">
        <f t="shared" si="56"/>
        <v>0</v>
      </c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>
        <v>184944125</v>
      </c>
      <c r="AZ421" s="60"/>
      <c r="BA421" s="60">
        <f>VLOOKUP(B421,[2]Hoja3!J$3:K$674,2,0)</f>
        <v>383267128</v>
      </c>
      <c r="BB421" s="60"/>
      <c r="BC421" s="61">
        <f t="shared" si="57"/>
        <v>568211253</v>
      </c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>
        <v>36988825</v>
      </c>
      <c r="BO421" s="60"/>
      <c r="BP421" s="61">
        <v>605200078</v>
      </c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>
        <v>36988825</v>
      </c>
      <c r="CD421" s="61"/>
      <c r="CE421" s="61"/>
      <c r="CF421" s="61"/>
      <c r="CG421" s="61">
        <f t="shared" si="58"/>
        <v>642188903</v>
      </c>
      <c r="CH421" s="62">
        <f>VLOOKUP(B421,[1]RPTNCT049_ConsultaSaldosContabl!I$4:K$7987,3,0)</f>
        <v>258921775</v>
      </c>
      <c r="CI421" s="62">
        <f t="shared" si="59"/>
        <v>383267128</v>
      </c>
      <c r="CJ421" s="63">
        <f t="shared" si="60"/>
        <v>642188903</v>
      </c>
      <c r="CK421" s="64">
        <f t="shared" si="61"/>
        <v>0</v>
      </c>
      <c r="CL421" s="16"/>
      <c r="CM421" s="16"/>
      <c r="CN421" s="16"/>
    </row>
    <row r="422" spans="1:96" ht="15" customHeight="1" x14ac:dyDescent="0.2">
      <c r="A422" s="1">
        <v>8902083600</v>
      </c>
      <c r="B422" s="1">
        <v>890208360</v>
      </c>
      <c r="C422" s="9">
        <v>211868318</v>
      </c>
      <c r="D422" s="10" t="s">
        <v>842</v>
      </c>
      <c r="E422" s="52" t="s">
        <v>1857</v>
      </c>
      <c r="F422" s="21"/>
      <c r="G422" s="59"/>
      <c r="H422" s="21"/>
      <c r="I422" s="59"/>
      <c r="J422" s="21"/>
      <c r="K422" s="21"/>
      <c r="L422" s="59"/>
      <c r="M422" s="60"/>
      <c r="N422" s="21"/>
      <c r="O422" s="59"/>
      <c r="P422" s="21"/>
      <c r="Q422" s="59"/>
      <c r="R422" s="21"/>
      <c r="S422" s="21"/>
      <c r="T422" s="59"/>
      <c r="U422" s="60">
        <f t="shared" si="56"/>
        <v>0</v>
      </c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>
        <v>39435060</v>
      </c>
      <c r="AZ422" s="60"/>
      <c r="BA422" s="60">
        <f>VLOOKUP(B422,[2]Hoja3!J$3:K$674,2,0)</f>
        <v>83651490</v>
      </c>
      <c r="BB422" s="60"/>
      <c r="BC422" s="61">
        <f t="shared" si="57"/>
        <v>123086550</v>
      </c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>
        <v>7887012</v>
      </c>
      <c r="BO422" s="60"/>
      <c r="BP422" s="61">
        <v>130973562</v>
      </c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>
        <v>7887012</v>
      </c>
      <c r="CD422" s="61"/>
      <c r="CE422" s="61"/>
      <c r="CF422" s="61"/>
      <c r="CG422" s="61">
        <f t="shared" si="58"/>
        <v>138860574</v>
      </c>
      <c r="CH422" s="62">
        <f>VLOOKUP(B422,[1]RPTNCT049_ConsultaSaldosContabl!I$4:K$7987,3,0)</f>
        <v>55209084</v>
      </c>
      <c r="CI422" s="62">
        <f t="shared" si="59"/>
        <v>83651490</v>
      </c>
      <c r="CJ422" s="63">
        <f t="shared" si="60"/>
        <v>138860574</v>
      </c>
      <c r="CK422" s="64">
        <f t="shared" si="61"/>
        <v>0</v>
      </c>
      <c r="CL422" s="16"/>
      <c r="CM422" s="16"/>
      <c r="CN422" s="16"/>
    </row>
    <row r="423" spans="1:96" ht="15" customHeight="1" x14ac:dyDescent="0.2">
      <c r="A423" s="1">
        <v>9001271830</v>
      </c>
      <c r="B423" s="1">
        <v>900127183</v>
      </c>
      <c r="C423" s="9">
        <v>923270346</v>
      </c>
      <c r="D423" s="10" t="s">
        <v>384</v>
      </c>
      <c r="E423" s="52" t="s">
        <v>2070</v>
      </c>
      <c r="F423" s="21"/>
      <c r="G423" s="59"/>
      <c r="H423" s="21"/>
      <c r="I423" s="59"/>
      <c r="J423" s="21"/>
      <c r="K423" s="21"/>
      <c r="L423" s="59"/>
      <c r="M423" s="60"/>
      <c r="N423" s="21"/>
      <c r="O423" s="59"/>
      <c r="P423" s="21"/>
      <c r="Q423" s="59"/>
      <c r="R423" s="21"/>
      <c r="S423" s="21"/>
      <c r="T423" s="59"/>
      <c r="U423" s="60">
        <f t="shared" si="56"/>
        <v>0</v>
      </c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>
        <v>126331320</v>
      </c>
      <c r="AN423" s="60">
        <f>SUBTOTAL(9,AC423:AM423)</f>
        <v>126331320</v>
      </c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>
        <v>130938200</v>
      </c>
      <c r="AZ423" s="60"/>
      <c r="BA423" s="60">
        <f>VLOOKUP(B423,[2]Hoja3!J$3:K$674,2,0)</f>
        <v>156997775</v>
      </c>
      <c r="BB423" s="60"/>
      <c r="BC423" s="61">
        <f t="shared" si="57"/>
        <v>414267295</v>
      </c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>
        <v>26187640</v>
      </c>
      <c r="BO423" s="60"/>
      <c r="BP423" s="61">
        <v>440454935</v>
      </c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>
        <v>26187640</v>
      </c>
      <c r="CD423" s="61"/>
      <c r="CE423" s="61"/>
      <c r="CF423" s="61"/>
      <c r="CG423" s="61">
        <f t="shared" si="58"/>
        <v>466642575</v>
      </c>
      <c r="CH423" s="62">
        <f>VLOOKUP(B423,[1]RPTNCT049_ConsultaSaldosContabl!I$4:K$7987,3,0)</f>
        <v>183313480</v>
      </c>
      <c r="CI423" s="62">
        <f t="shared" si="59"/>
        <v>283329095</v>
      </c>
      <c r="CJ423" s="63">
        <f t="shared" si="60"/>
        <v>466642575</v>
      </c>
      <c r="CK423" s="64">
        <f t="shared" si="61"/>
        <v>0</v>
      </c>
      <c r="CL423" s="16"/>
      <c r="CM423" s="16"/>
      <c r="CN423" s="16"/>
    </row>
    <row r="424" spans="1:96" ht="15" customHeight="1" x14ac:dyDescent="0.2">
      <c r="A424" s="1">
        <v>8999993620</v>
      </c>
      <c r="B424" s="1">
        <v>899999362</v>
      </c>
      <c r="C424" s="9">
        <v>211725317</v>
      </c>
      <c r="D424" s="10" t="s">
        <v>494</v>
      </c>
      <c r="E424" s="52" t="s">
        <v>1521</v>
      </c>
      <c r="F424" s="21"/>
      <c r="G424" s="59"/>
      <c r="H424" s="21"/>
      <c r="I424" s="59"/>
      <c r="J424" s="21"/>
      <c r="K424" s="21"/>
      <c r="L424" s="59"/>
      <c r="M424" s="60"/>
      <c r="N424" s="21"/>
      <c r="O424" s="59"/>
      <c r="P424" s="21"/>
      <c r="Q424" s="59"/>
      <c r="R424" s="21"/>
      <c r="S424" s="21"/>
      <c r="T424" s="59"/>
      <c r="U424" s="60">
        <f t="shared" si="56"/>
        <v>0</v>
      </c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>
        <v>219286974</v>
      </c>
      <c r="AN424" s="60">
        <f>SUBTOTAL(9,AC424:AM424)</f>
        <v>219286974</v>
      </c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>
        <v>88742515</v>
      </c>
      <c r="AZ424" s="60"/>
      <c r="BA424" s="60"/>
      <c r="BB424" s="60"/>
      <c r="BC424" s="61">
        <f t="shared" si="57"/>
        <v>308029489</v>
      </c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>
        <v>17748503</v>
      </c>
      <c r="BO424" s="60"/>
      <c r="BP424" s="61">
        <v>325777992</v>
      </c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>
        <v>17748503</v>
      </c>
      <c r="CD424" s="61"/>
      <c r="CE424" s="61"/>
      <c r="CF424" s="61"/>
      <c r="CG424" s="61">
        <f t="shared" si="58"/>
        <v>343526495</v>
      </c>
      <c r="CH424" s="62">
        <f>VLOOKUP(B424,[1]RPTNCT049_ConsultaSaldosContabl!I$4:K$7987,3,0)</f>
        <v>124239521</v>
      </c>
      <c r="CI424" s="62">
        <f t="shared" si="59"/>
        <v>219286974</v>
      </c>
      <c r="CJ424" s="63">
        <f t="shared" si="60"/>
        <v>343526495</v>
      </c>
      <c r="CK424" s="64">
        <f t="shared" si="61"/>
        <v>0</v>
      </c>
      <c r="CL424" s="16"/>
      <c r="CM424" s="16"/>
      <c r="CN424" s="16"/>
    </row>
    <row r="425" spans="1:96" ht="15" customHeight="1" x14ac:dyDescent="0.2">
      <c r="A425" s="1">
        <v>8000156891</v>
      </c>
      <c r="B425" s="1">
        <v>800015689</v>
      </c>
      <c r="C425" s="9">
        <v>211752317</v>
      </c>
      <c r="D425" s="10" t="s">
        <v>711</v>
      </c>
      <c r="E425" s="52" t="s">
        <v>1734</v>
      </c>
      <c r="F425" s="21"/>
      <c r="G425" s="59"/>
      <c r="H425" s="21"/>
      <c r="I425" s="59"/>
      <c r="J425" s="21"/>
      <c r="K425" s="21"/>
      <c r="L425" s="59"/>
      <c r="M425" s="60"/>
      <c r="N425" s="21"/>
      <c r="O425" s="59"/>
      <c r="P425" s="21"/>
      <c r="Q425" s="59"/>
      <c r="R425" s="21"/>
      <c r="S425" s="21"/>
      <c r="T425" s="59"/>
      <c r="U425" s="60">
        <f t="shared" si="56"/>
        <v>0</v>
      </c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>
        <v>25039825</v>
      </c>
      <c r="AN425" s="60">
        <f>SUBTOTAL(9,AC425:AM425)</f>
        <v>25039825</v>
      </c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>
        <v>135224150</v>
      </c>
      <c r="AZ425" s="60"/>
      <c r="BA425" s="60">
        <f>VLOOKUP(B425,[2]Hoja3!J$3:K$674,2,0)</f>
        <v>209661015</v>
      </c>
      <c r="BB425" s="60"/>
      <c r="BC425" s="61">
        <f t="shared" si="57"/>
        <v>369924990</v>
      </c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>
        <v>27044830</v>
      </c>
      <c r="BO425" s="60"/>
      <c r="BP425" s="61">
        <v>396969820</v>
      </c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>
        <v>27044830</v>
      </c>
      <c r="CD425" s="61"/>
      <c r="CE425" s="61"/>
      <c r="CF425" s="61"/>
      <c r="CG425" s="61">
        <f t="shared" si="58"/>
        <v>424014650</v>
      </c>
      <c r="CH425" s="62">
        <f>VLOOKUP(B425,[1]RPTNCT049_ConsultaSaldosContabl!I$4:K$7987,3,0)</f>
        <v>189313810</v>
      </c>
      <c r="CI425" s="62">
        <f t="shared" si="59"/>
        <v>234700840</v>
      </c>
      <c r="CJ425" s="63">
        <f t="shared" si="60"/>
        <v>424014650</v>
      </c>
      <c r="CK425" s="64">
        <f t="shared" si="61"/>
        <v>0</v>
      </c>
      <c r="CL425" s="16"/>
      <c r="CM425" s="16"/>
      <c r="CN425" s="16"/>
    </row>
    <row r="426" spans="1:96" ht="15" customHeight="1" x14ac:dyDescent="0.2">
      <c r="A426" s="1">
        <v>8909811622</v>
      </c>
      <c r="B426" s="1">
        <v>890981162</v>
      </c>
      <c r="C426" s="9">
        <v>211505315</v>
      </c>
      <c r="D426" s="10" t="s">
        <v>93</v>
      </c>
      <c r="E426" s="52" t="s">
        <v>1124</v>
      </c>
      <c r="F426" s="21"/>
      <c r="G426" s="59"/>
      <c r="H426" s="21"/>
      <c r="I426" s="59"/>
      <c r="J426" s="21"/>
      <c r="K426" s="21"/>
      <c r="L426" s="59"/>
      <c r="M426" s="60"/>
      <c r="N426" s="21"/>
      <c r="O426" s="59"/>
      <c r="P426" s="21"/>
      <c r="Q426" s="59"/>
      <c r="R426" s="21"/>
      <c r="S426" s="21"/>
      <c r="T426" s="59"/>
      <c r="U426" s="60">
        <f t="shared" si="56"/>
        <v>0</v>
      </c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>
        <f>VLOOKUP(B426,[2]Hoja3!J$3:K$674,2,0)</f>
        <v>87669867</v>
      </c>
      <c r="BB426" s="60"/>
      <c r="BC426" s="61">
        <f t="shared" si="57"/>
        <v>87669867</v>
      </c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>
        <v>8431593</v>
      </c>
      <c r="BO426" s="60"/>
      <c r="BP426" s="61">
        <v>96101460</v>
      </c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>
        <v>8431593</v>
      </c>
      <c r="CD426" s="61">
        <v>42157965</v>
      </c>
      <c r="CE426" s="61"/>
      <c r="CF426" s="61"/>
      <c r="CG426" s="61">
        <f t="shared" si="58"/>
        <v>146691018</v>
      </c>
      <c r="CH426" s="62">
        <f>VLOOKUP(B426,[1]RPTNCT049_ConsultaSaldosContabl!I$4:K$7987,3,0)</f>
        <v>59021151</v>
      </c>
      <c r="CI426" s="62">
        <f t="shared" si="59"/>
        <v>87669867</v>
      </c>
      <c r="CJ426" s="63">
        <f t="shared" si="60"/>
        <v>146691018</v>
      </c>
      <c r="CK426" s="64">
        <f t="shared" si="61"/>
        <v>0</v>
      </c>
      <c r="CL426" s="16"/>
      <c r="CM426" s="16"/>
      <c r="CN426" s="16"/>
    </row>
    <row r="427" spans="1:96" ht="15" customHeight="1" x14ac:dyDescent="0.2">
      <c r="A427" s="1">
        <v>8911801779</v>
      </c>
      <c r="B427" s="1">
        <v>891180177</v>
      </c>
      <c r="C427" s="9">
        <v>211941319</v>
      </c>
      <c r="D427" s="10" t="s">
        <v>604</v>
      </c>
      <c r="E427" s="52" t="s">
        <v>1623</v>
      </c>
      <c r="F427" s="21"/>
      <c r="G427" s="59"/>
      <c r="H427" s="21"/>
      <c r="I427" s="59"/>
      <c r="J427" s="21"/>
      <c r="K427" s="21"/>
      <c r="L427" s="59"/>
      <c r="M427" s="60"/>
      <c r="N427" s="21"/>
      <c r="O427" s="59"/>
      <c r="P427" s="21"/>
      <c r="Q427" s="59"/>
      <c r="R427" s="21"/>
      <c r="S427" s="21"/>
      <c r="T427" s="59"/>
      <c r="U427" s="60">
        <f t="shared" si="56"/>
        <v>0</v>
      </c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>
        <v>124936395</v>
      </c>
      <c r="AZ427" s="60"/>
      <c r="BA427" s="60">
        <f>VLOOKUP(B427,[2]Hoja3!J$3:K$674,2,0)</f>
        <v>314706960</v>
      </c>
      <c r="BB427" s="60"/>
      <c r="BC427" s="61">
        <f t="shared" si="57"/>
        <v>439643355</v>
      </c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>
        <v>24987279</v>
      </c>
      <c r="BO427" s="60"/>
      <c r="BP427" s="61">
        <v>464630634</v>
      </c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>
        <v>24987279</v>
      </c>
      <c r="CD427" s="61"/>
      <c r="CE427" s="61"/>
      <c r="CF427" s="61"/>
      <c r="CG427" s="61">
        <f t="shared" si="58"/>
        <v>489617913</v>
      </c>
      <c r="CH427" s="62">
        <f>VLOOKUP(B427,[1]RPTNCT049_ConsultaSaldosContabl!I$4:K$7987,3,0)</f>
        <v>174910953</v>
      </c>
      <c r="CI427" s="62">
        <f t="shared" si="59"/>
        <v>314706960</v>
      </c>
      <c r="CJ427" s="63">
        <f t="shared" si="60"/>
        <v>489617913</v>
      </c>
      <c r="CK427" s="64">
        <f t="shared" si="61"/>
        <v>0</v>
      </c>
      <c r="CL427" s="16"/>
      <c r="CM427" s="8"/>
      <c r="CN427" s="8"/>
      <c r="CO427" s="8"/>
      <c r="CP427" s="8"/>
      <c r="CQ427" s="8"/>
      <c r="CR427" s="8"/>
    </row>
    <row r="428" spans="1:96" ht="15" customHeight="1" x14ac:dyDescent="0.2">
      <c r="A428" s="1">
        <v>8000996949</v>
      </c>
      <c r="B428" s="1">
        <v>800099694</v>
      </c>
      <c r="C428" s="9">
        <v>212068320</v>
      </c>
      <c r="D428" s="10" t="s">
        <v>843</v>
      </c>
      <c r="E428" s="52" t="s">
        <v>1858</v>
      </c>
      <c r="F428" s="21"/>
      <c r="G428" s="59"/>
      <c r="H428" s="21"/>
      <c r="I428" s="59"/>
      <c r="J428" s="21"/>
      <c r="K428" s="21"/>
      <c r="L428" s="59"/>
      <c r="M428" s="60"/>
      <c r="N428" s="21"/>
      <c r="O428" s="59"/>
      <c r="P428" s="21"/>
      <c r="Q428" s="59"/>
      <c r="R428" s="21"/>
      <c r="S428" s="21"/>
      <c r="T428" s="59"/>
      <c r="U428" s="60">
        <f t="shared" si="56"/>
        <v>0</v>
      </c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>
        <v>38989535</v>
      </c>
      <c r="AZ428" s="60"/>
      <c r="BA428" s="60">
        <f>VLOOKUP(B428,[2]Hoja3!J$3:K$674,2,0)</f>
        <v>29600446</v>
      </c>
      <c r="BB428" s="60"/>
      <c r="BC428" s="61">
        <f t="shared" si="57"/>
        <v>68589981</v>
      </c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>
        <v>7797907</v>
      </c>
      <c r="BO428" s="60"/>
      <c r="BP428" s="61">
        <v>76387888</v>
      </c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>
        <v>7797907</v>
      </c>
      <c r="CD428" s="61"/>
      <c r="CE428" s="61"/>
      <c r="CF428" s="61"/>
      <c r="CG428" s="61">
        <f t="shared" si="58"/>
        <v>84185795</v>
      </c>
      <c r="CH428" s="62">
        <f>VLOOKUP(B428,[1]RPTNCT049_ConsultaSaldosContabl!I$4:K$7987,3,0)</f>
        <v>54585349</v>
      </c>
      <c r="CI428" s="62">
        <f t="shared" si="59"/>
        <v>29600446</v>
      </c>
      <c r="CJ428" s="63">
        <f t="shared" si="60"/>
        <v>84185795</v>
      </c>
      <c r="CK428" s="64">
        <f t="shared" si="61"/>
        <v>0</v>
      </c>
      <c r="CL428" s="16"/>
      <c r="CM428" s="8"/>
      <c r="CN428" s="8"/>
      <c r="CO428" s="8"/>
      <c r="CP428" s="8"/>
      <c r="CQ428" s="8"/>
      <c r="CR428" s="8"/>
    </row>
    <row r="429" spans="1:96" ht="15" customHeight="1" x14ac:dyDescent="0.2">
      <c r="A429" s="1">
        <v>8999997014</v>
      </c>
      <c r="B429" s="1">
        <v>899999701</v>
      </c>
      <c r="C429" s="9">
        <v>212025320</v>
      </c>
      <c r="D429" s="10" t="s">
        <v>495</v>
      </c>
      <c r="E429" s="52" t="s">
        <v>1522</v>
      </c>
      <c r="F429" s="21"/>
      <c r="G429" s="59"/>
      <c r="H429" s="21"/>
      <c r="I429" s="59"/>
      <c r="J429" s="21"/>
      <c r="K429" s="21"/>
      <c r="L429" s="59"/>
      <c r="M429" s="60"/>
      <c r="N429" s="21"/>
      <c r="O429" s="59"/>
      <c r="P429" s="21"/>
      <c r="Q429" s="59"/>
      <c r="R429" s="21"/>
      <c r="S429" s="21"/>
      <c r="T429" s="59"/>
      <c r="U429" s="60">
        <f t="shared" si="56"/>
        <v>0</v>
      </c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>
        <v>343168779</v>
      </c>
      <c r="AN429" s="60">
        <f t="shared" ref="AN429:AN436" si="65">SUBTOTAL(9,AC429:AM429)</f>
        <v>343168779</v>
      </c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>
        <v>158476945</v>
      </c>
      <c r="AZ429" s="60"/>
      <c r="BA429" s="60"/>
      <c r="BB429" s="60"/>
      <c r="BC429" s="61">
        <f t="shared" si="57"/>
        <v>501645724</v>
      </c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>
        <v>31695389</v>
      </c>
      <c r="BO429" s="60"/>
      <c r="BP429" s="61">
        <v>533341113</v>
      </c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>
        <v>31695389</v>
      </c>
      <c r="CD429" s="61"/>
      <c r="CE429" s="61"/>
      <c r="CF429" s="61"/>
      <c r="CG429" s="61">
        <f t="shared" si="58"/>
        <v>565036502</v>
      </c>
      <c r="CH429" s="62">
        <f>VLOOKUP(B429,[1]RPTNCT049_ConsultaSaldosContabl!I$4:K$7987,3,0)</f>
        <v>221867723</v>
      </c>
      <c r="CI429" s="62">
        <f t="shared" si="59"/>
        <v>343168779</v>
      </c>
      <c r="CJ429" s="63">
        <f t="shared" si="60"/>
        <v>565036502</v>
      </c>
      <c r="CK429" s="64">
        <f t="shared" si="61"/>
        <v>0</v>
      </c>
      <c r="CL429" s="16"/>
      <c r="CM429" s="16"/>
      <c r="CN429" s="16"/>
    </row>
    <row r="430" spans="1:96" ht="15" customHeight="1" x14ac:dyDescent="0.2">
      <c r="A430" s="1">
        <v>8000990900</v>
      </c>
      <c r="B430" s="1">
        <v>800099090</v>
      </c>
      <c r="C430" s="9">
        <v>212052320</v>
      </c>
      <c r="D430" s="10" t="s">
        <v>712</v>
      </c>
      <c r="E430" s="52" t="s">
        <v>1735</v>
      </c>
      <c r="F430" s="21"/>
      <c r="G430" s="59"/>
      <c r="H430" s="21"/>
      <c r="I430" s="59"/>
      <c r="J430" s="21"/>
      <c r="K430" s="21"/>
      <c r="L430" s="59"/>
      <c r="M430" s="60"/>
      <c r="N430" s="21"/>
      <c r="O430" s="59"/>
      <c r="P430" s="21"/>
      <c r="Q430" s="59"/>
      <c r="R430" s="21"/>
      <c r="S430" s="21"/>
      <c r="T430" s="59"/>
      <c r="U430" s="60">
        <f t="shared" si="56"/>
        <v>0</v>
      </c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>
        <v>69183077</v>
      </c>
      <c r="AN430" s="60">
        <f t="shared" si="65"/>
        <v>69183077</v>
      </c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>
        <f>VLOOKUP(B430,[2]Hoja3!J$3:K$674,2,0)</f>
        <v>80402667</v>
      </c>
      <c r="BB430" s="60"/>
      <c r="BC430" s="61">
        <f t="shared" si="57"/>
        <v>149585744</v>
      </c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>
        <v>20591253</v>
      </c>
      <c r="BO430" s="60"/>
      <c r="BP430" s="61">
        <v>170176997</v>
      </c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>
        <v>20591253</v>
      </c>
      <c r="CD430" s="61">
        <v>102956265</v>
      </c>
      <c r="CE430" s="61"/>
      <c r="CF430" s="61"/>
      <c r="CG430" s="61">
        <f t="shared" si="58"/>
        <v>293724515</v>
      </c>
      <c r="CH430" s="62">
        <f>VLOOKUP(B430,[1]RPTNCT049_ConsultaSaldosContabl!I$4:K$7987,3,0)</f>
        <v>144138771</v>
      </c>
      <c r="CI430" s="62">
        <f t="shared" si="59"/>
        <v>149585744</v>
      </c>
      <c r="CJ430" s="63">
        <f t="shared" si="60"/>
        <v>293724515</v>
      </c>
      <c r="CK430" s="64">
        <f t="shared" si="61"/>
        <v>0</v>
      </c>
      <c r="CL430" s="16"/>
      <c r="CM430" s="16"/>
      <c r="CN430" s="16"/>
    </row>
    <row r="431" spans="1:96" ht="15" customHeight="1" x14ac:dyDescent="0.2">
      <c r="A431" s="1">
        <v>8000836727</v>
      </c>
      <c r="B431" s="1">
        <v>800083672</v>
      </c>
      <c r="C431" s="9">
        <v>212352323</v>
      </c>
      <c r="D431" s="10" t="s">
        <v>713</v>
      </c>
      <c r="E431" s="52" t="s">
        <v>1736</v>
      </c>
      <c r="F431" s="21"/>
      <c r="G431" s="59"/>
      <c r="H431" s="21"/>
      <c r="I431" s="59"/>
      <c r="J431" s="21"/>
      <c r="K431" s="21"/>
      <c r="L431" s="59"/>
      <c r="M431" s="60"/>
      <c r="N431" s="21"/>
      <c r="O431" s="59"/>
      <c r="P431" s="21"/>
      <c r="Q431" s="59"/>
      <c r="R431" s="21"/>
      <c r="S431" s="21"/>
      <c r="T431" s="59"/>
      <c r="U431" s="60">
        <f t="shared" si="56"/>
        <v>0</v>
      </c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>
        <v>92109964</v>
      </c>
      <c r="AN431" s="60">
        <f t="shared" si="65"/>
        <v>92109964</v>
      </c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>
        <v>45387830</v>
      </c>
      <c r="AZ431" s="60"/>
      <c r="BA431" s="60"/>
      <c r="BB431" s="60"/>
      <c r="BC431" s="61">
        <f t="shared" si="57"/>
        <v>137497794</v>
      </c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>
        <v>9077566</v>
      </c>
      <c r="BO431" s="60"/>
      <c r="BP431" s="61">
        <v>146575360</v>
      </c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>
        <v>9077566</v>
      </c>
      <c r="CD431" s="61"/>
      <c r="CE431" s="61"/>
      <c r="CF431" s="61"/>
      <c r="CG431" s="61">
        <f t="shared" si="58"/>
        <v>155652926</v>
      </c>
      <c r="CH431" s="62">
        <f>VLOOKUP(B431,[1]RPTNCT049_ConsultaSaldosContabl!I$4:K$7987,3,0)</f>
        <v>63542962</v>
      </c>
      <c r="CI431" s="62">
        <f t="shared" si="59"/>
        <v>92109964</v>
      </c>
      <c r="CJ431" s="63">
        <f t="shared" si="60"/>
        <v>155652926</v>
      </c>
      <c r="CK431" s="64">
        <f t="shared" si="61"/>
        <v>0</v>
      </c>
      <c r="CL431" s="16"/>
      <c r="CM431" s="16"/>
      <c r="CN431" s="16"/>
    </row>
    <row r="432" spans="1:96" ht="15" customHeight="1" x14ac:dyDescent="0.2">
      <c r="A432" s="1">
        <v>8917800474</v>
      </c>
      <c r="B432" s="1">
        <v>891780047</v>
      </c>
      <c r="C432" s="9">
        <v>211847318</v>
      </c>
      <c r="D432" s="10" t="s">
        <v>649</v>
      </c>
      <c r="E432" s="52" t="s">
        <v>1668</v>
      </c>
      <c r="F432" s="21"/>
      <c r="G432" s="59"/>
      <c r="H432" s="21"/>
      <c r="I432" s="59"/>
      <c r="J432" s="21"/>
      <c r="K432" s="21"/>
      <c r="L432" s="59"/>
      <c r="M432" s="60"/>
      <c r="N432" s="21"/>
      <c r="O432" s="59"/>
      <c r="P432" s="21"/>
      <c r="Q432" s="59"/>
      <c r="R432" s="21"/>
      <c r="S432" s="21"/>
      <c r="T432" s="59"/>
      <c r="U432" s="60">
        <f t="shared" si="56"/>
        <v>0</v>
      </c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>
        <v>135719857</v>
      </c>
      <c r="AN432" s="60">
        <f t="shared" si="65"/>
        <v>135719857</v>
      </c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>
        <v>355223260</v>
      </c>
      <c r="AZ432" s="60"/>
      <c r="BA432" s="60">
        <f>VLOOKUP(B432,[2]Hoja3!J$3:K$674,2,0)</f>
        <v>461823986</v>
      </c>
      <c r="BB432" s="60"/>
      <c r="BC432" s="61">
        <f t="shared" si="57"/>
        <v>952767103</v>
      </c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>
        <v>71044652</v>
      </c>
      <c r="BO432" s="60"/>
      <c r="BP432" s="61">
        <v>1023811755</v>
      </c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>
        <v>71044652</v>
      </c>
      <c r="CD432" s="61"/>
      <c r="CE432" s="61"/>
      <c r="CF432" s="61"/>
      <c r="CG432" s="61">
        <f t="shared" si="58"/>
        <v>1094856407</v>
      </c>
      <c r="CH432" s="62">
        <f>VLOOKUP(B432,[1]RPTNCT049_ConsultaSaldosContabl!I$4:K$7987,3,0)</f>
        <v>497312564</v>
      </c>
      <c r="CI432" s="62">
        <f t="shared" si="59"/>
        <v>597543843</v>
      </c>
      <c r="CJ432" s="63">
        <f t="shared" si="60"/>
        <v>1094856407</v>
      </c>
      <c r="CK432" s="64">
        <f t="shared" si="61"/>
        <v>0</v>
      </c>
      <c r="CL432" s="16"/>
      <c r="CM432" s="16"/>
      <c r="CN432" s="16"/>
    </row>
    <row r="433" spans="1:96" ht="15" customHeight="1" x14ac:dyDescent="0.2">
      <c r="A433" s="1">
        <v>8000981936</v>
      </c>
      <c r="B433" s="1">
        <v>800098193</v>
      </c>
      <c r="C433" s="9">
        <v>211850318</v>
      </c>
      <c r="D433" s="10" t="s">
        <v>676</v>
      </c>
      <c r="E433" s="52" t="s">
        <v>1697</v>
      </c>
      <c r="F433" s="21"/>
      <c r="G433" s="59"/>
      <c r="H433" s="21"/>
      <c r="I433" s="59"/>
      <c r="J433" s="21"/>
      <c r="K433" s="21"/>
      <c r="L433" s="59"/>
      <c r="M433" s="60"/>
      <c r="N433" s="21"/>
      <c r="O433" s="59"/>
      <c r="P433" s="21"/>
      <c r="Q433" s="59"/>
      <c r="R433" s="21"/>
      <c r="S433" s="21"/>
      <c r="T433" s="59"/>
      <c r="U433" s="60">
        <f t="shared" si="56"/>
        <v>0</v>
      </c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>
        <v>148353210</v>
      </c>
      <c r="AN433" s="60">
        <f t="shared" si="65"/>
        <v>148353210</v>
      </c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>
        <v>69404640</v>
      </c>
      <c r="AZ433" s="60"/>
      <c r="BA433" s="60"/>
      <c r="BB433" s="60"/>
      <c r="BC433" s="61">
        <f t="shared" si="57"/>
        <v>217757850</v>
      </c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>
        <v>13880928</v>
      </c>
      <c r="BO433" s="60"/>
      <c r="BP433" s="61">
        <v>231638778</v>
      </c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>
        <v>13880928</v>
      </c>
      <c r="CD433" s="61"/>
      <c r="CE433" s="61"/>
      <c r="CF433" s="61"/>
      <c r="CG433" s="61">
        <f t="shared" si="58"/>
        <v>245519706</v>
      </c>
      <c r="CH433" s="62">
        <f>VLOOKUP(B433,[1]RPTNCT049_ConsultaSaldosContabl!I$4:K$7987,3,0)</f>
        <v>97166496</v>
      </c>
      <c r="CI433" s="62">
        <f t="shared" si="59"/>
        <v>148353210</v>
      </c>
      <c r="CJ433" s="63">
        <f t="shared" si="60"/>
        <v>245519706</v>
      </c>
      <c r="CK433" s="64">
        <f t="shared" si="61"/>
        <v>0</v>
      </c>
      <c r="CL433" s="16"/>
      <c r="CM433" s="8"/>
      <c r="CN433" s="8"/>
      <c r="CO433" s="8"/>
      <c r="CP433" s="8"/>
      <c r="CQ433" s="8"/>
      <c r="CR433" s="8"/>
    </row>
    <row r="434" spans="1:96" ht="15" customHeight="1" x14ac:dyDescent="0.2">
      <c r="A434" s="1">
        <v>8907020152</v>
      </c>
      <c r="B434" s="1">
        <v>890702015</v>
      </c>
      <c r="C434" s="9">
        <v>211973319</v>
      </c>
      <c r="D434" s="10" t="s">
        <v>2219</v>
      </c>
      <c r="E434" s="52" t="s">
        <v>1945</v>
      </c>
      <c r="F434" s="21"/>
      <c r="G434" s="59"/>
      <c r="H434" s="21"/>
      <c r="I434" s="59"/>
      <c r="J434" s="21"/>
      <c r="K434" s="21"/>
      <c r="L434" s="59"/>
      <c r="M434" s="60"/>
      <c r="N434" s="21"/>
      <c r="O434" s="59"/>
      <c r="P434" s="21"/>
      <c r="Q434" s="59"/>
      <c r="R434" s="21"/>
      <c r="S434" s="21"/>
      <c r="T434" s="59"/>
      <c r="U434" s="60">
        <f t="shared" si="56"/>
        <v>0</v>
      </c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>
        <v>435011638</v>
      </c>
      <c r="AN434" s="60">
        <f t="shared" si="65"/>
        <v>435011638</v>
      </c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1">
        <f t="shared" si="57"/>
        <v>435011638</v>
      </c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>
        <v>272935926</v>
      </c>
      <c r="BO434" s="60"/>
      <c r="BP434" s="61">
        <v>707947564</v>
      </c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>
        <v>45489321</v>
      </c>
      <c r="CD434" s="61"/>
      <c r="CE434" s="61"/>
      <c r="CF434" s="61"/>
      <c r="CG434" s="61">
        <f t="shared" si="58"/>
        <v>753436885</v>
      </c>
      <c r="CH434" s="62">
        <f>VLOOKUP(B434,[1]RPTNCT049_ConsultaSaldosContabl!I$4:K$7987,3,0)</f>
        <v>318425247</v>
      </c>
      <c r="CI434" s="62">
        <f t="shared" si="59"/>
        <v>435011638</v>
      </c>
      <c r="CJ434" s="63">
        <f t="shared" si="60"/>
        <v>753436885</v>
      </c>
      <c r="CK434" s="64">
        <f t="shared" si="61"/>
        <v>0</v>
      </c>
      <c r="CL434" s="16"/>
      <c r="CM434" s="16"/>
      <c r="CN434" s="16"/>
    </row>
    <row r="435" spans="1:96" ht="15" customHeight="1" x14ac:dyDescent="0.2">
      <c r="A435" s="1">
        <v>8000843780</v>
      </c>
      <c r="B435" s="1">
        <v>800084378</v>
      </c>
      <c r="C435" s="9">
        <v>211819318</v>
      </c>
      <c r="D435" s="10" t="s">
        <v>385</v>
      </c>
      <c r="E435" s="52" t="s">
        <v>1415</v>
      </c>
      <c r="F435" s="21"/>
      <c r="G435" s="59"/>
      <c r="H435" s="21"/>
      <c r="I435" s="59"/>
      <c r="J435" s="21"/>
      <c r="K435" s="21"/>
      <c r="L435" s="59"/>
      <c r="M435" s="60"/>
      <c r="N435" s="21"/>
      <c r="O435" s="59"/>
      <c r="P435" s="21"/>
      <c r="Q435" s="59"/>
      <c r="R435" s="21"/>
      <c r="S435" s="21"/>
      <c r="T435" s="59"/>
      <c r="U435" s="60">
        <f t="shared" si="56"/>
        <v>0</v>
      </c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>
        <v>66705471</v>
      </c>
      <c r="AN435" s="60">
        <f t="shared" si="65"/>
        <v>66705471</v>
      </c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>
        <v>544457705</v>
      </c>
      <c r="AZ435" s="60"/>
      <c r="BA435" s="60">
        <f>VLOOKUP(B435,[2]Hoja3!J$3:K$674,2,0)</f>
        <v>579514872</v>
      </c>
      <c r="BB435" s="60"/>
      <c r="BC435" s="61">
        <f t="shared" si="57"/>
        <v>1190678048</v>
      </c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>
        <v>108891541</v>
      </c>
      <c r="BO435" s="60"/>
      <c r="BP435" s="61">
        <v>1299569589</v>
      </c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>
        <v>108891541</v>
      </c>
      <c r="CD435" s="61"/>
      <c r="CE435" s="61"/>
      <c r="CF435" s="61"/>
      <c r="CG435" s="61">
        <f t="shared" si="58"/>
        <v>1408461130</v>
      </c>
      <c r="CH435" s="62">
        <f>VLOOKUP(B435,[1]RPTNCT049_ConsultaSaldosContabl!I$4:K$7987,3,0)</f>
        <v>762240787</v>
      </c>
      <c r="CI435" s="62">
        <f t="shared" si="59"/>
        <v>646220343</v>
      </c>
      <c r="CJ435" s="63">
        <f t="shared" si="60"/>
        <v>1408461130</v>
      </c>
      <c r="CK435" s="64">
        <f t="shared" si="61"/>
        <v>0</v>
      </c>
      <c r="CL435" s="16"/>
      <c r="CM435" s="16"/>
      <c r="CN435" s="16"/>
    </row>
    <row r="436" spans="1:96" ht="15" customHeight="1" x14ac:dyDescent="0.2">
      <c r="A436" s="1">
        <v>8902049790</v>
      </c>
      <c r="B436" s="1">
        <v>890204979</v>
      </c>
      <c r="C436" s="9">
        <v>212268322</v>
      </c>
      <c r="D436" s="10" t="s">
        <v>844</v>
      </c>
      <c r="E436" s="52" t="s">
        <v>1859</v>
      </c>
      <c r="F436" s="21"/>
      <c r="G436" s="59"/>
      <c r="H436" s="21"/>
      <c r="I436" s="59"/>
      <c r="J436" s="21"/>
      <c r="K436" s="21"/>
      <c r="L436" s="59"/>
      <c r="M436" s="60"/>
      <c r="N436" s="21"/>
      <c r="O436" s="59"/>
      <c r="P436" s="21"/>
      <c r="Q436" s="59"/>
      <c r="R436" s="21"/>
      <c r="S436" s="21"/>
      <c r="T436" s="59"/>
      <c r="U436" s="60">
        <f t="shared" si="56"/>
        <v>0</v>
      </c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>
        <v>31175691</v>
      </c>
      <c r="AN436" s="60">
        <f t="shared" si="65"/>
        <v>31175691</v>
      </c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>
        <v>16010425</v>
      </c>
      <c r="AZ436" s="60"/>
      <c r="BA436" s="60"/>
      <c r="BB436" s="60"/>
      <c r="BC436" s="61">
        <f t="shared" si="57"/>
        <v>47186116</v>
      </c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>
        <v>3202085</v>
      </c>
      <c r="BO436" s="60"/>
      <c r="BP436" s="61">
        <v>50388201</v>
      </c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>
        <v>3202085</v>
      </c>
      <c r="CD436" s="61"/>
      <c r="CE436" s="61"/>
      <c r="CF436" s="61"/>
      <c r="CG436" s="61">
        <f t="shared" si="58"/>
        <v>53590286</v>
      </c>
      <c r="CH436" s="62">
        <f>VLOOKUP(B436,[1]RPTNCT049_ConsultaSaldosContabl!I$4:K$7987,3,0)</f>
        <v>22414595</v>
      </c>
      <c r="CI436" s="62">
        <f t="shared" si="59"/>
        <v>31175691</v>
      </c>
      <c r="CJ436" s="63">
        <f t="shared" si="60"/>
        <v>53590286</v>
      </c>
      <c r="CK436" s="64">
        <f t="shared" si="61"/>
        <v>0</v>
      </c>
      <c r="CL436" s="16"/>
      <c r="CM436" s="16"/>
      <c r="CN436" s="16"/>
    </row>
    <row r="437" spans="1:96" ht="15" customHeight="1" x14ac:dyDescent="0.2">
      <c r="A437" s="1">
        <v>8000613133</v>
      </c>
      <c r="B437" s="1">
        <v>800061313</v>
      </c>
      <c r="C437" s="9">
        <v>216570265</v>
      </c>
      <c r="D437" s="10" t="s">
        <v>898</v>
      </c>
      <c r="E437" s="52" t="s">
        <v>1911</v>
      </c>
      <c r="F437" s="21"/>
      <c r="G437" s="59"/>
      <c r="H437" s="21"/>
      <c r="I437" s="59"/>
      <c r="J437" s="21"/>
      <c r="K437" s="21"/>
      <c r="L437" s="59"/>
      <c r="M437" s="60"/>
      <c r="N437" s="21"/>
      <c r="O437" s="59"/>
      <c r="P437" s="21"/>
      <c r="Q437" s="59"/>
      <c r="R437" s="21"/>
      <c r="S437" s="21"/>
      <c r="T437" s="59"/>
      <c r="U437" s="60">
        <f t="shared" si="56"/>
        <v>0</v>
      </c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>
        <f>VLOOKUP(B437,[2]Hoja3!J$3:K$674,2,0)</f>
        <v>319394570</v>
      </c>
      <c r="BB437" s="60"/>
      <c r="BC437" s="61">
        <f t="shared" si="57"/>
        <v>319394570</v>
      </c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>
        <v>0</v>
      </c>
      <c r="BO437" s="60"/>
      <c r="BP437" s="61">
        <v>319394570</v>
      </c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>
        <v>0</v>
      </c>
      <c r="CD437" s="61"/>
      <c r="CE437" s="61"/>
      <c r="CF437" s="61"/>
      <c r="CG437" s="61">
        <f t="shared" si="58"/>
        <v>319394570</v>
      </c>
      <c r="CH437" s="62"/>
      <c r="CI437" s="62">
        <f t="shared" si="59"/>
        <v>319394570</v>
      </c>
      <c r="CJ437" s="63">
        <f t="shared" si="60"/>
        <v>319394570</v>
      </c>
      <c r="CK437" s="64">
        <f t="shared" si="61"/>
        <v>0</v>
      </c>
      <c r="CL437" s="16"/>
      <c r="CM437" s="16"/>
      <c r="CN437" s="16"/>
    </row>
    <row r="438" spans="1:96" ht="15" customHeight="1" x14ac:dyDescent="0.2">
      <c r="A438" s="1">
        <v>8909820557</v>
      </c>
      <c r="B438" s="1">
        <v>890982055</v>
      </c>
      <c r="C438" s="9">
        <v>211805318</v>
      </c>
      <c r="D438" s="10" t="s">
        <v>94</v>
      </c>
      <c r="E438" s="52" t="s">
        <v>1125</v>
      </c>
      <c r="F438" s="21"/>
      <c r="G438" s="59"/>
      <c r="H438" s="21"/>
      <c r="I438" s="59"/>
      <c r="J438" s="21"/>
      <c r="K438" s="21"/>
      <c r="L438" s="59"/>
      <c r="M438" s="60"/>
      <c r="N438" s="21"/>
      <c r="O438" s="59"/>
      <c r="P438" s="21"/>
      <c r="Q438" s="59"/>
      <c r="R438" s="21"/>
      <c r="S438" s="21"/>
      <c r="T438" s="59"/>
      <c r="U438" s="60">
        <f t="shared" si="56"/>
        <v>0</v>
      </c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>
        <v>135062502</v>
      </c>
      <c r="AN438" s="60">
        <f>SUBTOTAL(9,AC438:AM438)</f>
        <v>135062502</v>
      </c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>
        <v>182851500</v>
      </c>
      <c r="AZ438" s="60"/>
      <c r="BA438" s="60">
        <f>VLOOKUP(B438,[2]Hoja3!J$3:K$674,2,0)</f>
        <v>365054837</v>
      </c>
      <c r="BB438" s="60"/>
      <c r="BC438" s="61">
        <f t="shared" si="57"/>
        <v>682968839</v>
      </c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>
        <v>36570300</v>
      </c>
      <c r="BO438" s="60"/>
      <c r="BP438" s="61">
        <v>719539139</v>
      </c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>
        <v>36570300</v>
      </c>
      <c r="CD438" s="61"/>
      <c r="CE438" s="61"/>
      <c r="CF438" s="61"/>
      <c r="CG438" s="61">
        <f t="shared" si="58"/>
        <v>756109439</v>
      </c>
      <c r="CH438" s="62">
        <f>VLOOKUP(B438,[1]RPTNCT049_ConsultaSaldosContabl!I$4:K$7987,3,0)</f>
        <v>255992100</v>
      </c>
      <c r="CI438" s="62">
        <f t="shared" si="59"/>
        <v>500117339</v>
      </c>
      <c r="CJ438" s="63">
        <f t="shared" si="60"/>
        <v>756109439</v>
      </c>
      <c r="CK438" s="64">
        <f t="shared" si="61"/>
        <v>0</v>
      </c>
      <c r="CL438" s="16"/>
      <c r="CM438" s="16"/>
      <c r="CN438" s="16"/>
    </row>
    <row r="439" spans="1:96" ht="15" customHeight="1" x14ac:dyDescent="0.2">
      <c r="A439" s="1">
        <v>8999994421</v>
      </c>
      <c r="B439" s="1">
        <v>899999442</v>
      </c>
      <c r="C439" s="9">
        <v>212225322</v>
      </c>
      <c r="D439" s="10" t="s">
        <v>496</v>
      </c>
      <c r="E439" s="52" t="s">
        <v>1523</v>
      </c>
      <c r="F439" s="21"/>
      <c r="G439" s="59"/>
      <c r="H439" s="21"/>
      <c r="I439" s="59"/>
      <c r="J439" s="21"/>
      <c r="K439" s="21"/>
      <c r="L439" s="59"/>
      <c r="M439" s="60"/>
      <c r="N439" s="21"/>
      <c r="O439" s="59"/>
      <c r="P439" s="21"/>
      <c r="Q439" s="59"/>
      <c r="R439" s="21"/>
      <c r="S439" s="21"/>
      <c r="T439" s="59"/>
      <c r="U439" s="60">
        <f t="shared" si="56"/>
        <v>0</v>
      </c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>
        <v>260330607</v>
      </c>
      <c r="AN439" s="60">
        <f>SUBTOTAL(9,AC439:AM439)</f>
        <v>260330607</v>
      </c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1">
        <f t="shared" si="57"/>
        <v>260330607</v>
      </c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>
        <v>0</v>
      </c>
      <c r="BO439" s="60"/>
      <c r="BP439" s="61">
        <v>260330607</v>
      </c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>
        <v>0</v>
      </c>
      <c r="CD439" s="61"/>
      <c r="CE439" s="61"/>
      <c r="CF439" s="61"/>
      <c r="CG439" s="61">
        <f t="shared" si="58"/>
        <v>260330607</v>
      </c>
      <c r="CH439" s="62"/>
      <c r="CI439" s="62">
        <f t="shared" si="59"/>
        <v>260330607</v>
      </c>
      <c r="CJ439" s="63">
        <f t="shared" si="60"/>
        <v>260330607</v>
      </c>
      <c r="CK439" s="64">
        <f t="shared" si="61"/>
        <v>0</v>
      </c>
      <c r="CL439" s="16"/>
      <c r="CM439" s="16"/>
      <c r="CN439" s="16"/>
    </row>
    <row r="440" spans="1:96" ht="15" customHeight="1" x14ac:dyDescent="0.2">
      <c r="A440" s="1">
        <v>8909838303</v>
      </c>
      <c r="B440" s="1">
        <v>890983830</v>
      </c>
      <c r="C440" s="9">
        <v>212105321</v>
      </c>
      <c r="D440" s="10" t="s">
        <v>95</v>
      </c>
      <c r="E440" s="52" t="s">
        <v>1126</v>
      </c>
      <c r="F440" s="21"/>
      <c r="G440" s="59"/>
      <c r="H440" s="21"/>
      <c r="I440" s="59"/>
      <c r="J440" s="21"/>
      <c r="K440" s="21"/>
      <c r="L440" s="59"/>
      <c r="M440" s="60"/>
      <c r="N440" s="21"/>
      <c r="O440" s="59"/>
      <c r="P440" s="21"/>
      <c r="Q440" s="59"/>
      <c r="R440" s="21"/>
      <c r="S440" s="21"/>
      <c r="T440" s="59"/>
      <c r="U440" s="60">
        <f t="shared" si="56"/>
        <v>0</v>
      </c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>
        <v>37880060</v>
      </c>
      <c r="AZ440" s="60"/>
      <c r="BA440" s="60">
        <f>VLOOKUP(B440,[2]Hoja3!J$3:K$674,2,0)</f>
        <v>94236391</v>
      </c>
      <c r="BB440" s="60"/>
      <c r="BC440" s="61">
        <f t="shared" si="57"/>
        <v>132116451</v>
      </c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>
        <v>7576012</v>
      </c>
      <c r="BO440" s="60"/>
      <c r="BP440" s="61">
        <v>139692463</v>
      </c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>
        <v>7576012</v>
      </c>
      <c r="CD440" s="61"/>
      <c r="CE440" s="61"/>
      <c r="CF440" s="61"/>
      <c r="CG440" s="61">
        <f t="shared" si="58"/>
        <v>147268475</v>
      </c>
      <c r="CH440" s="62">
        <f>VLOOKUP(B440,[1]RPTNCT049_ConsultaSaldosContabl!I$4:K$7987,3,0)</f>
        <v>53032084</v>
      </c>
      <c r="CI440" s="62">
        <f t="shared" si="59"/>
        <v>94236391</v>
      </c>
      <c r="CJ440" s="63">
        <f t="shared" si="60"/>
        <v>147268475</v>
      </c>
      <c r="CK440" s="64">
        <f t="shared" si="61"/>
        <v>0</v>
      </c>
      <c r="CL440" s="16"/>
      <c r="CM440" s="16"/>
      <c r="CN440" s="16"/>
    </row>
    <row r="441" spans="1:96" ht="15" customHeight="1" x14ac:dyDescent="0.2">
      <c r="A441" s="1">
        <v>8000112719</v>
      </c>
      <c r="B441" s="1">
        <v>800011271</v>
      </c>
      <c r="C441" s="9">
        <v>212425324</v>
      </c>
      <c r="D441" s="10" t="s">
        <v>497</v>
      </c>
      <c r="E441" s="52" t="s">
        <v>1524</v>
      </c>
      <c r="F441" s="21"/>
      <c r="G441" s="59"/>
      <c r="H441" s="21"/>
      <c r="I441" s="59"/>
      <c r="J441" s="21"/>
      <c r="K441" s="21"/>
      <c r="L441" s="59"/>
      <c r="M441" s="60"/>
      <c r="N441" s="21"/>
      <c r="O441" s="59"/>
      <c r="P441" s="21"/>
      <c r="Q441" s="59"/>
      <c r="R441" s="21"/>
      <c r="S441" s="21"/>
      <c r="T441" s="59"/>
      <c r="U441" s="60">
        <f t="shared" si="56"/>
        <v>0</v>
      </c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>
        <v>35723562</v>
      </c>
      <c r="AN441" s="60">
        <f>SUBTOTAL(9,AC441:AM441)</f>
        <v>35723562</v>
      </c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>
        <v>22988030</v>
      </c>
      <c r="AZ441" s="60"/>
      <c r="BA441" s="60"/>
      <c r="BB441" s="60"/>
      <c r="BC441" s="61">
        <f t="shared" si="57"/>
        <v>58711592</v>
      </c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>
        <v>4597606</v>
      </c>
      <c r="BO441" s="60"/>
      <c r="BP441" s="61">
        <v>63309198</v>
      </c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>
        <v>4597606</v>
      </c>
      <c r="CD441" s="61"/>
      <c r="CE441" s="61"/>
      <c r="CF441" s="61"/>
      <c r="CG441" s="61">
        <f t="shared" si="58"/>
        <v>67906804</v>
      </c>
      <c r="CH441" s="62">
        <f>VLOOKUP(B441,[1]RPTNCT049_ConsultaSaldosContabl!I$4:K$7987,3,0)</f>
        <v>32183242</v>
      </c>
      <c r="CI441" s="62">
        <f t="shared" si="59"/>
        <v>35723562</v>
      </c>
      <c r="CJ441" s="63">
        <f t="shared" si="60"/>
        <v>67906804</v>
      </c>
      <c r="CK441" s="64">
        <f t="shared" si="61"/>
        <v>0</v>
      </c>
      <c r="CL441" s="16"/>
      <c r="CM441" s="16"/>
      <c r="CN441" s="16"/>
    </row>
    <row r="442" spans="1:96" ht="15" customHeight="1" x14ac:dyDescent="0.2">
      <c r="A442" s="1">
        <v>8999993953</v>
      </c>
      <c r="B442" s="1">
        <v>899999395</v>
      </c>
      <c r="C442" s="9">
        <v>212625326</v>
      </c>
      <c r="D442" s="10" t="s">
        <v>498</v>
      </c>
      <c r="E442" s="52" t="s">
        <v>1525</v>
      </c>
      <c r="F442" s="21"/>
      <c r="G442" s="59"/>
      <c r="H442" s="21"/>
      <c r="I442" s="59"/>
      <c r="J442" s="21"/>
      <c r="K442" s="21"/>
      <c r="L442" s="59"/>
      <c r="M442" s="60"/>
      <c r="N442" s="21"/>
      <c r="O442" s="59"/>
      <c r="P442" s="21"/>
      <c r="Q442" s="59"/>
      <c r="R442" s="21"/>
      <c r="S442" s="21"/>
      <c r="T442" s="59"/>
      <c r="U442" s="60">
        <f t="shared" si="56"/>
        <v>0</v>
      </c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>
        <v>92814492</v>
      </c>
      <c r="AN442" s="60">
        <f>SUBTOTAL(9,AC442:AM442)</f>
        <v>92814492</v>
      </c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1">
        <f t="shared" si="57"/>
        <v>92814492</v>
      </c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>
        <v>0</v>
      </c>
      <c r="BO442" s="60"/>
      <c r="BP442" s="61">
        <v>92814492</v>
      </c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>
        <v>0</v>
      </c>
      <c r="CD442" s="61"/>
      <c r="CE442" s="61"/>
      <c r="CF442" s="61"/>
      <c r="CG442" s="61">
        <f t="shared" si="58"/>
        <v>92814492</v>
      </c>
      <c r="CH442" s="62"/>
      <c r="CI442" s="62">
        <f t="shared" si="59"/>
        <v>92814492</v>
      </c>
      <c r="CJ442" s="63">
        <f t="shared" si="60"/>
        <v>92814492</v>
      </c>
      <c r="CK442" s="64">
        <f t="shared" si="61"/>
        <v>0</v>
      </c>
      <c r="CL442" s="16"/>
      <c r="CM442" s="16"/>
      <c r="CN442" s="16"/>
    </row>
    <row r="443" spans="1:96" ht="15" customHeight="1" x14ac:dyDescent="0.2">
      <c r="A443" s="1">
        <v>8000136839</v>
      </c>
      <c r="B443" s="1">
        <v>800013683</v>
      </c>
      <c r="C443" s="9">
        <v>212215322</v>
      </c>
      <c r="D443" s="10" t="s">
        <v>255</v>
      </c>
      <c r="E443" s="52" t="s">
        <v>1290</v>
      </c>
      <c r="F443" s="21"/>
      <c r="G443" s="59"/>
      <c r="H443" s="21"/>
      <c r="I443" s="59"/>
      <c r="J443" s="21"/>
      <c r="K443" s="21"/>
      <c r="L443" s="59"/>
      <c r="M443" s="60"/>
      <c r="N443" s="21"/>
      <c r="O443" s="59"/>
      <c r="P443" s="21"/>
      <c r="Q443" s="59"/>
      <c r="R443" s="21"/>
      <c r="S443" s="21"/>
      <c r="T443" s="59"/>
      <c r="U443" s="60">
        <f t="shared" si="56"/>
        <v>0</v>
      </c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>
        <v>70370145</v>
      </c>
      <c r="AZ443" s="60"/>
      <c r="BA443" s="60">
        <f>VLOOKUP(B443,[2]Hoja3!J$3:K$674,2,0)</f>
        <v>151290788</v>
      </c>
      <c r="BB443" s="60"/>
      <c r="BC443" s="61">
        <f t="shared" si="57"/>
        <v>221660933</v>
      </c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>
        <v>14074029</v>
      </c>
      <c r="BO443" s="60"/>
      <c r="BP443" s="61">
        <v>235734962</v>
      </c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>
        <v>14074029</v>
      </c>
      <c r="CD443" s="61"/>
      <c r="CE443" s="61"/>
      <c r="CF443" s="61"/>
      <c r="CG443" s="61">
        <f t="shared" si="58"/>
        <v>249808991</v>
      </c>
      <c r="CH443" s="62">
        <f>VLOOKUP(B443,[1]RPTNCT049_ConsultaSaldosContabl!I$4:K$7987,3,0)</f>
        <v>98518203</v>
      </c>
      <c r="CI443" s="62">
        <f t="shared" si="59"/>
        <v>151290788</v>
      </c>
      <c r="CJ443" s="63">
        <f t="shared" si="60"/>
        <v>249808991</v>
      </c>
      <c r="CK443" s="64">
        <f t="shared" si="61"/>
        <v>0</v>
      </c>
      <c r="CL443" s="16"/>
      <c r="CM443" s="8"/>
      <c r="CN443" s="8"/>
      <c r="CO443" s="8"/>
      <c r="CP443" s="8"/>
      <c r="CQ443" s="8"/>
      <c r="CR443" s="8"/>
    </row>
    <row r="444" spans="1:96" ht="15" customHeight="1" x14ac:dyDescent="0.2">
      <c r="A444" s="1">
        <v>8914800255</v>
      </c>
      <c r="B444" s="1">
        <v>891480025</v>
      </c>
      <c r="C444" s="9">
        <v>211866318</v>
      </c>
      <c r="D444" s="10" t="s">
        <v>803</v>
      </c>
      <c r="E444" s="52" t="s">
        <v>1820</v>
      </c>
      <c r="F444" s="21"/>
      <c r="G444" s="59"/>
      <c r="H444" s="21"/>
      <c r="I444" s="59"/>
      <c r="J444" s="21"/>
      <c r="K444" s="21"/>
      <c r="L444" s="59"/>
      <c r="M444" s="60"/>
      <c r="N444" s="21"/>
      <c r="O444" s="59"/>
      <c r="P444" s="21"/>
      <c r="Q444" s="59"/>
      <c r="R444" s="21"/>
      <c r="S444" s="21"/>
      <c r="T444" s="59"/>
      <c r="U444" s="60">
        <f t="shared" si="56"/>
        <v>0</v>
      </c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>
        <v>140745832</v>
      </c>
      <c r="AN444" s="60">
        <f>SUBTOTAL(9,AC444:AM444)</f>
        <v>140745832</v>
      </c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>
        <v>87168945</v>
      </c>
      <c r="AZ444" s="60"/>
      <c r="BA444" s="60">
        <f>VLOOKUP(B444,[2]Hoja3!J$3:K$674,2,0)</f>
        <v>52665492</v>
      </c>
      <c r="BB444" s="60"/>
      <c r="BC444" s="61">
        <f t="shared" si="57"/>
        <v>280580269</v>
      </c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>
        <v>17433789</v>
      </c>
      <c r="BO444" s="60"/>
      <c r="BP444" s="61">
        <v>298014058</v>
      </c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>
        <v>17433789</v>
      </c>
      <c r="CD444" s="61"/>
      <c r="CE444" s="61"/>
      <c r="CF444" s="61"/>
      <c r="CG444" s="61">
        <f t="shared" si="58"/>
        <v>315447847</v>
      </c>
      <c r="CH444" s="62">
        <f>VLOOKUP(B444,[1]RPTNCT049_ConsultaSaldosContabl!I$4:K$7987,3,0)</f>
        <v>122036523</v>
      </c>
      <c r="CI444" s="62">
        <f t="shared" si="59"/>
        <v>193411324</v>
      </c>
      <c r="CJ444" s="63">
        <f t="shared" si="60"/>
        <v>315447847</v>
      </c>
      <c r="CK444" s="64">
        <f t="shared" si="61"/>
        <v>0</v>
      </c>
      <c r="CL444" s="16"/>
      <c r="CM444" s="16"/>
      <c r="CN444" s="16"/>
    </row>
    <row r="445" spans="1:96" ht="15" customHeight="1" x14ac:dyDescent="0.2">
      <c r="A445" s="1">
        <v>8902109455</v>
      </c>
      <c r="B445" s="1">
        <v>890210945</v>
      </c>
      <c r="C445" s="9">
        <v>212468324</v>
      </c>
      <c r="D445" s="10" t="s">
        <v>845</v>
      </c>
      <c r="E445" s="52" t="s">
        <v>1860</v>
      </c>
      <c r="F445" s="21"/>
      <c r="G445" s="59"/>
      <c r="H445" s="21"/>
      <c r="I445" s="59"/>
      <c r="J445" s="21"/>
      <c r="K445" s="21"/>
      <c r="L445" s="59"/>
      <c r="M445" s="60"/>
      <c r="N445" s="21"/>
      <c r="O445" s="59"/>
      <c r="P445" s="21"/>
      <c r="Q445" s="59"/>
      <c r="R445" s="21"/>
      <c r="S445" s="21"/>
      <c r="T445" s="59"/>
      <c r="U445" s="60">
        <f t="shared" si="56"/>
        <v>0</v>
      </c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>
        <v>24265970</v>
      </c>
      <c r="AZ445" s="60"/>
      <c r="BA445" s="60">
        <f>VLOOKUP(B445,[2]Hoja3!J$3:K$674,2,0)</f>
        <v>42845446</v>
      </c>
      <c r="BB445" s="60"/>
      <c r="BC445" s="61">
        <f t="shared" si="57"/>
        <v>67111416</v>
      </c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>
        <v>4853194</v>
      </c>
      <c r="BO445" s="60"/>
      <c r="BP445" s="61">
        <v>71964610</v>
      </c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>
        <v>4853194</v>
      </c>
      <c r="CD445" s="61"/>
      <c r="CE445" s="61"/>
      <c r="CF445" s="61"/>
      <c r="CG445" s="61">
        <f t="shared" si="58"/>
        <v>76817804</v>
      </c>
      <c r="CH445" s="62">
        <f>VLOOKUP(B445,[1]RPTNCT049_ConsultaSaldosContabl!I$4:K$7987,3,0)</f>
        <v>33972358</v>
      </c>
      <c r="CI445" s="62">
        <f t="shared" si="59"/>
        <v>42845446</v>
      </c>
      <c r="CJ445" s="63">
        <f t="shared" si="60"/>
        <v>76817804</v>
      </c>
      <c r="CK445" s="64">
        <f t="shared" si="61"/>
        <v>0</v>
      </c>
      <c r="CL445" s="16"/>
      <c r="CM445" s="16"/>
      <c r="CN445" s="16"/>
    </row>
    <row r="446" spans="1:96" ht="15" customHeight="1" x14ac:dyDescent="0.2">
      <c r="A446" s="1">
        <v>8000946851</v>
      </c>
      <c r="B446" s="1">
        <v>800094685</v>
      </c>
      <c r="C446" s="9">
        <v>212825328</v>
      </c>
      <c r="D446" s="10" t="s">
        <v>499</v>
      </c>
      <c r="E446" s="52" t="s">
        <v>1526</v>
      </c>
      <c r="F446" s="21"/>
      <c r="G446" s="59"/>
      <c r="H446" s="21"/>
      <c r="I446" s="59"/>
      <c r="J446" s="21"/>
      <c r="K446" s="21"/>
      <c r="L446" s="59"/>
      <c r="M446" s="60"/>
      <c r="N446" s="21"/>
      <c r="O446" s="59"/>
      <c r="P446" s="21"/>
      <c r="Q446" s="59"/>
      <c r="R446" s="21"/>
      <c r="S446" s="21"/>
      <c r="T446" s="59"/>
      <c r="U446" s="60">
        <f t="shared" si="56"/>
        <v>0</v>
      </c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>
        <v>56055657</v>
      </c>
      <c r="AN446" s="60">
        <f>SUBTOTAL(9,AC446:AM446)</f>
        <v>56055657</v>
      </c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1">
        <f t="shared" si="57"/>
        <v>56055657</v>
      </c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>
        <v>0</v>
      </c>
      <c r="BO446" s="60"/>
      <c r="BP446" s="61">
        <v>56055657</v>
      </c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>
        <v>0</v>
      </c>
      <c r="CD446" s="61"/>
      <c r="CE446" s="61"/>
      <c r="CF446" s="61"/>
      <c r="CG446" s="61">
        <f t="shared" si="58"/>
        <v>56055657</v>
      </c>
      <c r="CH446" s="62"/>
      <c r="CI446" s="62">
        <f t="shared" si="59"/>
        <v>56055657</v>
      </c>
      <c r="CJ446" s="63">
        <f t="shared" si="60"/>
        <v>56055657</v>
      </c>
      <c r="CK446" s="64">
        <f t="shared" si="61"/>
        <v>0</v>
      </c>
      <c r="CL446" s="16"/>
      <c r="CM446" s="16"/>
      <c r="CN446" s="16"/>
    </row>
    <row r="447" spans="1:96" ht="15" customHeight="1" x14ac:dyDescent="0.2">
      <c r="A447" s="1">
        <v>8907009820</v>
      </c>
      <c r="B447" s="1">
        <v>890700982</v>
      </c>
      <c r="C447" s="9">
        <v>215573055</v>
      </c>
      <c r="D447" s="10" t="s">
        <v>2220</v>
      </c>
      <c r="E447" s="52" t="s">
        <v>1932</v>
      </c>
      <c r="F447" s="21"/>
      <c r="G447" s="59"/>
      <c r="H447" s="21"/>
      <c r="I447" s="59"/>
      <c r="J447" s="21"/>
      <c r="K447" s="21"/>
      <c r="L447" s="59"/>
      <c r="M447" s="60"/>
      <c r="N447" s="21"/>
      <c r="O447" s="59"/>
      <c r="P447" s="21"/>
      <c r="Q447" s="59"/>
      <c r="R447" s="21"/>
      <c r="S447" s="21"/>
      <c r="T447" s="59"/>
      <c r="U447" s="60">
        <f t="shared" si="56"/>
        <v>0</v>
      </c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>
        <v>95809970</v>
      </c>
      <c r="AZ447" s="60"/>
      <c r="BA447" s="60">
        <f>VLOOKUP(B447,[2]Hoja3!J$3:K$674,2,0)</f>
        <v>177721282</v>
      </c>
      <c r="BB447" s="60"/>
      <c r="BC447" s="61">
        <f t="shared" si="57"/>
        <v>273531252</v>
      </c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>
        <v>19161994</v>
      </c>
      <c r="BO447" s="60"/>
      <c r="BP447" s="61">
        <v>292693246</v>
      </c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>
        <v>19161994</v>
      </c>
      <c r="CD447" s="61"/>
      <c r="CE447" s="61"/>
      <c r="CF447" s="61"/>
      <c r="CG447" s="61">
        <f t="shared" si="58"/>
        <v>311855240</v>
      </c>
      <c r="CH447" s="62">
        <f>VLOOKUP(B447,[1]RPTNCT049_ConsultaSaldosContabl!I$4:K$7987,3,0)</f>
        <v>134133958</v>
      </c>
      <c r="CI447" s="62">
        <f t="shared" si="59"/>
        <v>177721282</v>
      </c>
      <c r="CJ447" s="63">
        <f t="shared" si="60"/>
        <v>311855240</v>
      </c>
      <c r="CK447" s="64">
        <f t="shared" si="61"/>
        <v>0</v>
      </c>
      <c r="CL447" s="16"/>
      <c r="CM447" s="16"/>
      <c r="CN447" s="16"/>
    </row>
    <row r="448" spans="1:96" ht="15" customHeight="1" x14ac:dyDescent="0.2">
      <c r="A448" s="1">
        <v>8000947011</v>
      </c>
      <c r="B448" s="1">
        <v>800094701</v>
      </c>
      <c r="C448" s="9">
        <v>213525335</v>
      </c>
      <c r="D448" s="10" t="s">
        <v>500</v>
      </c>
      <c r="E448" s="52" t="s">
        <v>1527</v>
      </c>
      <c r="F448" s="21"/>
      <c r="G448" s="59"/>
      <c r="H448" s="21"/>
      <c r="I448" s="59"/>
      <c r="J448" s="21"/>
      <c r="K448" s="21"/>
      <c r="L448" s="59"/>
      <c r="M448" s="60"/>
      <c r="N448" s="21"/>
      <c r="O448" s="59"/>
      <c r="P448" s="21"/>
      <c r="Q448" s="59"/>
      <c r="R448" s="21"/>
      <c r="S448" s="21"/>
      <c r="T448" s="59"/>
      <c r="U448" s="60">
        <f t="shared" si="56"/>
        <v>0</v>
      </c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>
        <v>108205664</v>
      </c>
      <c r="AN448" s="60">
        <f>SUBTOTAL(9,AC448:AM448)</f>
        <v>108205664</v>
      </c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>
        <v>37190650</v>
      </c>
      <c r="AZ448" s="60"/>
      <c r="BA448" s="60"/>
      <c r="BB448" s="60"/>
      <c r="BC448" s="61">
        <f t="shared" si="57"/>
        <v>145396314</v>
      </c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>
        <v>7438130</v>
      </c>
      <c r="BO448" s="60"/>
      <c r="BP448" s="61">
        <v>152834444</v>
      </c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>
        <v>7438130</v>
      </c>
      <c r="CD448" s="61"/>
      <c r="CE448" s="61"/>
      <c r="CF448" s="61"/>
      <c r="CG448" s="61">
        <f t="shared" si="58"/>
        <v>160272574</v>
      </c>
      <c r="CH448" s="62">
        <f>VLOOKUP(B448,[1]RPTNCT049_ConsultaSaldosContabl!I$4:K$7987,3,0)</f>
        <v>52066910</v>
      </c>
      <c r="CI448" s="62">
        <f t="shared" si="59"/>
        <v>108205664</v>
      </c>
      <c r="CJ448" s="63">
        <f t="shared" si="60"/>
        <v>160272574</v>
      </c>
      <c r="CK448" s="64">
        <f t="shared" si="61"/>
        <v>0</v>
      </c>
      <c r="CL448" s="16"/>
      <c r="CM448" s="16"/>
      <c r="CN448" s="16"/>
    </row>
    <row r="449" spans="1:96" ht="15" customHeight="1" x14ac:dyDescent="0.2">
      <c r="A449" s="1">
        <v>8918008968</v>
      </c>
      <c r="B449" s="1">
        <v>891800896</v>
      </c>
      <c r="C449" s="9">
        <v>212515325</v>
      </c>
      <c r="D449" s="10" t="s">
        <v>256</v>
      </c>
      <c r="E449" s="52" t="s">
        <v>1291</v>
      </c>
      <c r="F449" s="21"/>
      <c r="G449" s="59"/>
      <c r="H449" s="21"/>
      <c r="I449" s="59"/>
      <c r="J449" s="21"/>
      <c r="K449" s="21"/>
      <c r="L449" s="59"/>
      <c r="M449" s="60"/>
      <c r="N449" s="21"/>
      <c r="O449" s="59"/>
      <c r="P449" s="21"/>
      <c r="Q449" s="59"/>
      <c r="R449" s="21"/>
      <c r="S449" s="21"/>
      <c r="T449" s="59"/>
      <c r="U449" s="60">
        <f t="shared" si="56"/>
        <v>0</v>
      </c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>
        <v>24410300</v>
      </c>
      <c r="AZ449" s="60"/>
      <c r="BA449" s="60">
        <f>VLOOKUP(B449,[2]Hoja3!J$3:K$674,2,0)</f>
        <v>43304262</v>
      </c>
      <c r="BB449" s="60"/>
      <c r="BC449" s="61">
        <f t="shared" si="57"/>
        <v>67714562</v>
      </c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>
        <v>4882060</v>
      </c>
      <c r="BO449" s="60"/>
      <c r="BP449" s="61">
        <v>72596622</v>
      </c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>
        <v>4882060</v>
      </c>
      <c r="CD449" s="61"/>
      <c r="CE449" s="61"/>
      <c r="CF449" s="61"/>
      <c r="CG449" s="61">
        <f t="shared" si="58"/>
        <v>77478682</v>
      </c>
      <c r="CH449" s="62">
        <f>VLOOKUP(B449,[1]RPTNCT049_ConsultaSaldosContabl!I$4:K$7987,3,0)</f>
        <v>34174420</v>
      </c>
      <c r="CI449" s="62">
        <f t="shared" si="59"/>
        <v>43304262</v>
      </c>
      <c r="CJ449" s="63">
        <f t="shared" si="60"/>
        <v>77478682</v>
      </c>
      <c r="CK449" s="64">
        <f t="shared" si="61"/>
        <v>0</v>
      </c>
      <c r="CL449" s="16"/>
      <c r="CM449" s="8"/>
      <c r="CN449" s="8"/>
      <c r="CO449" s="8"/>
      <c r="CP449" s="8"/>
      <c r="CQ449" s="8"/>
      <c r="CR449" s="8"/>
    </row>
    <row r="450" spans="1:96" ht="15" customHeight="1" x14ac:dyDescent="0.2">
      <c r="A450" s="1">
        <v>8902077901</v>
      </c>
      <c r="B450" s="1">
        <v>890207790</v>
      </c>
      <c r="C450" s="9">
        <v>212768327</v>
      </c>
      <c r="D450" s="10" t="s">
        <v>846</v>
      </c>
      <c r="E450" s="52" t="s">
        <v>1861</v>
      </c>
      <c r="F450" s="21"/>
      <c r="G450" s="59"/>
      <c r="H450" s="21"/>
      <c r="I450" s="59"/>
      <c r="J450" s="21"/>
      <c r="K450" s="21"/>
      <c r="L450" s="59"/>
      <c r="M450" s="60"/>
      <c r="N450" s="21"/>
      <c r="O450" s="59"/>
      <c r="P450" s="21"/>
      <c r="Q450" s="59"/>
      <c r="R450" s="21"/>
      <c r="S450" s="21"/>
      <c r="T450" s="59"/>
      <c r="U450" s="60">
        <f t="shared" si="56"/>
        <v>0</v>
      </c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>
        <v>29152920</v>
      </c>
      <c r="AZ450" s="60"/>
      <c r="BA450" s="60">
        <f>VLOOKUP(B450,[2]Hoja3!J$3:K$674,2,0)</f>
        <v>60866335</v>
      </c>
      <c r="BB450" s="60"/>
      <c r="BC450" s="61">
        <f t="shared" si="57"/>
        <v>90019255</v>
      </c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>
        <v>5830584</v>
      </c>
      <c r="BO450" s="60"/>
      <c r="BP450" s="61">
        <v>95849839</v>
      </c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>
        <v>5830584</v>
      </c>
      <c r="CD450" s="61"/>
      <c r="CE450" s="61"/>
      <c r="CF450" s="61"/>
      <c r="CG450" s="61">
        <f t="shared" si="58"/>
        <v>101680423</v>
      </c>
      <c r="CH450" s="62">
        <f>VLOOKUP(B450,[1]RPTNCT049_ConsultaSaldosContabl!I$4:K$7987,3,0)</f>
        <v>40814088</v>
      </c>
      <c r="CI450" s="62">
        <f t="shared" si="59"/>
        <v>60866335</v>
      </c>
      <c r="CJ450" s="63">
        <f t="shared" si="60"/>
        <v>101680423</v>
      </c>
      <c r="CK450" s="64">
        <f t="shared" si="61"/>
        <v>0</v>
      </c>
      <c r="CL450" s="16"/>
      <c r="CM450" s="16"/>
      <c r="CN450" s="16"/>
    </row>
    <row r="451" spans="1:96" ht="15" customHeight="1" x14ac:dyDescent="0.2">
      <c r="A451" s="1">
        <v>8000992029</v>
      </c>
      <c r="B451" s="1">
        <v>800099202</v>
      </c>
      <c r="C451" s="9">
        <v>213215332</v>
      </c>
      <c r="D451" s="10" t="s">
        <v>257</v>
      </c>
      <c r="E451" s="52" t="s">
        <v>1292</v>
      </c>
      <c r="F451" s="21"/>
      <c r="G451" s="59"/>
      <c r="H451" s="21"/>
      <c r="I451" s="59"/>
      <c r="J451" s="21"/>
      <c r="K451" s="21"/>
      <c r="L451" s="59"/>
      <c r="M451" s="60"/>
      <c r="N451" s="21"/>
      <c r="O451" s="59"/>
      <c r="P451" s="21"/>
      <c r="Q451" s="59"/>
      <c r="R451" s="21"/>
      <c r="S451" s="21"/>
      <c r="T451" s="59"/>
      <c r="U451" s="60">
        <f t="shared" ref="U451:U514" si="66">SUM(M451:T451)</f>
        <v>0</v>
      </c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>
        <v>36835440</v>
      </c>
      <c r="AZ451" s="60"/>
      <c r="BA451" s="60">
        <f>VLOOKUP(B451,[2]Hoja3!J$3:K$674,2,0)</f>
        <v>52912807</v>
      </c>
      <c r="BB451" s="60"/>
      <c r="BC451" s="61">
        <f t="shared" si="57"/>
        <v>89748247</v>
      </c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>
        <v>7367088</v>
      </c>
      <c r="BO451" s="60"/>
      <c r="BP451" s="61">
        <v>97115335</v>
      </c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>
        <v>7367088</v>
      </c>
      <c r="CD451" s="61"/>
      <c r="CE451" s="61"/>
      <c r="CF451" s="61"/>
      <c r="CG451" s="61">
        <f t="shared" si="58"/>
        <v>104482423</v>
      </c>
      <c r="CH451" s="62">
        <f>VLOOKUP(B451,[1]RPTNCT049_ConsultaSaldosContabl!I$4:K$7987,3,0)</f>
        <v>51569616</v>
      </c>
      <c r="CI451" s="62">
        <f t="shared" si="59"/>
        <v>52912807</v>
      </c>
      <c r="CJ451" s="63">
        <f t="shared" si="60"/>
        <v>104482423</v>
      </c>
      <c r="CK451" s="64">
        <f t="shared" si="61"/>
        <v>0</v>
      </c>
      <c r="CL451" s="16"/>
      <c r="CM451" s="8"/>
      <c r="CN451" s="8"/>
      <c r="CO451" s="8"/>
      <c r="CP451" s="8"/>
      <c r="CQ451" s="8"/>
      <c r="CR451" s="8"/>
    </row>
    <row r="452" spans="1:96" ht="15" customHeight="1" x14ac:dyDescent="0.2">
      <c r="A452" s="1">
        <v>8000947041</v>
      </c>
      <c r="B452" s="1">
        <v>800094704</v>
      </c>
      <c r="C452" s="9">
        <v>213925339</v>
      </c>
      <c r="D452" s="10" t="s">
        <v>501</v>
      </c>
      <c r="E452" s="52" t="s">
        <v>1528</v>
      </c>
      <c r="F452" s="21"/>
      <c r="G452" s="59"/>
      <c r="H452" s="21"/>
      <c r="I452" s="59"/>
      <c r="J452" s="21"/>
      <c r="K452" s="21"/>
      <c r="L452" s="59"/>
      <c r="M452" s="60"/>
      <c r="N452" s="21"/>
      <c r="O452" s="59"/>
      <c r="P452" s="21"/>
      <c r="Q452" s="59"/>
      <c r="R452" s="21"/>
      <c r="S452" s="21"/>
      <c r="T452" s="59"/>
      <c r="U452" s="60">
        <f t="shared" si="66"/>
        <v>0</v>
      </c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>
        <v>50323292</v>
      </c>
      <c r="AN452" s="60">
        <f>SUBTOTAL(9,AC452:AM452)</f>
        <v>50323292</v>
      </c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>
        <v>29918155</v>
      </c>
      <c r="AZ452" s="60"/>
      <c r="BA452" s="60"/>
      <c r="BB452" s="60"/>
      <c r="BC452" s="61">
        <f t="shared" ref="BC452:BC515" si="67">SUM(AN452:BA452)-BB452</f>
        <v>80241447</v>
      </c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>
        <v>5983631</v>
      </c>
      <c r="BO452" s="60"/>
      <c r="BP452" s="61">
        <v>86225078</v>
      </c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>
        <v>5983631</v>
      </c>
      <c r="CD452" s="61"/>
      <c r="CE452" s="61"/>
      <c r="CF452" s="61"/>
      <c r="CG452" s="61">
        <f t="shared" ref="CG452:CG515" si="68">SUM(BP452:CF452)</f>
        <v>92208709</v>
      </c>
      <c r="CH452" s="62">
        <f>VLOOKUP(B452,[1]RPTNCT049_ConsultaSaldosContabl!I$4:K$7987,3,0)</f>
        <v>41885417</v>
      </c>
      <c r="CI452" s="62">
        <f t="shared" ref="CI452:CI515" si="69">+AM452+BA452-BB452+BO452+CE452+CF452</f>
        <v>50323292</v>
      </c>
      <c r="CJ452" s="63">
        <f t="shared" ref="CJ452:CJ515" si="70">+CH452+CI452</f>
        <v>92208709</v>
      </c>
      <c r="CK452" s="64">
        <f t="shared" ref="CK452:CK515" si="71">+CG452-CJ452</f>
        <v>0</v>
      </c>
      <c r="CL452" s="16"/>
      <c r="CM452" s="16"/>
      <c r="CN452" s="16"/>
    </row>
    <row r="453" spans="1:96" ht="15" customHeight="1" x14ac:dyDescent="0.2">
      <c r="A453" s="1">
        <v>8000992416</v>
      </c>
      <c r="B453" s="1">
        <v>800099241</v>
      </c>
      <c r="C453" s="9">
        <v>214454344</v>
      </c>
      <c r="D453" s="10" t="s">
        <v>766</v>
      </c>
      <c r="E453" s="52" t="s">
        <v>1784</v>
      </c>
      <c r="F453" s="21"/>
      <c r="G453" s="59"/>
      <c r="H453" s="21"/>
      <c r="I453" s="59"/>
      <c r="J453" s="21"/>
      <c r="K453" s="21"/>
      <c r="L453" s="59"/>
      <c r="M453" s="60"/>
      <c r="N453" s="21"/>
      <c r="O453" s="59"/>
      <c r="P453" s="21"/>
      <c r="Q453" s="59"/>
      <c r="R453" s="21"/>
      <c r="S453" s="21"/>
      <c r="T453" s="59"/>
      <c r="U453" s="60">
        <f t="shared" si="66"/>
        <v>0</v>
      </c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>
        <v>50628186</v>
      </c>
      <c r="AN453" s="60">
        <f>SUBTOTAL(9,AC453:AM453)</f>
        <v>50628186</v>
      </c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>
        <v>136689600</v>
      </c>
      <c r="AZ453" s="60"/>
      <c r="BA453" s="60"/>
      <c r="BB453" s="60"/>
      <c r="BC453" s="61">
        <f t="shared" si="67"/>
        <v>187317786</v>
      </c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>
        <v>27337920</v>
      </c>
      <c r="BO453" s="60"/>
      <c r="BP453" s="61">
        <v>214655706</v>
      </c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>
        <v>27337920</v>
      </c>
      <c r="CD453" s="61"/>
      <c r="CE453" s="61"/>
      <c r="CF453" s="61"/>
      <c r="CG453" s="61">
        <f t="shared" si="68"/>
        <v>241993626</v>
      </c>
      <c r="CH453" s="62">
        <f>VLOOKUP(B453,[1]RPTNCT049_ConsultaSaldosContabl!I$4:K$7987,3,0)</f>
        <v>191365440</v>
      </c>
      <c r="CI453" s="62">
        <f t="shared" si="69"/>
        <v>50628186</v>
      </c>
      <c r="CJ453" s="63">
        <f t="shared" si="70"/>
        <v>241993626</v>
      </c>
      <c r="CK453" s="64">
        <f t="shared" si="71"/>
        <v>0</v>
      </c>
      <c r="CL453" s="16"/>
      <c r="CM453" s="16"/>
      <c r="CN453" s="16"/>
    </row>
    <row r="454" spans="1:96" ht="15" customHeight="1" x14ac:dyDescent="0.2">
      <c r="A454" s="1">
        <v>8002552146</v>
      </c>
      <c r="B454" s="1">
        <v>800255214</v>
      </c>
      <c r="C454" s="9">
        <v>210013300</v>
      </c>
      <c r="D454" s="10" t="s">
        <v>193</v>
      </c>
      <c r="E454" s="52" t="s">
        <v>1224</v>
      </c>
      <c r="F454" s="21"/>
      <c r="G454" s="59"/>
      <c r="H454" s="21"/>
      <c r="I454" s="59"/>
      <c r="J454" s="21"/>
      <c r="K454" s="21"/>
      <c r="L454" s="59"/>
      <c r="M454" s="60"/>
      <c r="N454" s="21"/>
      <c r="O454" s="59"/>
      <c r="P454" s="21"/>
      <c r="Q454" s="59"/>
      <c r="R454" s="21"/>
      <c r="S454" s="21"/>
      <c r="T454" s="59"/>
      <c r="U454" s="60">
        <f t="shared" si="66"/>
        <v>0</v>
      </c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>
        <v>209299761</v>
      </c>
      <c r="AN454" s="60">
        <f>SUBTOTAL(9,AC454:AM454)</f>
        <v>209299761</v>
      </c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>
        <v>163528995</v>
      </c>
      <c r="AZ454" s="60"/>
      <c r="BA454" s="60">
        <f>VLOOKUP(B454,[2]Hoja3!J$3:K$674,2,0)</f>
        <v>60101071</v>
      </c>
      <c r="BB454" s="60"/>
      <c r="BC454" s="61">
        <f t="shared" si="67"/>
        <v>432929827</v>
      </c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>
        <v>32705799</v>
      </c>
      <c r="BO454" s="60"/>
      <c r="BP454" s="61">
        <v>465635626</v>
      </c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>
        <v>32705799</v>
      </c>
      <c r="CD454" s="61"/>
      <c r="CE454" s="61"/>
      <c r="CF454" s="61"/>
      <c r="CG454" s="61">
        <f t="shared" si="68"/>
        <v>498341425</v>
      </c>
      <c r="CH454" s="62">
        <f>VLOOKUP(B454,[1]RPTNCT049_ConsultaSaldosContabl!I$4:K$7987,3,0)</f>
        <v>228940593</v>
      </c>
      <c r="CI454" s="62">
        <f t="shared" si="69"/>
        <v>269400832</v>
      </c>
      <c r="CJ454" s="63">
        <f t="shared" si="70"/>
        <v>498341425</v>
      </c>
      <c r="CK454" s="64">
        <f t="shared" si="71"/>
        <v>0</v>
      </c>
      <c r="CL454" s="16"/>
      <c r="CM454" s="8"/>
      <c r="CN454" s="8"/>
      <c r="CO454" s="8"/>
      <c r="CP454" s="8"/>
      <c r="CQ454" s="8"/>
      <c r="CR454" s="8"/>
    </row>
    <row r="455" spans="1:96" ht="15" customHeight="1" x14ac:dyDescent="0.2">
      <c r="A455" s="1">
        <v>8000126382</v>
      </c>
      <c r="B455" s="1">
        <v>800012638</v>
      </c>
      <c r="C455" s="9">
        <v>212585125</v>
      </c>
      <c r="D455" s="10" t="s">
        <v>958</v>
      </c>
      <c r="E455" s="52" t="s">
        <v>2018</v>
      </c>
      <c r="F455" s="21"/>
      <c r="G455" s="59"/>
      <c r="H455" s="21"/>
      <c r="I455" s="59"/>
      <c r="J455" s="21"/>
      <c r="K455" s="21"/>
      <c r="L455" s="59"/>
      <c r="M455" s="60"/>
      <c r="N455" s="21"/>
      <c r="O455" s="59"/>
      <c r="P455" s="21"/>
      <c r="Q455" s="59"/>
      <c r="R455" s="21"/>
      <c r="S455" s="21"/>
      <c r="T455" s="59"/>
      <c r="U455" s="60">
        <f t="shared" si="66"/>
        <v>0</v>
      </c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>
        <v>245867149</v>
      </c>
      <c r="AN455" s="60">
        <f>SUBTOTAL(9,AC455:AM455)</f>
        <v>245867149</v>
      </c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>
        <v>130814150</v>
      </c>
      <c r="AZ455" s="60"/>
      <c r="BA455" s="60">
        <f>VLOOKUP(B455,[2]Hoja3!J$3:K$674,2,0)</f>
        <v>29807923</v>
      </c>
      <c r="BB455" s="60"/>
      <c r="BC455" s="61">
        <f t="shared" si="67"/>
        <v>406489222</v>
      </c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>
        <v>26162830</v>
      </c>
      <c r="BO455" s="60"/>
      <c r="BP455" s="61">
        <v>432652052</v>
      </c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>
        <v>26162830</v>
      </c>
      <c r="CD455" s="61"/>
      <c r="CE455" s="61"/>
      <c r="CF455" s="61"/>
      <c r="CG455" s="61">
        <f t="shared" si="68"/>
        <v>458814882</v>
      </c>
      <c r="CH455" s="62">
        <f>VLOOKUP(B455,[1]RPTNCT049_ConsultaSaldosContabl!I$4:K$7987,3,0)</f>
        <v>183139810</v>
      </c>
      <c r="CI455" s="62">
        <f t="shared" si="69"/>
        <v>275675072</v>
      </c>
      <c r="CJ455" s="63">
        <f t="shared" si="70"/>
        <v>458814882</v>
      </c>
      <c r="CK455" s="64">
        <f t="shared" si="71"/>
        <v>0</v>
      </c>
      <c r="CL455" s="16"/>
      <c r="CM455" s="16"/>
      <c r="CN455" s="16"/>
    </row>
    <row r="456" spans="1:96" ht="15" customHeight="1" x14ac:dyDescent="0.2">
      <c r="A456" s="1">
        <v>8002551012</v>
      </c>
      <c r="B456" s="1">
        <v>800255101</v>
      </c>
      <c r="C456" s="9">
        <v>217844378</v>
      </c>
      <c r="D456" s="10" t="s">
        <v>636</v>
      </c>
      <c r="E456" s="52" t="s">
        <v>2089</v>
      </c>
      <c r="F456" s="21"/>
      <c r="G456" s="59"/>
      <c r="H456" s="21"/>
      <c r="I456" s="59"/>
      <c r="J456" s="21"/>
      <c r="K456" s="21"/>
      <c r="L456" s="59"/>
      <c r="M456" s="60"/>
      <c r="N456" s="21"/>
      <c r="O456" s="59"/>
      <c r="P456" s="21"/>
      <c r="Q456" s="59"/>
      <c r="R456" s="21"/>
      <c r="S456" s="21"/>
      <c r="T456" s="59"/>
      <c r="U456" s="60">
        <f t="shared" si="66"/>
        <v>0</v>
      </c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>
        <v>168582101</v>
      </c>
      <c r="AN456" s="60">
        <f>SUBTOTAL(9,AC456:AM456)</f>
        <v>168582101</v>
      </c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>
        <v>156759870</v>
      </c>
      <c r="AZ456" s="60"/>
      <c r="BA456" s="60"/>
      <c r="BB456" s="60"/>
      <c r="BC456" s="61">
        <f t="shared" si="67"/>
        <v>325341971</v>
      </c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>
        <v>31351974</v>
      </c>
      <c r="BO456" s="60"/>
      <c r="BP456" s="61">
        <v>356693945</v>
      </c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>
        <v>31351974</v>
      </c>
      <c r="CD456" s="61"/>
      <c r="CE456" s="61">
        <v>83241003</v>
      </c>
      <c r="CF456" s="61"/>
      <c r="CG456" s="61">
        <f t="shared" si="68"/>
        <v>471286922</v>
      </c>
      <c r="CH456" s="62">
        <f>VLOOKUP(B456,[1]RPTNCT049_ConsultaSaldosContabl!I$4:K$7987,3,0)</f>
        <v>219463818</v>
      </c>
      <c r="CI456" s="62">
        <f t="shared" si="69"/>
        <v>251823104</v>
      </c>
      <c r="CJ456" s="63">
        <f t="shared" si="70"/>
        <v>471286922</v>
      </c>
      <c r="CK456" s="64">
        <f t="shared" si="71"/>
        <v>0</v>
      </c>
      <c r="CL456" s="16"/>
      <c r="CM456" s="16"/>
      <c r="CN456" s="16"/>
    </row>
    <row r="457" spans="1:96" ht="15" customHeight="1" x14ac:dyDescent="0.2">
      <c r="A457" s="1">
        <v>8902104382</v>
      </c>
      <c r="B457" s="1">
        <v>890210438</v>
      </c>
      <c r="C457" s="9">
        <v>214468344</v>
      </c>
      <c r="D457" s="10" t="s">
        <v>847</v>
      </c>
      <c r="E457" s="52" t="s">
        <v>1862</v>
      </c>
      <c r="F457" s="21"/>
      <c r="G457" s="59"/>
      <c r="H457" s="21"/>
      <c r="I457" s="59"/>
      <c r="J457" s="21"/>
      <c r="K457" s="21"/>
      <c r="L457" s="59"/>
      <c r="M457" s="60"/>
      <c r="N457" s="21"/>
      <c r="O457" s="59"/>
      <c r="P457" s="21"/>
      <c r="Q457" s="59"/>
      <c r="R457" s="21"/>
      <c r="S457" s="21"/>
      <c r="T457" s="59"/>
      <c r="U457" s="60">
        <f t="shared" si="66"/>
        <v>0</v>
      </c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>
        <v>14915625</v>
      </c>
      <c r="AZ457" s="60"/>
      <c r="BA457" s="60">
        <f>VLOOKUP(B457,[2]Hoja3!J$3:K$674,2,0)</f>
        <v>35685099</v>
      </c>
      <c r="BB457" s="60"/>
      <c r="BC457" s="61">
        <f t="shared" si="67"/>
        <v>50600724</v>
      </c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>
        <v>2983125</v>
      </c>
      <c r="BO457" s="60"/>
      <c r="BP457" s="61">
        <v>53583849</v>
      </c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>
        <v>2983125</v>
      </c>
      <c r="CD457" s="61"/>
      <c r="CE457" s="61"/>
      <c r="CF457" s="61"/>
      <c r="CG457" s="61">
        <f t="shared" si="68"/>
        <v>56566974</v>
      </c>
      <c r="CH457" s="62">
        <f>VLOOKUP(B457,[1]RPTNCT049_ConsultaSaldosContabl!I$4:K$7987,3,0)</f>
        <v>20881875</v>
      </c>
      <c r="CI457" s="62">
        <f t="shared" si="69"/>
        <v>35685099</v>
      </c>
      <c r="CJ457" s="63">
        <f t="shared" si="70"/>
        <v>56566974</v>
      </c>
      <c r="CK457" s="64">
        <f t="shared" si="71"/>
        <v>0</v>
      </c>
      <c r="CL457" s="16"/>
      <c r="CM457" s="16"/>
      <c r="CN457" s="16"/>
    </row>
    <row r="458" spans="1:96" ht="15" customHeight="1" x14ac:dyDescent="0.2">
      <c r="A458" s="1">
        <v>8909824947</v>
      </c>
      <c r="B458" s="1">
        <v>890982494</v>
      </c>
      <c r="C458" s="9">
        <v>214705347</v>
      </c>
      <c r="D458" s="10" t="s">
        <v>96</v>
      </c>
      <c r="E458" s="52" t="s">
        <v>1127</v>
      </c>
      <c r="F458" s="21"/>
      <c r="G458" s="59"/>
      <c r="H458" s="21"/>
      <c r="I458" s="59"/>
      <c r="J458" s="21"/>
      <c r="K458" s="21"/>
      <c r="L458" s="59"/>
      <c r="M458" s="60"/>
      <c r="N458" s="21"/>
      <c r="O458" s="59"/>
      <c r="P458" s="21"/>
      <c r="Q458" s="59"/>
      <c r="R458" s="21"/>
      <c r="S458" s="21"/>
      <c r="T458" s="59"/>
      <c r="U458" s="60">
        <f t="shared" si="66"/>
        <v>0</v>
      </c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>
        <v>32069715</v>
      </c>
      <c r="AZ458" s="60"/>
      <c r="BA458" s="60">
        <f>VLOOKUP(B458,[2]Hoja3!J$3:K$674,2,0)</f>
        <v>74707749</v>
      </c>
      <c r="BB458" s="60"/>
      <c r="BC458" s="61">
        <f t="shared" si="67"/>
        <v>106777464</v>
      </c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>
        <v>6413943</v>
      </c>
      <c r="BO458" s="60"/>
      <c r="BP458" s="61">
        <v>113191407</v>
      </c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>
        <v>6413943</v>
      </c>
      <c r="CD458" s="61"/>
      <c r="CE458" s="61"/>
      <c r="CF458" s="61"/>
      <c r="CG458" s="61">
        <f t="shared" si="68"/>
        <v>119605350</v>
      </c>
      <c r="CH458" s="62">
        <f>VLOOKUP(B458,[1]RPTNCT049_ConsultaSaldosContabl!I$4:K$7987,3,0)</f>
        <v>44897601</v>
      </c>
      <c r="CI458" s="62">
        <f t="shared" si="69"/>
        <v>74707749</v>
      </c>
      <c r="CJ458" s="63">
        <f t="shared" si="70"/>
        <v>119605350</v>
      </c>
      <c r="CK458" s="64">
        <f t="shared" si="71"/>
        <v>0</v>
      </c>
      <c r="CL458" s="16"/>
      <c r="CM458" s="16"/>
      <c r="CN458" s="16"/>
    </row>
    <row r="459" spans="1:96" ht="15" customHeight="1" x14ac:dyDescent="0.2">
      <c r="A459" s="1">
        <v>8000052929</v>
      </c>
      <c r="B459" s="1">
        <v>800005292</v>
      </c>
      <c r="C459" s="9">
        <v>214754347</v>
      </c>
      <c r="D459" s="10" t="s">
        <v>767</v>
      </c>
      <c r="E459" s="52" t="s">
        <v>1785</v>
      </c>
      <c r="F459" s="21"/>
      <c r="G459" s="59"/>
      <c r="H459" s="21"/>
      <c r="I459" s="59"/>
      <c r="J459" s="21"/>
      <c r="K459" s="21"/>
      <c r="L459" s="59"/>
      <c r="M459" s="60"/>
      <c r="N459" s="21"/>
      <c r="O459" s="59"/>
      <c r="P459" s="21"/>
      <c r="Q459" s="59"/>
      <c r="R459" s="21"/>
      <c r="S459" s="21"/>
      <c r="T459" s="59"/>
      <c r="U459" s="60">
        <f t="shared" si="66"/>
        <v>0</v>
      </c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>
        <v>16146550</v>
      </c>
      <c r="AZ459" s="60"/>
      <c r="BA459" s="60">
        <f>VLOOKUP(B459,[2]Hoja3!J$3:K$674,2,0)</f>
        <v>32881269</v>
      </c>
      <c r="BB459" s="60"/>
      <c r="BC459" s="61">
        <f t="shared" si="67"/>
        <v>49027819</v>
      </c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>
        <v>3229310</v>
      </c>
      <c r="BO459" s="60"/>
      <c r="BP459" s="61">
        <v>52257129</v>
      </c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>
        <v>3229310</v>
      </c>
      <c r="CD459" s="61"/>
      <c r="CE459" s="61"/>
      <c r="CF459" s="61"/>
      <c r="CG459" s="61">
        <f t="shared" si="68"/>
        <v>55486439</v>
      </c>
      <c r="CH459" s="62">
        <f>VLOOKUP(B459,[1]RPTNCT049_ConsultaSaldosContabl!I$4:K$7987,3,0)</f>
        <v>22605170</v>
      </c>
      <c r="CI459" s="62">
        <f t="shared" si="69"/>
        <v>32881269</v>
      </c>
      <c r="CJ459" s="63">
        <f t="shared" si="70"/>
        <v>55486439</v>
      </c>
      <c r="CK459" s="64">
        <f t="shared" si="71"/>
        <v>0</v>
      </c>
      <c r="CL459" s="16"/>
      <c r="CM459" s="16"/>
      <c r="CN459" s="16"/>
    </row>
    <row r="460" spans="1:96" ht="15" customHeight="1" x14ac:dyDescent="0.2">
      <c r="A460" s="1">
        <v>8001000570</v>
      </c>
      <c r="B460" s="1">
        <v>800100057</v>
      </c>
      <c r="C460" s="9">
        <v>214773347</v>
      </c>
      <c r="D460" s="10" t="s">
        <v>2221</v>
      </c>
      <c r="E460" s="52" t="s">
        <v>1946</v>
      </c>
      <c r="F460" s="21"/>
      <c r="G460" s="59"/>
      <c r="H460" s="21"/>
      <c r="I460" s="59"/>
      <c r="J460" s="21"/>
      <c r="K460" s="21"/>
      <c r="L460" s="59"/>
      <c r="M460" s="60"/>
      <c r="N460" s="21"/>
      <c r="O460" s="59"/>
      <c r="P460" s="21"/>
      <c r="Q460" s="59"/>
      <c r="R460" s="21"/>
      <c r="S460" s="21"/>
      <c r="T460" s="59"/>
      <c r="U460" s="60">
        <f t="shared" si="66"/>
        <v>0</v>
      </c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>
        <v>54546279</v>
      </c>
      <c r="AN460" s="60">
        <f>SUBTOTAL(9,AC460:AM460)</f>
        <v>54546279</v>
      </c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>
        <v>52325605</v>
      </c>
      <c r="AZ460" s="60"/>
      <c r="BA460" s="60">
        <f>VLOOKUP(B460,[2]Hoja3!J$3:K$674,2,0)</f>
        <v>67847156</v>
      </c>
      <c r="BB460" s="60"/>
      <c r="BC460" s="61">
        <f t="shared" si="67"/>
        <v>174719040</v>
      </c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>
        <v>10465121</v>
      </c>
      <c r="BO460" s="60"/>
      <c r="BP460" s="61">
        <v>185184161</v>
      </c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>
        <v>10465121</v>
      </c>
      <c r="CD460" s="61"/>
      <c r="CE460" s="61"/>
      <c r="CF460" s="61"/>
      <c r="CG460" s="61">
        <f t="shared" si="68"/>
        <v>195649282</v>
      </c>
      <c r="CH460" s="62">
        <f>VLOOKUP(B460,[1]RPTNCT049_ConsultaSaldosContabl!I$4:K$7987,3,0)</f>
        <v>73255847</v>
      </c>
      <c r="CI460" s="62">
        <f t="shared" si="69"/>
        <v>122393435</v>
      </c>
      <c r="CJ460" s="63">
        <f t="shared" si="70"/>
        <v>195649282</v>
      </c>
      <c r="CK460" s="64">
        <f t="shared" si="71"/>
        <v>0</v>
      </c>
      <c r="CL460" s="16"/>
      <c r="CM460" s="16"/>
      <c r="CN460" s="16"/>
    </row>
    <row r="461" spans="1:96" ht="15" customHeight="1" x14ac:dyDescent="0.2">
      <c r="A461" s="1">
        <v>8909849868</v>
      </c>
      <c r="B461" s="1">
        <v>890984986</v>
      </c>
      <c r="C461" s="9">
        <v>215305353</v>
      </c>
      <c r="D461" s="10" t="s">
        <v>97</v>
      </c>
      <c r="E461" s="52" t="s">
        <v>1128</v>
      </c>
      <c r="F461" s="21"/>
      <c r="G461" s="59"/>
      <c r="H461" s="21"/>
      <c r="I461" s="59"/>
      <c r="J461" s="21"/>
      <c r="K461" s="21"/>
      <c r="L461" s="59"/>
      <c r="M461" s="60"/>
      <c r="N461" s="21"/>
      <c r="O461" s="59"/>
      <c r="P461" s="21"/>
      <c r="Q461" s="59"/>
      <c r="R461" s="21"/>
      <c r="S461" s="21"/>
      <c r="T461" s="59"/>
      <c r="U461" s="60">
        <f t="shared" si="66"/>
        <v>0</v>
      </c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>
        <v>64744198</v>
      </c>
      <c r="AN461" s="60">
        <f>SUBTOTAL(9,AC461:AM461)</f>
        <v>64744198</v>
      </c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>
        <v>33809755</v>
      </c>
      <c r="AZ461" s="60"/>
      <c r="BA461" s="60"/>
      <c r="BB461" s="60"/>
      <c r="BC461" s="61">
        <f t="shared" si="67"/>
        <v>98553953</v>
      </c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>
        <v>6761951</v>
      </c>
      <c r="BO461" s="60"/>
      <c r="BP461" s="61">
        <v>105315904</v>
      </c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>
        <v>6761951</v>
      </c>
      <c r="CD461" s="61"/>
      <c r="CE461" s="61"/>
      <c r="CF461" s="61"/>
      <c r="CG461" s="61">
        <f t="shared" si="68"/>
        <v>112077855</v>
      </c>
      <c r="CH461" s="62">
        <f>VLOOKUP(B461,[1]RPTNCT049_ConsultaSaldosContabl!I$4:K$7987,3,0)</f>
        <v>47333657</v>
      </c>
      <c r="CI461" s="62">
        <f t="shared" si="69"/>
        <v>64744198</v>
      </c>
      <c r="CJ461" s="63">
        <f t="shared" si="70"/>
        <v>112077855</v>
      </c>
      <c r="CK461" s="64">
        <f t="shared" si="71"/>
        <v>0</v>
      </c>
      <c r="CL461" s="16"/>
      <c r="CM461" s="16"/>
      <c r="CN461" s="16"/>
    </row>
    <row r="462" spans="1:96" ht="15" customHeight="1" x14ac:dyDescent="0.2">
      <c r="A462" s="1">
        <v>8911800193</v>
      </c>
      <c r="B462" s="1">
        <v>891180019</v>
      </c>
      <c r="C462" s="9">
        <v>214941349</v>
      </c>
      <c r="D462" s="10" t="s">
        <v>605</v>
      </c>
      <c r="E462" s="52" t="s">
        <v>1624</v>
      </c>
      <c r="F462" s="21"/>
      <c r="G462" s="59"/>
      <c r="H462" s="21"/>
      <c r="I462" s="59"/>
      <c r="J462" s="21"/>
      <c r="K462" s="21"/>
      <c r="L462" s="59"/>
      <c r="M462" s="60"/>
      <c r="N462" s="21"/>
      <c r="O462" s="59"/>
      <c r="P462" s="21"/>
      <c r="Q462" s="59"/>
      <c r="R462" s="21"/>
      <c r="S462" s="21"/>
      <c r="T462" s="59"/>
      <c r="U462" s="60">
        <f t="shared" si="66"/>
        <v>0</v>
      </c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>
        <v>45506180</v>
      </c>
      <c r="AZ462" s="60"/>
      <c r="BA462" s="60">
        <f>VLOOKUP(B462,[2]Hoja3!J$3:K$674,2,0)</f>
        <v>98886291</v>
      </c>
      <c r="BB462" s="60"/>
      <c r="BC462" s="61">
        <f t="shared" si="67"/>
        <v>144392471</v>
      </c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>
        <v>9101236</v>
      </c>
      <c r="BO462" s="60"/>
      <c r="BP462" s="61">
        <v>153493707</v>
      </c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>
        <v>9101236</v>
      </c>
      <c r="CD462" s="61"/>
      <c r="CE462" s="61"/>
      <c r="CF462" s="61"/>
      <c r="CG462" s="61">
        <f t="shared" si="68"/>
        <v>162594943</v>
      </c>
      <c r="CH462" s="62">
        <f>VLOOKUP(B462,[1]RPTNCT049_ConsultaSaldosContabl!I$4:K$7987,3,0)</f>
        <v>63708652</v>
      </c>
      <c r="CI462" s="62">
        <f t="shared" si="69"/>
        <v>98886291</v>
      </c>
      <c r="CJ462" s="63">
        <f t="shared" si="70"/>
        <v>162594943</v>
      </c>
      <c r="CK462" s="64">
        <f t="shared" si="71"/>
        <v>0</v>
      </c>
      <c r="CL462" s="16"/>
      <c r="CM462" s="16"/>
      <c r="CN462" s="16"/>
    </row>
    <row r="463" spans="1:96" ht="15" customHeight="1" x14ac:dyDescent="0.2">
      <c r="A463" s="1">
        <v>8001000588</v>
      </c>
      <c r="B463" s="1">
        <v>800100058</v>
      </c>
      <c r="C463" s="9">
        <v>214973349</v>
      </c>
      <c r="D463" s="10" t="s">
        <v>2222</v>
      </c>
      <c r="E463" s="52" t="s">
        <v>1947</v>
      </c>
      <c r="F463" s="21"/>
      <c r="G463" s="59"/>
      <c r="H463" s="21"/>
      <c r="I463" s="59"/>
      <c r="J463" s="21"/>
      <c r="K463" s="21"/>
      <c r="L463" s="59"/>
      <c r="M463" s="60"/>
      <c r="N463" s="21"/>
      <c r="O463" s="59"/>
      <c r="P463" s="21"/>
      <c r="Q463" s="59"/>
      <c r="R463" s="21"/>
      <c r="S463" s="21"/>
      <c r="T463" s="59"/>
      <c r="U463" s="60">
        <f t="shared" si="66"/>
        <v>0</v>
      </c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>
        <v>268922122</v>
      </c>
      <c r="AN463" s="60">
        <f>SUBTOTAL(9,AC463:AM463)</f>
        <v>268922122</v>
      </c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>
        <v>171291520</v>
      </c>
      <c r="AZ463" s="60"/>
      <c r="BA463" s="60"/>
      <c r="BB463" s="60"/>
      <c r="BC463" s="61">
        <f t="shared" si="67"/>
        <v>440213642</v>
      </c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>
        <v>34258304</v>
      </c>
      <c r="BO463" s="60"/>
      <c r="BP463" s="61">
        <v>474471946</v>
      </c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>
        <v>34258304</v>
      </c>
      <c r="CD463" s="61"/>
      <c r="CE463" s="61"/>
      <c r="CF463" s="61"/>
      <c r="CG463" s="61">
        <f t="shared" si="68"/>
        <v>508730250</v>
      </c>
      <c r="CH463" s="62">
        <f>VLOOKUP(B463,[1]RPTNCT049_ConsultaSaldosContabl!I$4:K$7987,3,0)</f>
        <v>239808128</v>
      </c>
      <c r="CI463" s="62">
        <f t="shared" si="69"/>
        <v>268922122</v>
      </c>
      <c r="CJ463" s="63">
        <f t="shared" si="70"/>
        <v>508730250</v>
      </c>
      <c r="CK463" s="64">
        <f t="shared" si="71"/>
        <v>0</v>
      </c>
      <c r="CL463" s="16"/>
      <c r="CM463" s="16"/>
      <c r="CN463" s="16"/>
    </row>
    <row r="464" spans="1:96" ht="15" customHeight="1" x14ac:dyDescent="0.2">
      <c r="A464" s="1">
        <v>8001133897</v>
      </c>
      <c r="B464" s="1">
        <v>800113389</v>
      </c>
      <c r="C464" s="9">
        <v>210173001</v>
      </c>
      <c r="D464" s="10" t="s">
        <v>2168</v>
      </c>
      <c r="E464" s="53" t="s">
        <v>1029</v>
      </c>
      <c r="F464" s="21"/>
      <c r="G464" s="59"/>
      <c r="H464" s="21"/>
      <c r="I464" s="59">
        <f>12031316885+154036739</f>
        <v>12185353624</v>
      </c>
      <c r="J464" s="21">
        <v>844794001</v>
      </c>
      <c r="K464" s="21">
        <v>1679254919</v>
      </c>
      <c r="L464" s="59"/>
      <c r="M464" s="61">
        <f>SUM(F464:L464)</f>
        <v>14709402544</v>
      </c>
      <c r="N464" s="21"/>
      <c r="O464" s="59"/>
      <c r="P464" s="21"/>
      <c r="Q464" s="59">
        <f>11388696532+70016700</f>
        <v>11458713232</v>
      </c>
      <c r="R464" s="21">
        <v>844947360</v>
      </c>
      <c r="S464" s="21">
        <f>834460918+844947360</f>
        <v>1679408278</v>
      </c>
      <c r="T464" s="59"/>
      <c r="U464" s="60">
        <f t="shared" si="66"/>
        <v>28692471414</v>
      </c>
      <c r="V464" s="60"/>
      <c r="W464" s="60"/>
      <c r="X464" s="60"/>
      <c r="Y464" s="60">
        <v>16681995257</v>
      </c>
      <c r="Z464" s="60">
        <v>865300350</v>
      </c>
      <c r="AA464" s="60">
        <v>1986418488</v>
      </c>
      <c r="AB464" s="60"/>
      <c r="AC464" s="60">
        <f t="shared" ref="AC452:AC515" si="72">SUM(U464:AB464)</f>
        <v>48226185509</v>
      </c>
      <c r="AD464" s="60"/>
      <c r="AE464" s="60"/>
      <c r="AF464" s="60"/>
      <c r="AG464" s="60"/>
      <c r="AH464" s="60">
        <v>12215496782</v>
      </c>
      <c r="AI464" s="60">
        <v>949598609</v>
      </c>
      <c r="AJ464" s="60">
        <v>875847382</v>
      </c>
      <c r="AK464" s="60">
        <v>2207340146</v>
      </c>
      <c r="AL464" s="60"/>
      <c r="AM464" s="60">
        <v>5451515975</v>
      </c>
      <c r="AN464" s="60">
        <f>SUBTOTAL(9,AC464:AM464)</f>
        <v>69925984403</v>
      </c>
      <c r="AO464" s="60"/>
      <c r="AP464" s="60"/>
      <c r="AQ464" s="60">
        <v>1854894980</v>
      </c>
      <c r="AR464" s="60"/>
      <c r="AS464" s="60"/>
      <c r="AT464" s="60">
        <v>12215496782</v>
      </c>
      <c r="AU464" s="60"/>
      <c r="AV464" s="60">
        <v>875847382</v>
      </c>
      <c r="AW464" s="60">
        <v>1495056254</v>
      </c>
      <c r="AX464" s="60"/>
      <c r="AY464" s="60"/>
      <c r="AZ464" s="60"/>
      <c r="BA464" s="60"/>
      <c r="BB464" s="60">
        <f>VLOOKUP(B464,'[3]anuladas en mayo gratuidad}'!K$2:L$55,2,0)</f>
        <v>422374283</v>
      </c>
      <c r="BC464" s="61">
        <f t="shared" si="67"/>
        <v>85944905518</v>
      </c>
      <c r="BD464" s="60"/>
      <c r="BE464" s="60"/>
      <c r="BF464" s="60">
        <v>370978996</v>
      </c>
      <c r="BG464" s="60"/>
      <c r="BH464" s="60"/>
      <c r="BI464" s="60">
        <v>12222905270</v>
      </c>
      <c r="BJ464" s="60">
        <v>341750116</v>
      </c>
      <c r="BK464" s="60">
        <v>805303404</v>
      </c>
      <c r="BL464" s="60">
        <v>1790562468</v>
      </c>
      <c r="BM464" s="60"/>
      <c r="BN464" s="60"/>
      <c r="BO464" s="60"/>
      <c r="BP464" s="61">
        <v>101476405772</v>
      </c>
      <c r="BQ464" s="61"/>
      <c r="BR464" s="61"/>
      <c r="BS464" s="61">
        <v>370978996</v>
      </c>
      <c r="BT464" s="61"/>
      <c r="BU464" s="61"/>
      <c r="BV464" s="61"/>
      <c r="BW464" s="61">
        <v>12466578177</v>
      </c>
      <c r="BX464" s="61"/>
      <c r="BY464" s="61">
        <v>5683896175</v>
      </c>
      <c r="BZ464" s="61">
        <v>882924798</v>
      </c>
      <c r="CA464" s="61">
        <v>2291297643</v>
      </c>
      <c r="CB464" s="61"/>
      <c r="CC464" s="61"/>
      <c r="CD464" s="61"/>
      <c r="CE464" s="61">
        <v>122621354</v>
      </c>
      <c r="CF464" s="61"/>
      <c r="CG464" s="61">
        <f t="shared" si="68"/>
        <v>123294702915</v>
      </c>
      <c r="CH464" s="62">
        <f>VLOOKUP(B464,[1]RPTNCT049_ConsultaSaldosContabl!I$4:K$7987,3,0)</f>
        <v>118142939869</v>
      </c>
      <c r="CI464" s="62">
        <f t="shared" si="69"/>
        <v>5151763046</v>
      </c>
      <c r="CJ464" s="63">
        <f t="shared" si="70"/>
        <v>123294702915</v>
      </c>
      <c r="CK464" s="64">
        <f t="shared" si="71"/>
        <v>0</v>
      </c>
      <c r="CL464" s="16"/>
      <c r="CM464" s="16"/>
      <c r="CN464" s="16"/>
    </row>
    <row r="465" spans="1:96" ht="15" customHeight="1" x14ac:dyDescent="0.2">
      <c r="A465" s="1">
        <v>8001000595</v>
      </c>
      <c r="B465" s="1">
        <v>800100059</v>
      </c>
      <c r="C465" s="9">
        <v>215273352</v>
      </c>
      <c r="D465" s="10" t="s">
        <v>2203</v>
      </c>
      <c r="E465" s="52" t="s">
        <v>1948</v>
      </c>
      <c r="F465" s="21"/>
      <c r="G465" s="59"/>
      <c r="H465" s="21"/>
      <c r="I465" s="59"/>
      <c r="J465" s="21"/>
      <c r="K465" s="21"/>
      <c r="L465" s="59"/>
      <c r="M465" s="60"/>
      <c r="N465" s="21"/>
      <c r="O465" s="59"/>
      <c r="P465" s="21"/>
      <c r="Q465" s="59"/>
      <c r="R465" s="21"/>
      <c r="S465" s="21"/>
      <c r="T465" s="59"/>
      <c r="U465" s="60">
        <f t="shared" si="66"/>
        <v>0</v>
      </c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>
        <v>90154530</v>
      </c>
      <c r="AZ465" s="60"/>
      <c r="BA465" s="60">
        <f>VLOOKUP(B465,[2]Hoja3!J$3:K$674,2,0)</f>
        <v>184289802</v>
      </c>
      <c r="BB465" s="60"/>
      <c r="BC465" s="61">
        <f t="shared" si="67"/>
        <v>274444332</v>
      </c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>
        <v>18030906</v>
      </c>
      <c r="BO465" s="60"/>
      <c r="BP465" s="61">
        <v>292475238</v>
      </c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>
        <v>18030906</v>
      </c>
      <c r="CD465" s="61"/>
      <c r="CE465" s="61"/>
      <c r="CF465" s="61"/>
      <c r="CG465" s="61">
        <f t="shared" si="68"/>
        <v>310506144</v>
      </c>
      <c r="CH465" s="62">
        <f>VLOOKUP(B465,[1]RPTNCT049_ConsultaSaldosContabl!I$4:K$7987,3,0)</f>
        <v>126216342</v>
      </c>
      <c r="CI465" s="62">
        <f t="shared" si="69"/>
        <v>184289802</v>
      </c>
      <c r="CJ465" s="63">
        <f t="shared" si="70"/>
        <v>310506144</v>
      </c>
      <c r="CK465" s="64">
        <f t="shared" si="71"/>
        <v>0</v>
      </c>
      <c r="CL465" s="16"/>
      <c r="CM465" s="16"/>
      <c r="CN465" s="16"/>
    </row>
    <row r="466" spans="1:96" ht="15" customHeight="1" x14ac:dyDescent="0.2">
      <c r="A466" s="1">
        <v>8000990925</v>
      </c>
      <c r="B466" s="1">
        <v>800099092</v>
      </c>
      <c r="C466" s="9">
        <v>215252352</v>
      </c>
      <c r="D466" s="10" t="s">
        <v>714</v>
      </c>
      <c r="E466" s="52" t="s">
        <v>1737</v>
      </c>
      <c r="F466" s="21"/>
      <c r="G466" s="59"/>
      <c r="H466" s="21"/>
      <c r="I466" s="59"/>
      <c r="J466" s="21"/>
      <c r="K466" s="21"/>
      <c r="L466" s="59"/>
      <c r="M466" s="60"/>
      <c r="N466" s="21"/>
      <c r="O466" s="59"/>
      <c r="P466" s="21"/>
      <c r="Q466" s="59"/>
      <c r="R466" s="21"/>
      <c r="S466" s="21"/>
      <c r="T466" s="59"/>
      <c r="U466" s="60">
        <f t="shared" si="66"/>
        <v>0</v>
      </c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>
        <v>91655022</v>
      </c>
      <c r="AN466" s="60">
        <f>SUBTOTAL(9,AC466:AM466)</f>
        <v>91655022</v>
      </c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>
        <v>71889225</v>
      </c>
      <c r="AZ466" s="60"/>
      <c r="BA466" s="60">
        <f>VLOOKUP(B466,[2]Hoja3!J$3:K$674,2,0)</f>
        <v>22149513</v>
      </c>
      <c r="BB466" s="60"/>
      <c r="BC466" s="61">
        <f t="shared" si="67"/>
        <v>185693760</v>
      </c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>
        <v>14377845</v>
      </c>
      <c r="BO466" s="60"/>
      <c r="BP466" s="61">
        <v>200071605</v>
      </c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>
        <v>14377845</v>
      </c>
      <c r="CD466" s="61"/>
      <c r="CE466" s="61"/>
      <c r="CF466" s="61"/>
      <c r="CG466" s="61">
        <f t="shared" si="68"/>
        <v>214449450</v>
      </c>
      <c r="CH466" s="62">
        <f>VLOOKUP(B466,[1]RPTNCT049_ConsultaSaldosContabl!I$4:K$7987,3,0)</f>
        <v>100644915</v>
      </c>
      <c r="CI466" s="62">
        <f t="shared" si="69"/>
        <v>113804535</v>
      </c>
      <c r="CJ466" s="63">
        <f t="shared" si="70"/>
        <v>214449450</v>
      </c>
      <c r="CK466" s="64">
        <f t="shared" si="71"/>
        <v>0</v>
      </c>
      <c r="CL466" s="16"/>
      <c r="CM466" s="16"/>
      <c r="CN466" s="16"/>
    </row>
    <row r="467" spans="1:96" ht="15" customHeight="1" x14ac:dyDescent="0.2">
      <c r="A467" s="1">
        <v>8000190052</v>
      </c>
      <c r="B467" s="1">
        <v>800019005</v>
      </c>
      <c r="C467" s="9">
        <v>215452354</v>
      </c>
      <c r="D467" s="10" t="s">
        <v>715</v>
      </c>
      <c r="E467" s="52" t="s">
        <v>1728</v>
      </c>
      <c r="F467" s="21"/>
      <c r="G467" s="59"/>
      <c r="H467" s="21"/>
      <c r="I467" s="59"/>
      <c r="J467" s="21"/>
      <c r="K467" s="21"/>
      <c r="L467" s="59"/>
      <c r="M467" s="60"/>
      <c r="N467" s="21"/>
      <c r="O467" s="59"/>
      <c r="P467" s="21"/>
      <c r="Q467" s="59"/>
      <c r="R467" s="21"/>
      <c r="S467" s="21"/>
      <c r="T467" s="59"/>
      <c r="U467" s="60">
        <f t="shared" si="66"/>
        <v>0</v>
      </c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>
        <v>106871313</v>
      </c>
      <c r="AN467" s="60">
        <f>SUBTOTAL(9,AC467:AM467)</f>
        <v>106871313</v>
      </c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1">
        <f t="shared" si="67"/>
        <v>106871313</v>
      </c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>
        <v>0</v>
      </c>
      <c r="BO467" s="60"/>
      <c r="BP467" s="61">
        <v>106871313</v>
      </c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>
        <v>0</v>
      </c>
      <c r="CD467" s="61"/>
      <c r="CE467" s="61"/>
      <c r="CF467" s="61"/>
      <c r="CG467" s="61">
        <f t="shared" si="68"/>
        <v>106871313</v>
      </c>
      <c r="CH467" s="62"/>
      <c r="CI467" s="62">
        <f t="shared" si="69"/>
        <v>106871313</v>
      </c>
      <c r="CJ467" s="63">
        <f t="shared" si="70"/>
        <v>106871313</v>
      </c>
      <c r="CK467" s="64">
        <f t="shared" si="71"/>
        <v>0</v>
      </c>
      <c r="CL467" s="16"/>
      <c r="CM467" s="16"/>
      <c r="CN467" s="16"/>
    </row>
    <row r="468" spans="1:96" ht="15" customHeight="1" x14ac:dyDescent="0.2">
      <c r="A468" s="1">
        <v>8920991057</v>
      </c>
      <c r="B468" s="1">
        <v>892099105</v>
      </c>
      <c r="C468" s="9">
        <v>210194001</v>
      </c>
      <c r="D468" s="10" t="s">
        <v>990</v>
      </c>
      <c r="E468" s="52" t="s">
        <v>2046</v>
      </c>
      <c r="F468" s="21"/>
      <c r="G468" s="59"/>
      <c r="H468" s="21"/>
      <c r="I468" s="59"/>
      <c r="J468" s="21"/>
      <c r="K468" s="21"/>
      <c r="L468" s="59"/>
      <c r="M468" s="60"/>
      <c r="N468" s="21"/>
      <c r="O468" s="59"/>
      <c r="P468" s="21"/>
      <c r="Q468" s="59"/>
      <c r="R468" s="21"/>
      <c r="S468" s="21"/>
      <c r="T468" s="59"/>
      <c r="U468" s="60">
        <f t="shared" si="66"/>
        <v>0</v>
      </c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>
        <v>266294595</v>
      </c>
      <c r="AZ468" s="60"/>
      <c r="BA468" s="60">
        <f>VLOOKUP(B468,[2]Hoja3!J$3:K$674,2,0)</f>
        <v>585367509</v>
      </c>
      <c r="BB468" s="60"/>
      <c r="BC468" s="61">
        <f t="shared" si="67"/>
        <v>851662104</v>
      </c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>
        <v>53258919</v>
      </c>
      <c r="BO468" s="60"/>
      <c r="BP468" s="61">
        <v>904921023</v>
      </c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>
        <v>53258919</v>
      </c>
      <c r="CD468" s="61"/>
      <c r="CE468" s="61"/>
      <c r="CF468" s="61"/>
      <c r="CG468" s="61">
        <f t="shared" si="68"/>
        <v>958179942</v>
      </c>
      <c r="CH468" s="62">
        <f>VLOOKUP(B468,[1]RPTNCT049_ConsultaSaldosContabl!I$4:K$7987,3,0)</f>
        <v>372812433</v>
      </c>
      <c r="CI468" s="62">
        <f t="shared" si="69"/>
        <v>585367509</v>
      </c>
      <c r="CJ468" s="63">
        <f t="shared" si="70"/>
        <v>958179942</v>
      </c>
      <c r="CK468" s="64">
        <f t="shared" si="71"/>
        <v>0</v>
      </c>
      <c r="CL468" s="16"/>
      <c r="CM468" s="16"/>
      <c r="CN468" s="16"/>
    </row>
    <row r="469" spans="1:96" ht="15" customHeight="1" x14ac:dyDescent="0.2">
      <c r="A469" s="1">
        <v>8000047411</v>
      </c>
      <c r="B469" s="1">
        <v>800004741</v>
      </c>
      <c r="C469" s="9">
        <v>215519355</v>
      </c>
      <c r="D469" s="10" t="s">
        <v>386</v>
      </c>
      <c r="E469" s="52" t="s">
        <v>1416</v>
      </c>
      <c r="F469" s="21"/>
      <c r="G469" s="59"/>
      <c r="H469" s="21"/>
      <c r="I469" s="59"/>
      <c r="J469" s="21"/>
      <c r="K469" s="21"/>
      <c r="L469" s="59"/>
      <c r="M469" s="60"/>
      <c r="N469" s="21"/>
      <c r="O469" s="59"/>
      <c r="P469" s="21"/>
      <c r="Q469" s="59"/>
      <c r="R469" s="21"/>
      <c r="S469" s="21"/>
      <c r="T469" s="59"/>
      <c r="U469" s="60">
        <f t="shared" si="66"/>
        <v>0</v>
      </c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>
        <v>309239795</v>
      </c>
      <c r="AZ469" s="60"/>
      <c r="BA469" s="60">
        <f>VLOOKUP(B469,[2]Hoja3!J$3:K$674,2,0)</f>
        <v>387154206</v>
      </c>
      <c r="BB469" s="60"/>
      <c r="BC469" s="61">
        <f t="shared" si="67"/>
        <v>696394001</v>
      </c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>
        <v>61847959</v>
      </c>
      <c r="BO469" s="60"/>
      <c r="BP469" s="61">
        <v>758241960</v>
      </c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>
        <v>61847959</v>
      </c>
      <c r="CD469" s="61"/>
      <c r="CE469" s="61"/>
      <c r="CF469" s="61"/>
      <c r="CG469" s="61">
        <f t="shared" si="68"/>
        <v>820089919</v>
      </c>
      <c r="CH469" s="62">
        <f>VLOOKUP(B469,[1]RPTNCT049_ConsultaSaldosContabl!I$4:K$7987,3,0)</f>
        <v>432935713</v>
      </c>
      <c r="CI469" s="62">
        <f t="shared" si="69"/>
        <v>387154206</v>
      </c>
      <c r="CJ469" s="63">
        <f t="shared" si="70"/>
        <v>820089919</v>
      </c>
      <c r="CK469" s="64">
        <f t="shared" si="71"/>
        <v>0</v>
      </c>
      <c r="CL469" s="16"/>
      <c r="CM469" s="16"/>
      <c r="CN469" s="16"/>
    </row>
    <row r="470" spans="1:96" ht="15" customHeight="1" x14ac:dyDescent="0.2">
      <c r="A470" s="1">
        <v>8000990957</v>
      </c>
      <c r="B470" s="1">
        <v>800099095</v>
      </c>
      <c r="C470" s="9">
        <v>215652356</v>
      </c>
      <c r="D470" s="10" t="s">
        <v>716</v>
      </c>
      <c r="E470" s="53" t="s">
        <v>1738</v>
      </c>
      <c r="F470" s="21"/>
      <c r="G470" s="59"/>
      <c r="H470" s="21"/>
      <c r="I470" s="59">
        <f>3530999745+109589025</f>
        <v>3640588770</v>
      </c>
      <c r="J470" s="21">
        <v>236971548</v>
      </c>
      <c r="K470" s="21">
        <v>473830354</v>
      </c>
      <c r="L470" s="59"/>
      <c r="M470" s="61">
        <f>SUM(F470:L470)</f>
        <v>4351390672</v>
      </c>
      <c r="N470" s="21"/>
      <c r="O470" s="59"/>
      <c r="P470" s="21"/>
      <c r="Q470" s="59">
        <f>3381912558+49813193</f>
        <v>3431725751</v>
      </c>
      <c r="R470" s="21">
        <v>237124907</v>
      </c>
      <c r="S470" s="21">
        <f>236858806+237124907</f>
        <v>473983713</v>
      </c>
      <c r="T470" s="59"/>
      <c r="U470" s="60">
        <f t="shared" si="66"/>
        <v>8494225043</v>
      </c>
      <c r="V470" s="60"/>
      <c r="W470" s="60"/>
      <c r="X470" s="60"/>
      <c r="Y470" s="60">
        <v>5104446460</v>
      </c>
      <c r="Z470" s="60">
        <v>235036314</v>
      </c>
      <c r="AA470" s="60">
        <v>536907396</v>
      </c>
      <c r="AB470" s="60"/>
      <c r="AC470" s="60">
        <f t="shared" si="72"/>
        <v>14370615213</v>
      </c>
      <c r="AD470" s="60"/>
      <c r="AE470" s="60"/>
      <c r="AF470" s="60"/>
      <c r="AG470" s="60"/>
      <c r="AH470" s="60">
        <v>3435490265</v>
      </c>
      <c r="AI470" s="60">
        <v>519630399</v>
      </c>
      <c r="AJ470" s="60">
        <v>242627668</v>
      </c>
      <c r="AK470" s="60">
        <v>612183555</v>
      </c>
      <c r="AL470" s="60"/>
      <c r="AM470" s="60">
        <v>1471048283</v>
      </c>
      <c r="AN470" s="60">
        <f>SUBTOTAL(9,AC470:AM470)</f>
        <v>20651595383</v>
      </c>
      <c r="AO470" s="60"/>
      <c r="AP470" s="60"/>
      <c r="AQ470" s="60">
        <v>649209775</v>
      </c>
      <c r="AR470" s="60"/>
      <c r="AS470" s="60"/>
      <c r="AT470" s="60">
        <v>3588839696</v>
      </c>
      <c r="AU470" s="60"/>
      <c r="AV470" s="60">
        <v>242627668</v>
      </c>
      <c r="AW470" s="60">
        <v>414705617</v>
      </c>
      <c r="AX470" s="60"/>
      <c r="AY470" s="60"/>
      <c r="AZ470" s="60">
        <v>394970081</v>
      </c>
      <c r="BA470" s="60">
        <f>VLOOKUP(B470,[2]Hoja3!J$3:K$674,2,0)</f>
        <v>132403876</v>
      </c>
      <c r="BB470" s="60"/>
      <c r="BC470" s="61">
        <f t="shared" si="67"/>
        <v>26074352096</v>
      </c>
      <c r="BD470" s="60"/>
      <c r="BE470" s="60"/>
      <c r="BF470" s="60">
        <v>129841955</v>
      </c>
      <c r="BG470" s="60"/>
      <c r="BH470" s="60"/>
      <c r="BI470" s="60">
        <v>3572231447</v>
      </c>
      <c r="BJ470" s="60">
        <v>61649260</v>
      </c>
      <c r="BK470" s="60">
        <v>247365169</v>
      </c>
      <c r="BL470" s="60">
        <v>639552267</v>
      </c>
      <c r="BM470" s="60"/>
      <c r="BN470" s="60"/>
      <c r="BO470" s="60"/>
      <c r="BP470" s="61">
        <v>30724992194</v>
      </c>
      <c r="BQ470" s="61"/>
      <c r="BR470" s="61"/>
      <c r="BS470" s="61">
        <v>129841955</v>
      </c>
      <c r="BT470" s="61"/>
      <c r="BU470" s="61"/>
      <c r="BV470" s="61"/>
      <c r="BW470" s="61">
        <v>3584815163</v>
      </c>
      <c r="BX470" s="61"/>
      <c r="BY470" s="61">
        <v>1644790939</v>
      </c>
      <c r="BZ470" s="61">
        <v>243152852</v>
      </c>
      <c r="CA470" s="61">
        <v>645016565</v>
      </c>
      <c r="CB470" s="61"/>
      <c r="CC470" s="61"/>
      <c r="CD470" s="61"/>
      <c r="CE470" s="61">
        <v>7492353</v>
      </c>
      <c r="CF470" s="61"/>
      <c r="CG470" s="61">
        <f t="shared" si="68"/>
        <v>36980102021</v>
      </c>
      <c r="CH470" s="62">
        <f>VLOOKUP(B470,[1]RPTNCT049_ConsultaSaldosContabl!I$4:K$7987,3,0)</f>
        <v>35369157509</v>
      </c>
      <c r="CI470" s="62">
        <f t="shared" si="69"/>
        <v>1610944512</v>
      </c>
      <c r="CJ470" s="63">
        <f t="shared" si="70"/>
        <v>36980102021</v>
      </c>
      <c r="CK470" s="64">
        <f t="shared" si="71"/>
        <v>0</v>
      </c>
      <c r="CL470" s="16"/>
      <c r="CM470" s="16"/>
      <c r="CN470" s="16"/>
    </row>
    <row r="471" spans="1:96" ht="15" customHeight="1" x14ac:dyDescent="0.2">
      <c r="A471" s="1">
        <v>8911801310</v>
      </c>
      <c r="B471" s="1">
        <v>891180131</v>
      </c>
      <c r="C471" s="9">
        <v>215741357</v>
      </c>
      <c r="D471" s="10" t="s">
        <v>606</v>
      </c>
      <c r="E471" s="52" t="s">
        <v>1625</v>
      </c>
      <c r="F471" s="21"/>
      <c r="G471" s="59"/>
      <c r="H471" s="21"/>
      <c r="I471" s="59"/>
      <c r="J471" s="21"/>
      <c r="K471" s="21"/>
      <c r="L471" s="59"/>
      <c r="M471" s="60"/>
      <c r="N471" s="21"/>
      <c r="O471" s="59"/>
      <c r="P471" s="21"/>
      <c r="Q471" s="59"/>
      <c r="R471" s="21"/>
      <c r="S471" s="21"/>
      <c r="T471" s="59"/>
      <c r="U471" s="60">
        <f t="shared" si="66"/>
        <v>0</v>
      </c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>
        <v>34779430</v>
      </c>
      <c r="AN471" s="60">
        <f>SUBTOTAL(9,AC471:AM471)</f>
        <v>34779430</v>
      </c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>
        <v>87170985</v>
      </c>
      <c r="AZ471" s="60"/>
      <c r="BA471" s="60">
        <f>VLOOKUP(B471,[2]Hoja3!J$3:K$674,2,0)</f>
        <v>108271044</v>
      </c>
      <c r="BB471" s="60"/>
      <c r="BC471" s="61">
        <f t="shared" si="67"/>
        <v>230221459</v>
      </c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>
        <v>17434197</v>
      </c>
      <c r="BO471" s="60"/>
      <c r="BP471" s="61">
        <v>247655656</v>
      </c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>
        <v>17434197</v>
      </c>
      <c r="CD471" s="61"/>
      <c r="CE471" s="61">
        <v>43519126</v>
      </c>
      <c r="CF471" s="61"/>
      <c r="CG471" s="61">
        <f t="shared" si="68"/>
        <v>308608979</v>
      </c>
      <c r="CH471" s="62">
        <f>VLOOKUP(B471,[1]RPTNCT049_ConsultaSaldosContabl!I$4:K$7987,3,0)</f>
        <v>122039379</v>
      </c>
      <c r="CI471" s="62">
        <f t="shared" si="69"/>
        <v>186569600</v>
      </c>
      <c r="CJ471" s="63">
        <f t="shared" si="70"/>
        <v>308608979</v>
      </c>
      <c r="CK471" s="64">
        <f t="shared" si="71"/>
        <v>0</v>
      </c>
      <c r="CL471" s="16"/>
      <c r="CM471" s="16"/>
      <c r="CN471" s="16"/>
    </row>
    <row r="472" spans="1:96" ht="15" customHeight="1" x14ac:dyDescent="0.2">
      <c r="A472" s="1">
        <v>8000970981</v>
      </c>
      <c r="B472" s="1">
        <v>800097098</v>
      </c>
      <c r="C472" s="9">
        <v>215941359</v>
      </c>
      <c r="D472" s="10" t="s">
        <v>607</v>
      </c>
      <c r="E472" s="52" t="s">
        <v>1626</v>
      </c>
      <c r="F472" s="21"/>
      <c r="G472" s="59"/>
      <c r="H472" s="21"/>
      <c r="I472" s="59"/>
      <c r="J472" s="21"/>
      <c r="K472" s="21"/>
      <c r="L472" s="59"/>
      <c r="M472" s="60"/>
      <c r="N472" s="21"/>
      <c r="O472" s="59"/>
      <c r="P472" s="21"/>
      <c r="Q472" s="59"/>
      <c r="R472" s="21"/>
      <c r="S472" s="21"/>
      <c r="T472" s="59"/>
      <c r="U472" s="60">
        <f t="shared" si="66"/>
        <v>0</v>
      </c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>
        <v>46658958</v>
      </c>
      <c r="AN472" s="60">
        <f>SUBTOTAL(9,AC472:AM472)</f>
        <v>46658958</v>
      </c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>
        <v>177456280</v>
      </c>
      <c r="AZ472" s="60"/>
      <c r="BA472" s="60">
        <f>VLOOKUP(B472,[2]Hoja3!J$3:K$674,2,0)</f>
        <v>362951818</v>
      </c>
      <c r="BB472" s="60"/>
      <c r="BC472" s="61">
        <f t="shared" si="67"/>
        <v>587067056</v>
      </c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>
        <v>35491256</v>
      </c>
      <c r="BO472" s="60"/>
      <c r="BP472" s="61">
        <v>622558312</v>
      </c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>
        <v>35491256</v>
      </c>
      <c r="CD472" s="61"/>
      <c r="CE472" s="61"/>
      <c r="CF472" s="61"/>
      <c r="CG472" s="61">
        <f t="shared" si="68"/>
        <v>658049568</v>
      </c>
      <c r="CH472" s="62">
        <f>VLOOKUP(B472,[1]RPTNCT049_ConsultaSaldosContabl!I$4:K$7987,3,0)</f>
        <v>248438792</v>
      </c>
      <c r="CI472" s="62">
        <f t="shared" si="69"/>
        <v>409610776</v>
      </c>
      <c r="CJ472" s="63">
        <f t="shared" si="70"/>
        <v>658049568</v>
      </c>
      <c r="CK472" s="64">
        <f t="shared" si="71"/>
        <v>0</v>
      </c>
      <c r="CL472" s="16"/>
      <c r="CM472" s="16"/>
      <c r="CN472" s="16"/>
    </row>
    <row r="473" spans="1:96" ht="15" customHeight="1" x14ac:dyDescent="0.2">
      <c r="A473" s="1">
        <v>8909800938</v>
      </c>
      <c r="B473" s="1">
        <v>890980093</v>
      </c>
      <c r="C473" s="9">
        <v>216005360</v>
      </c>
      <c r="D473" s="10" t="s">
        <v>2169</v>
      </c>
      <c r="E473" s="54" t="s">
        <v>2261</v>
      </c>
      <c r="F473" s="21"/>
      <c r="G473" s="59"/>
      <c r="H473" s="21"/>
      <c r="I473" s="59">
        <f>3707546421+108395210</f>
        <v>3815941631</v>
      </c>
      <c r="J473" s="21">
        <v>294996338</v>
      </c>
      <c r="K473" s="21">
        <v>584376479</v>
      </c>
      <c r="L473" s="59"/>
      <c r="M473" s="61">
        <f>SUM(F473:L473)</f>
        <v>4695314448</v>
      </c>
      <c r="N473" s="21"/>
      <c r="O473" s="59"/>
      <c r="P473" s="21"/>
      <c r="Q473" s="59">
        <f>3586428043+49270550</f>
        <v>3635698593</v>
      </c>
      <c r="R473" s="21">
        <v>294996338</v>
      </c>
      <c r="S473" s="21">
        <f>289380141+294996338</f>
        <v>584376479</v>
      </c>
      <c r="T473" s="59"/>
      <c r="U473" s="60">
        <f t="shared" si="66"/>
        <v>9210385858</v>
      </c>
      <c r="V473" s="60"/>
      <c r="W473" s="60"/>
      <c r="X473" s="60"/>
      <c r="Y473" s="60">
        <v>6388128983</v>
      </c>
      <c r="Z473" s="60">
        <v>311418770</v>
      </c>
      <c r="AA473" s="60">
        <v>697112483</v>
      </c>
      <c r="AB473" s="60"/>
      <c r="AC473" s="60">
        <f t="shared" si="72"/>
        <v>16607046094</v>
      </c>
      <c r="AD473" s="60"/>
      <c r="AE473" s="60"/>
      <c r="AF473" s="60"/>
      <c r="AG473" s="60"/>
      <c r="AH473" s="60">
        <v>4528804226</v>
      </c>
      <c r="AI473" s="60">
        <v>1096156504</v>
      </c>
      <c r="AJ473" s="60">
        <v>308676242</v>
      </c>
      <c r="AK473" s="60">
        <v>777382019</v>
      </c>
      <c r="AL473" s="60"/>
      <c r="AM473" s="60">
        <v>2345946350</v>
      </c>
      <c r="AN473" s="60">
        <f>SUBTOTAL(9,AC473:AM473)</f>
        <v>25664011435</v>
      </c>
      <c r="AO473" s="60"/>
      <c r="AP473" s="60"/>
      <c r="AQ473" s="60">
        <v>699730070</v>
      </c>
      <c r="AR473" s="60"/>
      <c r="AS473" s="60"/>
      <c r="AT473" s="60">
        <v>4528804226</v>
      </c>
      <c r="AU473" s="60"/>
      <c r="AV473" s="60">
        <v>308676242</v>
      </c>
      <c r="AW473" s="60">
        <v>526551053</v>
      </c>
      <c r="AX473" s="60"/>
      <c r="AY473" s="60"/>
      <c r="AZ473" s="60">
        <v>103268936</v>
      </c>
      <c r="BA473" s="60"/>
      <c r="BB473" s="60">
        <f>VLOOKUP(B473,'[3]anuladas en mayo gratuidad}'!K$2:L$55,2,0)</f>
        <v>180135016</v>
      </c>
      <c r="BC473" s="61">
        <f t="shared" si="67"/>
        <v>31650906946</v>
      </c>
      <c r="BD473" s="60"/>
      <c r="BE473" s="60"/>
      <c r="BF473" s="60">
        <v>139946014</v>
      </c>
      <c r="BG473" s="60"/>
      <c r="BH473" s="60"/>
      <c r="BI473" s="60">
        <v>4485504717</v>
      </c>
      <c r="BJ473" s="60">
        <v>528902458</v>
      </c>
      <c r="BK473" s="60">
        <v>296647719</v>
      </c>
      <c r="BL473" s="60">
        <v>778061211</v>
      </c>
      <c r="BM473" s="60"/>
      <c r="BN473" s="60"/>
      <c r="BO473" s="60"/>
      <c r="BP473" s="61">
        <v>37879969065</v>
      </c>
      <c r="BQ473" s="61"/>
      <c r="BR473" s="61"/>
      <c r="BS473" s="61">
        <v>139946014</v>
      </c>
      <c r="BT473" s="61"/>
      <c r="BU473" s="61"/>
      <c r="BV473" s="61"/>
      <c r="BW473" s="61">
        <v>3969398384</v>
      </c>
      <c r="BX473" s="61"/>
      <c r="BY473" s="61">
        <v>1857517867</v>
      </c>
      <c r="BZ473" s="61">
        <v>305473403</v>
      </c>
      <c r="CA473" s="61">
        <v>797464003</v>
      </c>
      <c r="CB473" s="61"/>
      <c r="CC473" s="61"/>
      <c r="CD473" s="61"/>
      <c r="CE473" s="61">
        <v>180135016</v>
      </c>
      <c r="CF473" s="61"/>
      <c r="CG473" s="61">
        <f t="shared" si="68"/>
        <v>45129903752</v>
      </c>
      <c r="CH473" s="62">
        <f>VLOOKUP(B473,[1]RPTNCT049_ConsultaSaldosContabl!I$4:K$7987,3,0)</f>
        <v>42783957402</v>
      </c>
      <c r="CI473" s="62">
        <f t="shared" si="69"/>
        <v>2345946350</v>
      </c>
      <c r="CJ473" s="63">
        <f t="shared" si="70"/>
        <v>45129903752</v>
      </c>
      <c r="CK473" s="64">
        <f t="shared" si="71"/>
        <v>0</v>
      </c>
      <c r="CL473" s="16"/>
      <c r="CM473" s="16"/>
      <c r="CN473" s="16"/>
    </row>
    <row r="474" spans="1:96" ht="15" customHeight="1" x14ac:dyDescent="0.2">
      <c r="A474" s="1">
        <v>8916800672</v>
      </c>
      <c r="B474" s="1">
        <v>891680067</v>
      </c>
      <c r="C474" s="9">
        <v>216127361</v>
      </c>
      <c r="D474" s="10" t="s">
        <v>579</v>
      </c>
      <c r="E474" s="52" t="s">
        <v>1600</v>
      </c>
      <c r="F474" s="21"/>
      <c r="G474" s="59"/>
      <c r="H474" s="21"/>
      <c r="I474" s="59"/>
      <c r="J474" s="21"/>
      <c r="K474" s="21"/>
      <c r="L474" s="59"/>
      <c r="M474" s="60"/>
      <c r="N474" s="21"/>
      <c r="O474" s="59"/>
      <c r="P474" s="21"/>
      <c r="Q474" s="59"/>
      <c r="R474" s="21"/>
      <c r="S474" s="21"/>
      <c r="T474" s="59"/>
      <c r="U474" s="60">
        <f t="shared" si="66"/>
        <v>0</v>
      </c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>
        <v>640175632</v>
      </c>
      <c r="AN474" s="60">
        <f>SUBTOTAL(9,AC474:AM474)</f>
        <v>640175632</v>
      </c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>
        <v>571581795</v>
      </c>
      <c r="AZ474" s="60"/>
      <c r="BA474" s="60"/>
      <c r="BB474" s="60"/>
      <c r="BC474" s="61">
        <f t="shared" si="67"/>
        <v>1211757427</v>
      </c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>
        <v>114316359</v>
      </c>
      <c r="BO474" s="60"/>
      <c r="BP474" s="61">
        <v>1326073786</v>
      </c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>
        <v>114316359</v>
      </c>
      <c r="CD474" s="61"/>
      <c r="CE474" s="61"/>
      <c r="CF474" s="61"/>
      <c r="CG474" s="61">
        <f t="shared" si="68"/>
        <v>1440390145</v>
      </c>
      <c r="CH474" s="62">
        <f>VLOOKUP(B474,[1]RPTNCT049_ConsultaSaldosContabl!I$4:K$7987,3,0)</f>
        <v>800214513</v>
      </c>
      <c r="CI474" s="62">
        <f t="shared" si="69"/>
        <v>640175632</v>
      </c>
      <c r="CJ474" s="63">
        <f t="shared" si="70"/>
        <v>1440390145</v>
      </c>
      <c r="CK474" s="64">
        <f t="shared" si="71"/>
        <v>0</v>
      </c>
      <c r="CL474" s="16"/>
      <c r="CM474" s="16"/>
      <c r="CN474" s="16"/>
    </row>
    <row r="475" spans="1:96" ht="15" customHeight="1" x14ac:dyDescent="0.2">
      <c r="A475" s="1">
        <v>8909822782</v>
      </c>
      <c r="B475" s="1">
        <v>890982278</v>
      </c>
      <c r="C475" s="9">
        <v>216105361</v>
      </c>
      <c r="D475" s="10" t="s">
        <v>98</v>
      </c>
      <c r="E475" s="52" t="s">
        <v>1129</v>
      </c>
      <c r="F475" s="21"/>
      <c r="G475" s="59"/>
      <c r="H475" s="21"/>
      <c r="I475" s="59"/>
      <c r="J475" s="21"/>
      <c r="K475" s="21"/>
      <c r="L475" s="59"/>
      <c r="M475" s="60"/>
      <c r="N475" s="21"/>
      <c r="O475" s="59"/>
      <c r="P475" s="21"/>
      <c r="Q475" s="59"/>
      <c r="R475" s="21"/>
      <c r="S475" s="21"/>
      <c r="T475" s="59"/>
      <c r="U475" s="60">
        <f t="shared" si="66"/>
        <v>0</v>
      </c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>
        <v>249727995</v>
      </c>
      <c r="AZ475" s="60"/>
      <c r="BA475" s="60">
        <f>VLOOKUP(B475,[2]Hoja3!J$3:K$674,2,0)</f>
        <v>405350422</v>
      </c>
      <c r="BB475" s="60"/>
      <c r="BC475" s="61">
        <f t="shared" si="67"/>
        <v>655078417</v>
      </c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>
        <v>49945599</v>
      </c>
      <c r="BO475" s="60"/>
      <c r="BP475" s="61">
        <v>705024016</v>
      </c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>
        <v>49945599</v>
      </c>
      <c r="CD475" s="61"/>
      <c r="CE475" s="61"/>
      <c r="CF475" s="61"/>
      <c r="CG475" s="61">
        <f t="shared" si="68"/>
        <v>754969615</v>
      </c>
      <c r="CH475" s="62">
        <f>VLOOKUP(B475,[1]RPTNCT049_ConsultaSaldosContabl!I$4:K$7987,3,0)</f>
        <v>349619193</v>
      </c>
      <c r="CI475" s="62">
        <f t="shared" si="69"/>
        <v>405350422</v>
      </c>
      <c r="CJ475" s="63">
        <f t="shared" si="70"/>
        <v>754969615</v>
      </c>
      <c r="CK475" s="64">
        <f t="shared" si="71"/>
        <v>0</v>
      </c>
      <c r="CL475" s="16"/>
      <c r="CM475" s="16"/>
      <c r="CN475" s="16"/>
    </row>
    <row r="476" spans="1:96" ht="15" customHeight="1" x14ac:dyDescent="0.2">
      <c r="A476" s="1">
        <v>8918560773</v>
      </c>
      <c r="B476" s="1">
        <v>891856077</v>
      </c>
      <c r="C476" s="9">
        <v>216215362</v>
      </c>
      <c r="D476" s="10" t="s">
        <v>258</v>
      </c>
      <c r="E476" s="52" t="s">
        <v>1293</v>
      </c>
      <c r="F476" s="21"/>
      <c r="G476" s="59"/>
      <c r="H476" s="21"/>
      <c r="I476" s="59"/>
      <c r="J476" s="21"/>
      <c r="K476" s="21"/>
      <c r="L476" s="59"/>
      <c r="M476" s="60"/>
      <c r="N476" s="21"/>
      <c r="O476" s="59"/>
      <c r="P476" s="21"/>
      <c r="Q476" s="59"/>
      <c r="R476" s="21"/>
      <c r="S476" s="21"/>
      <c r="T476" s="59"/>
      <c r="U476" s="60">
        <f t="shared" si="66"/>
        <v>0</v>
      </c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>
        <f>VLOOKUP(B476,[2]Hoja3!J$3:K$674,2,0)</f>
        <v>24083927</v>
      </c>
      <c r="BB476" s="60"/>
      <c r="BC476" s="61">
        <f t="shared" si="67"/>
        <v>24083927</v>
      </c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>
        <v>2623172</v>
      </c>
      <c r="BO476" s="60"/>
      <c r="BP476" s="61">
        <v>26707099</v>
      </c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>
        <v>2623172</v>
      </c>
      <c r="CD476" s="61">
        <v>13115860</v>
      </c>
      <c r="CE476" s="61"/>
      <c r="CF476" s="61"/>
      <c r="CG476" s="61">
        <f t="shared" si="68"/>
        <v>42446131</v>
      </c>
      <c r="CH476" s="62">
        <f>VLOOKUP(B476,[1]RPTNCT049_ConsultaSaldosContabl!I$4:K$7987,3,0)</f>
        <v>18362204</v>
      </c>
      <c r="CI476" s="62">
        <f t="shared" si="69"/>
        <v>24083927</v>
      </c>
      <c r="CJ476" s="63">
        <f t="shared" si="70"/>
        <v>42446131</v>
      </c>
      <c r="CK476" s="64">
        <f t="shared" si="71"/>
        <v>0</v>
      </c>
      <c r="CL476" s="16"/>
      <c r="CM476" s="8"/>
      <c r="CN476" s="8"/>
      <c r="CO476" s="8"/>
      <c r="CP476" s="8"/>
      <c r="CQ476" s="8"/>
      <c r="CR476" s="8"/>
    </row>
    <row r="477" spans="1:96" ht="15" customHeight="1" x14ac:dyDescent="0.2">
      <c r="A477" s="1">
        <v>8915010479</v>
      </c>
      <c r="B477" s="1">
        <v>891501047</v>
      </c>
      <c r="C477" s="9">
        <v>216419364</v>
      </c>
      <c r="D477" s="10" t="s">
        <v>387</v>
      </c>
      <c r="E477" s="52" t="s">
        <v>1417</v>
      </c>
      <c r="F477" s="21"/>
      <c r="G477" s="59"/>
      <c r="H477" s="21"/>
      <c r="I477" s="59"/>
      <c r="J477" s="21"/>
      <c r="K477" s="21"/>
      <c r="L477" s="59"/>
      <c r="M477" s="60"/>
      <c r="N477" s="21"/>
      <c r="O477" s="59"/>
      <c r="P477" s="21"/>
      <c r="Q477" s="59"/>
      <c r="R477" s="21"/>
      <c r="S477" s="21"/>
      <c r="T477" s="59"/>
      <c r="U477" s="60">
        <f t="shared" si="66"/>
        <v>0</v>
      </c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>
        <v>186058645</v>
      </c>
      <c r="AZ477" s="60"/>
      <c r="BA477" s="60"/>
      <c r="BB477" s="60"/>
      <c r="BC477" s="61">
        <f t="shared" si="67"/>
        <v>186058645</v>
      </c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>
        <v>37211729</v>
      </c>
      <c r="BO477" s="60"/>
      <c r="BP477" s="61">
        <v>223270374</v>
      </c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>
        <v>37211729</v>
      </c>
      <c r="CD477" s="61"/>
      <c r="CE477" s="61"/>
      <c r="CF477" s="61"/>
      <c r="CG477" s="61">
        <f t="shared" si="68"/>
        <v>260482103</v>
      </c>
      <c r="CH477" s="62">
        <f>VLOOKUP(B477,[1]RPTNCT049_ConsultaSaldosContabl!I$4:K$7987,3,0)</f>
        <v>260482103</v>
      </c>
      <c r="CI477" s="62">
        <f t="shared" si="69"/>
        <v>0</v>
      </c>
      <c r="CJ477" s="63">
        <f t="shared" si="70"/>
        <v>260482103</v>
      </c>
      <c r="CK477" s="64">
        <f t="shared" si="71"/>
        <v>0</v>
      </c>
      <c r="CL477" s="16"/>
      <c r="CM477" s="8"/>
      <c r="CN477" s="8"/>
      <c r="CO477" s="8"/>
      <c r="CP477" s="8"/>
      <c r="CQ477" s="8"/>
      <c r="CR477" s="8"/>
    </row>
    <row r="478" spans="1:96" ht="15" customHeight="1" x14ac:dyDescent="0.2">
      <c r="A478" s="1">
        <v>8903990460</v>
      </c>
      <c r="B478" s="1">
        <v>890399046</v>
      </c>
      <c r="C478" s="9">
        <v>216476364</v>
      </c>
      <c r="D478" s="10" t="s">
        <v>929</v>
      </c>
      <c r="E478" s="53" t="s">
        <v>1989</v>
      </c>
      <c r="F478" s="21"/>
      <c r="G478" s="59"/>
      <c r="H478" s="21"/>
      <c r="I478" s="59">
        <f>2321777741+63708281</f>
        <v>2385486022</v>
      </c>
      <c r="J478" s="21">
        <v>150132186</v>
      </c>
      <c r="K478" s="21">
        <v>301309010</v>
      </c>
      <c r="L478" s="59"/>
      <c r="M478" s="61">
        <f>SUM(F478:L478)</f>
        <v>2836927218</v>
      </c>
      <c r="N478" s="21"/>
      <c r="O478" s="59"/>
      <c r="P478" s="21"/>
      <c r="Q478" s="59">
        <f>2295438172+28958310</f>
        <v>2324396482</v>
      </c>
      <c r="R478" s="21">
        <v>150132186</v>
      </c>
      <c r="S478" s="21">
        <f>151176824+150132186</f>
        <v>301309010</v>
      </c>
      <c r="T478" s="59"/>
      <c r="U478" s="60">
        <f t="shared" si="66"/>
        <v>5612764896</v>
      </c>
      <c r="V478" s="60"/>
      <c r="W478" s="60"/>
      <c r="X478" s="60"/>
      <c r="Y478" s="60">
        <v>2727465907</v>
      </c>
      <c r="Z478" s="60">
        <v>145598962</v>
      </c>
      <c r="AA478" s="60">
        <v>332829093</v>
      </c>
      <c r="AB478" s="60"/>
      <c r="AC478" s="60">
        <f t="shared" si="72"/>
        <v>8818658858</v>
      </c>
      <c r="AD478" s="60"/>
      <c r="AE478" s="60"/>
      <c r="AF478" s="60"/>
      <c r="AG478" s="60"/>
      <c r="AH478" s="60">
        <v>2271698343</v>
      </c>
      <c r="AI478" s="60">
        <v>352016002</v>
      </c>
      <c r="AJ478" s="60">
        <v>151347302</v>
      </c>
      <c r="AK478" s="60">
        <v>382195693</v>
      </c>
      <c r="AL478" s="60"/>
      <c r="AM478" s="60">
        <v>915181159</v>
      </c>
      <c r="AN478" s="60">
        <f>SUBTOTAL(9,AC478:AM478)</f>
        <v>12891097357</v>
      </c>
      <c r="AO478" s="60"/>
      <c r="AP478" s="60"/>
      <c r="AQ478" s="60">
        <v>427661225</v>
      </c>
      <c r="AR478" s="60"/>
      <c r="AS478" s="60"/>
      <c r="AT478" s="60">
        <v>2271698343</v>
      </c>
      <c r="AU478" s="60"/>
      <c r="AV478" s="60">
        <v>151347302</v>
      </c>
      <c r="AW478" s="60">
        <v>259062729</v>
      </c>
      <c r="AX478" s="60"/>
      <c r="AY478" s="60"/>
      <c r="AZ478" s="60"/>
      <c r="BA478" s="60">
        <f>VLOOKUP(B478,[2]Hoja3!J$3:K$674,2,0)</f>
        <v>509159775</v>
      </c>
      <c r="BB478" s="60"/>
      <c r="BC478" s="61">
        <f t="shared" si="67"/>
        <v>16510026731</v>
      </c>
      <c r="BD478" s="60"/>
      <c r="BE478" s="60"/>
      <c r="BF478" s="60">
        <v>85532245</v>
      </c>
      <c r="BG478" s="60"/>
      <c r="BH478" s="60"/>
      <c r="BI478" s="60">
        <v>2362298006</v>
      </c>
      <c r="BJ478" s="60">
        <v>37728234</v>
      </c>
      <c r="BK478" s="60">
        <v>172501444</v>
      </c>
      <c r="BL478" s="60">
        <v>604821208</v>
      </c>
      <c r="BM478" s="60"/>
      <c r="BN478" s="60"/>
      <c r="BO478" s="60"/>
      <c r="BP478" s="61">
        <v>19772907868</v>
      </c>
      <c r="BQ478" s="61"/>
      <c r="BR478" s="61"/>
      <c r="BS478" s="61">
        <v>85532245</v>
      </c>
      <c r="BT478" s="61"/>
      <c r="BU478" s="61"/>
      <c r="BV478" s="61"/>
      <c r="BW478" s="61">
        <v>2358979144</v>
      </c>
      <c r="BX478" s="61"/>
      <c r="BY478" s="61">
        <v>1076925751</v>
      </c>
      <c r="BZ478" s="61">
        <v>157344308</v>
      </c>
      <c r="CA478" s="61">
        <v>411317083</v>
      </c>
      <c r="CB478" s="61"/>
      <c r="CC478" s="61"/>
      <c r="CD478" s="61"/>
      <c r="CE478" s="61"/>
      <c r="CF478" s="61"/>
      <c r="CG478" s="61">
        <f t="shared" si="68"/>
        <v>23863006399</v>
      </c>
      <c r="CH478" s="62">
        <f>VLOOKUP(B478,[1]RPTNCT049_ConsultaSaldosContabl!I$4:K$7987,3,0)</f>
        <v>22438665465</v>
      </c>
      <c r="CI478" s="62">
        <f t="shared" si="69"/>
        <v>1424340934</v>
      </c>
      <c r="CJ478" s="63">
        <f t="shared" si="70"/>
        <v>23863006399</v>
      </c>
      <c r="CK478" s="64">
        <f t="shared" si="71"/>
        <v>0</v>
      </c>
      <c r="CL478" s="16"/>
      <c r="CM478" s="16"/>
      <c r="CN478" s="16"/>
    </row>
    <row r="479" spans="1:96" ht="15" customHeight="1" x14ac:dyDescent="0.2">
      <c r="A479" s="1">
        <v>8909822940</v>
      </c>
      <c r="B479" s="1">
        <v>890982294</v>
      </c>
      <c r="C479" s="9">
        <v>216405364</v>
      </c>
      <c r="D479" s="10" t="s">
        <v>99</v>
      </c>
      <c r="E479" s="52" t="s">
        <v>1130</v>
      </c>
      <c r="F479" s="21"/>
      <c r="G479" s="59"/>
      <c r="H479" s="21"/>
      <c r="I479" s="59"/>
      <c r="J479" s="21"/>
      <c r="K479" s="21"/>
      <c r="L479" s="59"/>
      <c r="M479" s="60"/>
      <c r="N479" s="21"/>
      <c r="O479" s="59"/>
      <c r="P479" s="21"/>
      <c r="Q479" s="59"/>
      <c r="R479" s="21"/>
      <c r="S479" s="21"/>
      <c r="T479" s="59"/>
      <c r="U479" s="60">
        <f t="shared" si="66"/>
        <v>0</v>
      </c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>
        <v>203725340</v>
      </c>
      <c r="AN479" s="60">
        <f>SUBTOTAL(9,AC479:AM479)</f>
        <v>203725340</v>
      </c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>
        <v>79665525</v>
      </c>
      <c r="AZ479" s="60"/>
      <c r="BA479" s="60"/>
      <c r="BB479" s="60"/>
      <c r="BC479" s="61">
        <f t="shared" si="67"/>
        <v>283390865</v>
      </c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>
        <v>15933105</v>
      </c>
      <c r="BO479" s="60"/>
      <c r="BP479" s="61">
        <v>299323970</v>
      </c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>
        <v>15933105</v>
      </c>
      <c r="CD479" s="61"/>
      <c r="CE479" s="61"/>
      <c r="CF479" s="61"/>
      <c r="CG479" s="61">
        <f t="shared" si="68"/>
        <v>315257075</v>
      </c>
      <c r="CH479" s="62">
        <f>VLOOKUP(B479,[1]RPTNCT049_ConsultaSaldosContabl!I$4:K$7987,3,0)</f>
        <v>111531735</v>
      </c>
      <c r="CI479" s="62">
        <f t="shared" si="69"/>
        <v>203725340</v>
      </c>
      <c r="CJ479" s="63">
        <f t="shared" si="70"/>
        <v>315257075</v>
      </c>
      <c r="CK479" s="64">
        <f t="shared" si="71"/>
        <v>0</v>
      </c>
      <c r="CL479" s="16"/>
      <c r="CM479" s="16"/>
      <c r="CN479" s="16"/>
    </row>
    <row r="480" spans="1:96" ht="15" customHeight="1" x14ac:dyDescent="0.2">
      <c r="A480" s="1">
        <v>8918013764</v>
      </c>
      <c r="B480" s="1">
        <v>891801376</v>
      </c>
      <c r="C480" s="9">
        <v>216715367</v>
      </c>
      <c r="D480" s="10" t="s">
        <v>259</v>
      </c>
      <c r="E480" s="52" t="s">
        <v>1260</v>
      </c>
      <c r="F480" s="21"/>
      <c r="G480" s="59"/>
      <c r="H480" s="21"/>
      <c r="I480" s="59"/>
      <c r="J480" s="21"/>
      <c r="K480" s="21"/>
      <c r="L480" s="59"/>
      <c r="M480" s="60"/>
      <c r="N480" s="21"/>
      <c r="O480" s="59"/>
      <c r="P480" s="21"/>
      <c r="Q480" s="59"/>
      <c r="R480" s="21"/>
      <c r="S480" s="21"/>
      <c r="T480" s="59"/>
      <c r="U480" s="60">
        <f t="shared" si="66"/>
        <v>0</v>
      </c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>
        <v>46474320</v>
      </c>
      <c r="AZ480" s="60"/>
      <c r="BA480" s="60">
        <f>VLOOKUP(B480,[2]Hoja3!J$3:K$674,2,0)</f>
        <v>99582345</v>
      </c>
      <c r="BB480" s="60"/>
      <c r="BC480" s="61">
        <f t="shared" si="67"/>
        <v>146056665</v>
      </c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>
        <v>9294864</v>
      </c>
      <c r="BO480" s="60"/>
      <c r="BP480" s="61">
        <v>155351529</v>
      </c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>
        <v>9294864</v>
      </c>
      <c r="CD480" s="61"/>
      <c r="CE480" s="61"/>
      <c r="CF480" s="61"/>
      <c r="CG480" s="61">
        <f t="shared" si="68"/>
        <v>164646393</v>
      </c>
      <c r="CH480" s="62">
        <f>VLOOKUP(B480,[1]RPTNCT049_ConsultaSaldosContabl!I$4:K$7987,3,0)</f>
        <v>65064048</v>
      </c>
      <c r="CI480" s="62">
        <f t="shared" si="69"/>
        <v>99582345</v>
      </c>
      <c r="CJ480" s="63">
        <f t="shared" si="70"/>
        <v>164646393</v>
      </c>
      <c r="CK480" s="64">
        <f t="shared" si="71"/>
        <v>0</v>
      </c>
      <c r="CL480" s="16"/>
      <c r="CM480" s="8"/>
      <c r="CN480" s="8"/>
      <c r="CO480" s="8"/>
      <c r="CP480" s="8"/>
      <c r="CQ480" s="8"/>
      <c r="CR480" s="8"/>
    </row>
    <row r="481" spans="1:96" ht="15" customHeight="1" x14ac:dyDescent="0.2">
      <c r="A481" s="1">
        <v>8909810695</v>
      </c>
      <c r="B481" s="1">
        <v>890981069</v>
      </c>
      <c r="C481" s="9">
        <v>216805368</v>
      </c>
      <c r="D481" s="10" t="s">
        <v>100</v>
      </c>
      <c r="E481" s="52" t="s">
        <v>1131</v>
      </c>
      <c r="F481" s="21"/>
      <c r="G481" s="59"/>
      <c r="H481" s="21"/>
      <c r="I481" s="59"/>
      <c r="J481" s="21"/>
      <c r="K481" s="21"/>
      <c r="L481" s="59"/>
      <c r="M481" s="60"/>
      <c r="N481" s="21"/>
      <c r="O481" s="59"/>
      <c r="P481" s="21"/>
      <c r="Q481" s="59"/>
      <c r="R481" s="21"/>
      <c r="S481" s="21"/>
      <c r="T481" s="59"/>
      <c r="U481" s="60">
        <f t="shared" si="66"/>
        <v>0</v>
      </c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>
        <v>39824364</v>
      </c>
      <c r="AN481" s="60">
        <f>SUBTOTAL(9,AC481:AM481)</f>
        <v>39824364</v>
      </c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>
        <f>VLOOKUP(B481,[2]Hoja3!J$3:K$674,2,0)</f>
        <v>121591286</v>
      </c>
      <c r="BB481" s="60"/>
      <c r="BC481" s="61">
        <f t="shared" si="67"/>
        <v>161415650</v>
      </c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>
        <v>18383475</v>
      </c>
      <c r="BO481" s="60"/>
      <c r="BP481" s="61">
        <v>179799125</v>
      </c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>
        <v>18383475</v>
      </c>
      <c r="CD481" s="61">
        <v>91917375</v>
      </c>
      <c r="CE481" s="61"/>
      <c r="CF481" s="61"/>
      <c r="CG481" s="61">
        <f t="shared" si="68"/>
        <v>290099975</v>
      </c>
      <c r="CH481" s="62">
        <f>VLOOKUP(B481,[1]RPTNCT049_ConsultaSaldosContabl!I$4:K$7987,3,0)</f>
        <v>128684325</v>
      </c>
      <c r="CI481" s="62">
        <f t="shared" si="69"/>
        <v>161415650</v>
      </c>
      <c r="CJ481" s="63">
        <f t="shared" si="70"/>
        <v>290099975</v>
      </c>
      <c r="CK481" s="64">
        <f t="shared" si="71"/>
        <v>0</v>
      </c>
      <c r="CL481" s="16"/>
      <c r="CM481" s="16"/>
      <c r="CN481" s="16"/>
    </row>
    <row r="482" spans="1:96" ht="15" customHeight="1" x14ac:dyDescent="0.2">
      <c r="A482" s="1">
        <v>8918565932</v>
      </c>
      <c r="B482" s="1">
        <v>891856593</v>
      </c>
      <c r="C482" s="9">
        <v>216815368</v>
      </c>
      <c r="D482" s="10" t="s">
        <v>260</v>
      </c>
      <c r="E482" s="52" t="s">
        <v>1294</v>
      </c>
      <c r="F482" s="21"/>
      <c r="G482" s="59"/>
      <c r="H482" s="21"/>
      <c r="I482" s="59"/>
      <c r="J482" s="21"/>
      <c r="K482" s="21"/>
      <c r="L482" s="59"/>
      <c r="M482" s="60"/>
      <c r="N482" s="21"/>
      <c r="O482" s="59"/>
      <c r="P482" s="21"/>
      <c r="Q482" s="59"/>
      <c r="R482" s="21"/>
      <c r="S482" s="21"/>
      <c r="T482" s="59"/>
      <c r="U482" s="60">
        <f t="shared" si="66"/>
        <v>0</v>
      </c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>
        <v>38683465</v>
      </c>
      <c r="AZ482" s="60"/>
      <c r="BA482" s="60">
        <f>VLOOKUP(B482,[2]Hoja3!J$3:K$674,2,0)</f>
        <v>55420269</v>
      </c>
      <c r="BB482" s="60"/>
      <c r="BC482" s="61">
        <f t="shared" si="67"/>
        <v>94103734</v>
      </c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>
        <v>7736693</v>
      </c>
      <c r="BO482" s="60"/>
      <c r="BP482" s="61">
        <v>101840427</v>
      </c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>
        <v>7736693</v>
      </c>
      <c r="CD482" s="61"/>
      <c r="CE482" s="61"/>
      <c r="CF482" s="61"/>
      <c r="CG482" s="61">
        <f t="shared" si="68"/>
        <v>109577120</v>
      </c>
      <c r="CH482" s="62">
        <f>VLOOKUP(B482,[1]RPTNCT049_ConsultaSaldosContabl!I$4:K$7987,3,0)</f>
        <v>54156851</v>
      </c>
      <c r="CI482" s="62">
        <f t="shared" si="69"/>
        <v>55420269</v>
      </c>
      <c r="CJ482" s="63">
        <f t="shared" si="70"/>
        <v>109577120</v>
      </c>
      <c r="CK482" s="64">
        <f t="shared" si="71"/>
        <v>0</v>
      </c>
      <c r="CL482" s="16"/>
      <c r="CM482" s="8"/>
      <c r="CN482" s="8"/>
      <c r="CO482" s="8"/>
      <c r="CP482" s="8"/>
      <c r="CQ482" s="8"/>
      <c r="CR482" s="8"/>
    </row>
    <row r="483" spans="1:96" ht="15" customHeight="1" x14ac:dyDescent="0.2">
      <c r="A483" s="1">
        <v>8000040182</v>
      </c>
      <c r="B483" s="1">
        <v>800004018</v>
      </c>
      <c r="C483" s="9">
        <v>216825368</v>
      </c>
      <c r="D483" s="10" t="s">
        <v>502</v>
      </c>
      <c r="E483" s="52" t="s">
        <v>1529</v>
      </c>
      <c r="F483" s="21"/>
      <c r="G483" s="59"/>
      <c r="H483" s="21"/>
      <c r="I483" s="59"/>
      <c r="J483" s="21"/>
      <c r="K483" s="21"/>
      <c r="L483" s="59"/>
      <c r="M483" s="60"/>
      <c r="N483" s="21"/>
      <c r="O483" s="59"/>
      <c r="P483" s="21"/>
      <c r="Q483" s="59"/>
      <c r="R483" s="21"/>
      <c r="S483" s="21"/>
      <c r="T483" s="59"/>
      <c r="U483" s="60">
        <f t="shared" si="66"/>
        <v>0</v>
      </c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>
        <v>34335752</v>
      </c>
      <c r="AN483" s="60">
        <f>SUBTOTAL(9,AC483:AM483)</f>
        <v>34335752</v>
      </c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>
        <v>21090970</v>
      </c>
      <c r="AZ483" s="60"/>
      <c r="BA483" s="60"/>
      <c r="BB483" s="60"/>
      <c r="BC483" s="61">
        <f t="shared" si="67"/>
        <v>55426722</v>
      </c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>
        <v>4218194</v>
      </c>
      <c r="BO483" s="60"/>
      <c r="BP483" s="61">
        <v>59644916</v>
      </c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>
        <v>4218194</v>
      </c>
      <c r="CD483" s="61"/>
      <c r="CE483" s="61"/>
      <c r="CF483" s="61"/>
      <c r="CG483" s="61">
        <f t="shared" si="68"/>
        <v>63863110</v>
      </c>
      <c r="CH483" s="62">
        <f>VLOOKUP(B483,[1]RPTNCT049_ConsultaSaldosContabl!I$4:K$7987,3,0)</f>
        <v>29527358</v>
      </c>
      <c r="CI483" s="62">
        <f t="shared" si="69"/>
        <v>34335752</v>
      </c>
      <c r="CJ483" s="63">
        <f t="shared" si="70"/>
        <v>63863110</v>
      </c>
      <c r="CK483" s="64">
        <f t="shared" si="71"/>
        <v>0</v>
      </c>
      <c r="CL483" s="16"/>
      <c r="CM483" s="16"/>
      <c r="CN483" s="16"/>
    </row>
    <row r="484" spans="1:96" ht="15" customHeight="1" x14ac:dyDescent="0.2">
      <c r="A484" s="1">
        <v>8902109462</v>
      </c>
      <c r="B484" s="1">
        <v>890210946</v>
      </c>
      <c r="C484" s="9">
        <v>216868368</v>
      </c>
      <c r="D484" s="10" t="s">
        <v>848</v>
      </c>
      <c r="E484" s="52" t="s">
        <v>1863</v>
      </c>
      <c r="F484" s="21"/>
      <c r="G484" s="59"/>
      <c r="H484" s="21"/>
      <c r="I484" s="59"/>
      <c r="J484" s="21"/>
      <c r="K484" s="21"/>
      <c r="L484" s="59"/>
      <c r="M484" s="60"/>
      <c r="N484" s="21"/>
      <c r="O484" s="59"/>
      <c r="P484" s="21"/>
      <c r="Q484" s="59"/>
      <c r="R484" s="21"/>
      <c r="S484" s="21"/>
      <c r="T484" s="59"/>
      <c r="U484" s="60">
        <f t="shared" si="66"/>
        <v>0</v>
      </c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>
        <v>26817445</v>
      </c>
      <c r="AZ484" s="60"/>
      <c r="BA484" s="60">
        <f>VLOOKUP(B484,[2]Hoja3!J$3:K$674,2,0)</f>
        <v>49834189</v>
      </c>
      <c r="BB484" s="60"/>
      <c r="BC484" s="61">
        <f t="shared" si="67"/>
        <v>76651634</v>
      </c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>
        <v>5363489</v>
      </c>
      <c r="BO484" s="60"/>
      <c r="BP484" s="61">
        <v>82015123</v>
      </c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>
        <v>5363489</v>
      </c>
      <c r="CD484" s="61"/>
      <c r="CE484" s="61"/>
      <c r="CF484" s="61"/>
      <c r="CG484" s="61">
        <f t="shared" si="68"/>
        <v>87378612</v>
      </c>
      <c r="CH484" s="62">
        <f>VLOOKUP(B484,[1]RPTNCT049_ConsultaSaldosContabl!I$4:K$7987,3,0)</f>
        <v>37544423</v>
      </c>
      <c r="CI484" s="62">
        <f t="shared" si="69"/>
        <v>49834189</v>
      </c>
      <c r="CJ484" s="63">
        <f t="shared" si="70"/>
        <v>87378612</v>
      </c>
      <c r="CK484" s="64">
        <f t="shared" si="71"/>
        <v>0</v>
      </c>
      <c r="CL484" s="16"/>
      <c r="CM484" s="16"/>
      <c r="CN484" s="16"/>
    </row>
    <row r="485" spans="1:96" ht="15" customHeight="1" x14ac:dyDescent="0.2">
      <c r="A485" s="1">
        <v>8001241669</v>
      </c>
      <c r="B485" s="1">
        <v>800124166</v>
      </c>
      <c r="C485" s="9">
        <v>217068370</v>
      </c>
      <c r="D485" s="10" t="s">
        <v>849</v>
      </c>
      <c r="E485" s="52" t="s">
        <v>1864</v>
      </c>
      <c r="F485" s="21"/>
      <c r="G485" s="59"/>
      <c r="H485" s="21"/>
      <c r="I485" s="59"/>
      <c r="J485" s="21"/>
      <c r="K485" s="21"/>
      <c r="L485" s="59"/>
      <c r="M485" s="60"/>
      <c r="N485" s="21"/>
      <c r="O485" s="59"/>
      <c r="P485" s="21"/>
      <c r="Q485" s="59"/>
      <c r="R485" s="21"/>
      <c r="S485" s="21"/>
      <c r="T485" s="59"/>
      <c r="U485" s="60">
        <f t="shared" si="66"/>
        <v>0</v>
      </c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>
        <f>VLOOKUP(B485,[2]Hoja3!J$3:K$674,2,0)</f>
        <v>24993711</v>
      </c>
      <c r="BB485" s="60"/>
      <c r="BC485" s="61">
        <f t="shared" si="67"/>
        <v>24993711</v>
      </c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>
        <v>0</v>
      </c>
      <c r="BO485" s="60"/>
      <c r="BP485" s="61">
        <v>24993711</v>
      </c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>
        <v>0</v>
      </c>
      <c r="CD485" s="61"/>
      <c r="CE485" s="61"/>
      <c r="CF485" s="61"/>
      <c r="CG485" s="61">
        <f t="shared" si="68"/>
        <v>24993711</v>
      </c>
      <c r="CH485" s="62"/>
      <c r="CI485" s="62">
        <f t="shared" si="69"/>
        <v>24993711</v>
      </c>
      <c r="CJ485" s="63">
        <f t="shared" si="70"/>
        <v>24993711</v>
      </c>
      <c r="CK485" s="64">
        <f t="shared" si="71"/>
        <v>0</v>
      </c>
      <c r="CL485" s="16"/>
      <c r="CM485" s="16"/>
      <c r="CN485" s="16"/>
    </row>
    <row r="486" spans="1:96" ht="15" customHeight="1" x14ac:dyDescent="0.2">
      <c r="A486" s="1">
        <v>8000699010</v>
      </c>
      <c r="B486" s="1">
        <v>800069901</v>
      </c>
      <c r="C486" s="9">
        <v>217208372</v>
      </c>
      <c r="D486" s="10" t="s">
        <v>165</v>
      </c>
      <c r="E486" s="52" t="s">
        <v>1193</v>
      </c>
      <c r="F486" s="21"/>
      <c r="G486" s="59"/>
      <c r="H486" s="21"/>
      <c r="I486" s="59"/>
      <c r="J486" s="21"/>
      <c r="K486" s="21"/>
      <c r="L486" s="59"/>
      <c r="M486" s="60"/>
      <c r="N486" s="21"/>
      <c r="O486" s="59"/>
      <c r="P486" s="21"/>
      <c r="Q486" s="59"/>
      <c r="R486" s="21"/>
      <c r="S486" s="21"/>
      <c r="T486" s="59"/>
      <c r="U486" s="60">
        <f t="shared" si="66"/>
        <v>0</v>
      </c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>
        <v>21529099</v>
      </c>
      <c r="AN486" s="60">
        <f>SUBTOTAL(9,AC486:AM486)</f>
        <v>21529099</v>
      </c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>
        <v>100286040</v>
      </c>
      <c r="AZ486" s="60"/>
      <c r="BA486" s="60">
        <f>VLOOKUP(B486,[2]Hoja3!J$3:K$674,2,0)</f>
        <v>273507363</v>
      </c>
      <c r="BB486" s="60"/>
      <c r="BC486" s="61">
        <f t="shared" si="67"/>
        <v>395322502</v>
      </c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>
        <v>20057208</v>
      </c>
      <c r="BO486" s="60"/>
      <c r="BP486" s="61">
        <v>415379710</v>
      </c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>
        <v>20057208</v>
      </c>
      <c r="CD486" s="61"/>
      <c r="CE486" s="61"/>
      <c r="CF486" s="61"/>
      <c r="CG486" s="61">
        <f t="shared" si="68"/>
        <v>435436918</v>
      </c>
      <c r="CH486" s="62">
        <f>VLOOKUP(B486,[1]RPTNCT049_ConsultaSaldosContabl!I$4:K$7987,3,0)</f>
        <v>140400456</v>
      </c>
      <c r="CI486" s="62">
        <f t="shared" si="69"/>
        <v>295036462</v>
      </c>
      <c r="CJ486" s="63">
        <f t="shared" si="70"/>
        <v>435436918</v>
      </c>
      <c r="CK486" s="64">
        <f t="shared" si="71"/>
        <v>0</v>
      </c>
      <c r="CL486" s="16"/>
      <c r="CM486" s="16"/>
      <c r="CN486" s="16"/>
    </row>
    <row r="487" spans="1:96" ht="15" customHeight="1" x14ac:dyDescent="0.2">
      <c r="A487" s="1">
        <v>8000947059</v>
      </c>
      <c r="B487" s="1">
        <v>800094705</v>
      </c>
      <c r="C487" s="9">
        <v>217225372</v>
      </c>
      <c r="D487" s="10" t="s">
        <v>503</v>
      </c>
      <c r="E487" s="52" t="s">
        <v>1530</v>
      </c>
      <c r="F487" s="21"/>
      <c r="G487" s="59"/>
      <c r="H487" s="21"/>
      <c r="I487" s="59"/>
      <c r="J487" s="21"/>
      <c r="K487" s="21"/>
      <c r="L487" s="59"/>
      <c r="M487" s="60"/>
      <c r="N487" s="21"/>
      <c r="O487" s="59"/>
      <c r="P487" s="21"/>
      <c r="Q487" s="59"/>
      <c r="R487" s="21"/>
      <c r="S487" s="21"/>
      <c r="T487" s="59"/>
      <c r="U487" s="60">
        <f t="shared" si="66"/>
        <v>0</v>
      </c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>
        <v>82198315</v>
      </c>
      <c r="AN487" s="60">
        <f>SUBTOTAL(9,AC487:AM487)</f>
        <v>82198315</v>
      </c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1">
        <f t="shared" si="67"/>
        <v>82198315</v>
      </c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>
        <v>0</v>
      </c>
      <c r="BO487" s="60"/>
      <c r="BP487" s="61">
        <v>82198315</v>
      </c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>
        <v>0</v>
      </c>
      <c r="CD487" s="61"/>
      <c r="CE487" s="61"/>
      <c r="CF487" s="61"/>
      <c r="CG487" s="61">
        <f t="shared" si="68"/>
        <v>82198315</v>
      </c>
      <c r="CH487" s="62"/>
      <c r="CI487" s="62">
        <f t="shared" si="69"/>
        <v>82198315</v>
      </c>
      <c r="CJ487" s="63">
        <f t="shared" si="70"/>
        <v>82198315</v>
      </c>
      <c r="CK487" s="64">
        <f t="shared" si="71"/>
        <v>0</v>
      </c>
      <c r="CL487" s="16"/>
      <c r="CM487" s="16"/>
      <c r="CN487" s="16"/>
    </row>
    <row r="488" spans="1:96" ht="15" customHeight="1" x14ac:dyDescent="0.2">
      <c r="A488" s="1">
        <v>8916804027</v>
      </c>
      <c r="B488" s="1">
        <v>891680402</v>
      </c>
      <c r="C488" s="9">
        <v>217227372</v>
      </c>
      <c r="D488" s="10" t="s">
        <v>580</v>
      </c>
      <c r="E488" s="52" t="s">
        <v>1601</v>
      </c>
      <c r="F488" s="21"/>
      <c r="G488" s="59"/>
      <c r="H488" s="21"/>
      <c r="I488" s="59"/>
      <c r="J488" s="21"/>
      <c r="K488" s="21"/>
      <c r="L488" s="59"/>
      <c r="M488" s="60"/>
      <c r="N488" s="21"/>
      <c r="O488" s="59"/>
      <c r="P488" s="21"/>
      <c r="Q488" s="59"/>
      <c r="R488" s="21"/>
      <c r="S488" s="21"/>
      <c r="T488" s="59"/>
      <c r="U488" s="60">
        <f t="shared" si="66"/>
        <v>0</v>
      </c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>
        <v>38646451</v>
      </c>
      <c r="AN488" s="60">
        <f>SUBTOTAL(9,AC488:AM488)</f>
        <v>38646451</v>
      </c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>
        <v>70160265</v>
      </c>
      <c r="AZ488" s="60"/>
      <c r="BA488" s="60"/>
      <c r="BB488" s="60"/>
      <c r="BC488" s="61">
        <f t="shared" si="67"/>
        <v>108806716</v>
      </c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>
        <v>14032053</v>
      </c>
      <c r="BO488" s="60"/>
      <c r="BP488" s="61">
        <v>122838769</v>
      </c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>
        <v>14032053</v>
      </c>
      <c r="CD488" s="61"/>
      <c r="CE488" s="61"/>
      <c r="CF488" s="61"/>
      <c r="CG488" s="61">
        <f t="shared" si="68"/>
        <v>136870822</v>
      </c>
      <c r="CH488" s="62">
        <f>VLOOKUP(B488,[1]RPTNCT049_ConsultaSaldosContabl!I$4:K$7987,3,0)</f>
        <v>98224371</v>
      </c>
      <c r="CI488" s="62">
        <f t="shared" si="69"/>
        <v>38646451</v>
      </c>
      <c r="CJ488" s="63">
        <f t="shared" si="70"/>
        <v>136870822</v>
      </c>
      <c r="CK488" s="64">
        <f t="shared" si="71"/>
        <v>0</v>
      </c>
      <c r="CL488" s="16"/>
      <c r="CM488" s="16"/>
      <c r="CN488" s="16"/>
    </row>
    <row r="489" spans="1:96" ht="15" customHeight="1" x14ac:dyDescent="0.2">
      <c r="A489" s="1">
        <v>8120016816</v>
      </c>
      <c r="B489" s="1">
        <v>812001681</v>
      </c>
      <c r="C489" s="9">
        <v>215023350</v>
      </c>
      <c r="D489" s="10" t="s">
        <v>445</v>
      </c>
      <c r="E489" s="52" t="s">
        <v>1472</v>
      </c>
      <c r="F489" s="21"/>
      <c r="G489" s="59"/>
      <c r="H489" s="21"/>
      <c r="I489" s="59"/>
      <c r="J489" s="21"/>
      <c r="K489" s="21"/>
      <c r="L489" s="59"/>
      <c r="M489" s="60"/>
      <c r="N489" s="21"/>
      <c r="O489" s="59"/>
      <c r="P489" s="21"/>
      <c r="Q489" s="59"/>
      <c r="R489" s="21"/>
      <c r="S489" s="21"/>
      <c r="T489" s="59"/>
      <c r="U489" s="60">
        <f t="shared" si="66"/>
        <v>0</v>
      </c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>
        <v>218579262</v>
      </c>
      <c r="AN489" s="60">
        <f>SUBTOTAL(9,AC489:AM489)</f>
        <v>218579262</v>
      </c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>
        <v>118815650</v>
      </c>
      <c r="AZ489" s="60"/>
      <c r="BA489" s="60"/>
      <c r="BB489" s="60">
        <f>VLOOKUP(B489,'[3]anuladas en mayo gratuidad}'!K$2:L$55,2,0)</f>
        <v>74298192</v>
      </c>
      <c r="BC489" s="61">
        <f t="shared" si="67"/>
        <v>263096720</v>
      </c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>
        <v>23763130</v>
      </c>
      <c r="BO489" s="60">
        <v>74298192</v>
      </c>
      <c r="BP489" s="61">
        <v>361158042</v>
      </c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>
        <v>23763130</v>
      </c>
      <c r="CD489" s="61"/>
      <c r="CE489" s="61"/>
      <c r="CF489" s="61"/>
      <c r="CG489" s="61">
        <f t="shared" si="68"/>
        <v>384921172</v>
      </c>
      <c r="CH489" s="62">
        <f>VLOOKUP(B489,[1]RPTNCT049_ConsultaSaldosContabl!I$4:K$7987,3,0)</f>
        <v>166341910</v>
      </c>
      <c r="CI489" s="62">
        <f t="shared" si="69"/>
        <v>218579262</v>
      </c>
      <c r="CJ489" s="63">
        <f t="shared" si="70"/>
        <v>384921172</v>
      </c>
      <c r="CK489" s="64">
        <f t="shared" si="71"/>
        <v>0</v>
      </c>
      <c r="CL489" s="16"/>
      <c r="CM489" s="16"/>
      <c r="CN489" s="16"/>
    </row>
    <row r="490" spans="1:96" ht="15" customHeight="1" x14ac:dyDescent="0.2">
      <c r="A490" s="1">
        <v>8911802057</v>
      </c>
      <c r="B490" s="1">
        <v>891180205</v>
      </c>
      <c r="C490" s="9">
        <v>217841378</v>
      </c>
      <c r="D490" s="10" t="s">
        <v>608</v>
      </c>
      <c r="E490" s="52" t="s">
        <v>1627</v>
      </c>
      <c r="F490" s="21"/>
      <c r="G490" s="59"/>
      <c r="H490" s="21"/>
      <c r="I490" s="59"/>
      <c r="J490" s="21"/>
      <c r="K490" s="21"/>
      <c r="L490" s="59"/>
      <c r="M490" s="60"/>
      <c r="N490" s="21"/>
      <c r="O490" s="59"/>
      <c r="P490" s="21"/>
      <c r="Q490" s="59"/>
      <c r="R490" s="21"/>
      <c r="S490" s="21"/>
      <c r="T490" s="59"/>
      <c r="U490" s="60">
        <f t="shared" si="66"/>
        <v>0</v>
      </c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>
        <v>102789635</v>
      </c>
      <c r="AZ490" s="60"/>
      <c r="BA490" s="60">
        <f>VLOOKUP(B490,[2]Hoja3!J$3:K$674,2,0)</f>
        <v>223449780</v>
      </c>
      <c r="BB490" s="60"/>
      <c r="BC490" s="61">
        <f t="shared" si="67"/>
        <v>326239415</v>
      </c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>
        <v>20557927</v>
      </c>
      <c r="BO490" s="60"/>
      <c r="BP490" s="61">
        <v>346797342</v>
      </c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>
        <v>20557927</v>
      </c>
      <c r="CD490" s="61"/>
      <c r="CE490" s="61">
        <v>6557910</v>
      </c>
      <c r="CF490" s="61"/>
      <c r="CG490" s="61">
        <f t="shared" si="68"/>
        <v>373913179</v>
      </c>
      <c r="CH490" s="62">
        <f>VLOOKUP(B490,[1]RPTNCT049_ConsultaSaldosContabl!I$4:K$7987,3,0)</f>
        <v>143905489</v>
      </c>
      <c r="CI490" s="62">
        <f t="shared" si="69"/>
        <v>230007690</v>
      </c>
      <c r="CJ490" s="63">
        <f t="shared" si="70"/>
        <v>373913179</v>
      </c>
      <c r="CK490" s="64">
        <f t="shared" si="71"/>
        <v>0</v>
      </c>
      <c r="CL490" s="16"/>
      <c r="CM490" s="16"/>
      <c r="CN490" s="16"/>
    </row>
    <row r="491" spans="1:96" ht="15" customHeight="1" x14ac:dyDescent="0.2">
      <c r="A491" s="1">
        <v>8902106174</v>
      </c>
      <c r="B491" s="1">
        <v>890210617</v>
      </c>
      <c r="C491" s="9">
        <v>217768377</v>
      </c>
      <c r="D491" s="10" t="s">
        <v>850</v>
      </c>
      <c r="E491" s="55" t="s">
        <v>2103</v>
      </c>
      <c r="F491" s="21"/>
      <c r="G491" s="59"/>
      <c r="H491" s="21"/>
      <c r="I491" s="59"/>
      <c r="J491" s="21"/>
      <c r="K491" s="21"/>
      <c r="L491" s="59"/>
      <c r="M491" s="60"/>
      <c r="N491" s="21"/>
      <c r="O491" s="59"/>
      <c r="P491" s="21"/>
      <c r="Q491" s="59"/>
      <c r="R491" s="21"/>
      <c r="S491" s="21"/>
      <c r="T491" s="59"/>
      <c r="U491" s="60">
        <f t="shared" si="66"/>
        <v>0</v>
      </c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>
        <v>45993305</v>
      </c>
      <c r="AZ491" s="60"/>
      <c r="BA491" s="60">
        <f>VLOOKUP(B491,[2]Hoja3!J$3:K$674,2,0)</f>
        <v>106286840</v>
      </c>
      <c r="BB491" s="60"/>
      <c r="BC491" s="61">
        <f t="shared" si="67"/>
        <v>152280145</v>
      </c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>
        <v>9198661</v>
      </c>
      <c r="BO491" s="60"/>
      <c r="BP491" s="61">
        <v>161478806</v>
      </c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>
        <v>9198661</v>
      </c>
      <c r="CD491" s="61"/>
      <c r="CE491" s="61"/>
      <c r="CF491" s="61"/>
      <c r="CG491" s="61">
        <f t="shared" si="68"/>
        <v>170677467</v>
      </c>
      <c r="CH491" s="62">
        <f>VLOOKUP(B491,[1]RPTNCT049_ConsultaSaldosContabl!I$4:K$7987,3,0)</f>
        <v>64390627</v>
      </c>
      <c r="CI491" s="62">
        <f t="shared" si="69"/>
        <v>106286840</v>
      </c>
      <c r="CJ491" s="63">
        <f t="shared" si="70"/>
        <v>170677467</v>
      </c>
      <c r="CK491" s="64">
        <f t="shared" si="71"/>
        <v>0</v>
      </c>
      <c r="CL491" s="16"/>
      <c r="CM491" s="16"/>
      <c r="CN491" s="16"/>
    </row>
    <row r="492" spans="1:96" ht="15" customHeight="1" x14ac:dyDescent="0.2">
      <c r="A492" s="1">
        <v>8999997125</v>
      </c>
      <c r="B492" s="1">
        <v>899999712</v>
      </c>
      <c r="C492" s="9">
        <v>217725377</v>
      </c>
      <c r="D492" s="10" t="s">
        <v>504</v>
      </c>
      <c r="E492" s="52" t="s">
        <v>2092</v>
      </c>
      <c r="F492" s="21"/>
      <c r="G492" s="59"/>
      <c r="H492" s="21"/>
      <c r="I492" s="59"/>
      <c r="J492" s="21"/>
      <c r="K492" s="21"/>
      <c r="L492" s="59"/>
      <c r="M492" s="60"/>
      <c r="N492" s="21"/>
      <c r="O492" s="59"/>
      <c r="P492" s="21"/>
      <c r="Q492" s="59"/>
      <c r="R492" s="21"/>
      <c r="S492" s="21"/>
      <c r="T492" s="59"/>
      <c r="U492" s="60">
        <f t="shared" si="66"/>
        <v>0</v>
      </c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>
        <v>272086136</v>
      </c>
      <c r="AN492" s="60">
        <f>SUBTOTAL(9,AC492:AM492)</f>
        <v>272086136</v>
      </c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>
        <v>107141970</v>
      </c>
      <c r="AZ492" s="60"/>
      <c r="BA492" s="60"/>
      <c r="BB492" s="60"/>
      <c r="BC492" s="61">
        <f t="shared" si="67"/>
        <v>379228106</v>
      </c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>
        <v>21428394</v>
      </c>
      <c r="BO492" s="60"/>
      <c r="BP492" s="61">
        <v>400656500</v>
      </c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>
        <v>21428394</v>
      </c>
      <c r="CD492" s="61"/>
      <c r="CE492" s="61"/>
      <c r="CF492" s="61"/>
      <c r="CG492" s="61">
        <f t="shared" si="68"/>
        <v>422084894</v>
      </c>
      <c r="CH492" s="62">
        <f>VLOOKUP(B492,[1]RPTNCT049_ConsultaSaldosContabl!I$4:K$7987,3,0)</f>
        <v>149998758</v>
      </c>
      <c r="CI492" s="62">
        <f t="shared" si="69"/>
        <v>272086136</v>
      </c>
      <c r="CJ492" s="63">
        <f t="shared" si="70"/>
        <v>422084894</v>
      </c>
      <c r="CK492" s="64">
        <f t="shared" si="71"/>
        <v>0</v>
      </c>
      <c r="CL492" s="16"/>
      <c r="CM492" s="16"/>
      <c r="CN492" s="16"/>
    </row>
    <row r="493" spans="1:96" ht="15" customHeight="1" x14ac:dyDescent="0.2">
      <c r="A493" s="1">
        <v>8000996655</v>
      </c>
      <c r="B493" s="1">
        <v>800099665</v>
      </c>
      <c r="C493" s="9">
        <v>218015380</v>
      </c>
      <c r="D493" s="10" t="s">
        <v>262</v>
      </c>
      <c r="E493" s="52" t="s">
        <v>1296</v>
      </c>
      <c r="F493" s="21"/>
      <c r="G493" s="59"/>
      <c r="H493" s="21"/>
      <c r="I493" s="59"/>
      <c r="J493" s="21"/>
      <c r="K493" s="21"/>
      <c r="L493" s="59"/>
      <c r="M493" s="60"/>
      <c r="N493" s="21"/>
      <c r="O493" s="59"/>
      <c r="P493" s="21"/>
      <c r="Q493" s="59"/>
      <c r="R493" s="21"/>
      <c r="S493" s="21"/>
      <c r="T493" s="59"/>
      <c r="U493" s="60">
        <f t="shared" si="66"/>
        <v>0</v>
      </c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>
        <v>15661275</v>
      </c>
      <c r="AZ493" s="60"/>
      <c r="BA493" s="60">
        <f>VLOOKUP(B493,[2]Hoja3!J$3:K$674,2,0)</f>
        <v>31869552</v>
      </c>
      <c r="BB493" s="60"/>
      <c r="BC493" s="61">
        <f t="shared" si="67"/>
        <v>47530827</v>
      </c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>
        <v>3132255</v>
      </c>
      <c r="BO493" s="60"/>
      <c r="BP493" s="61">
        <v>50663082</v>
      </c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>
        <v>3132255</v>
      </c>
      <c r="CD493" s="61"/>
      <c r="CE493" s="61"/>
      <c r="CF493" s="61"/>
      <c r="CG493" s="61">
        <f t="shared" si="68"/>
        <v>53795337</v>
      </c>
      <c r="CH493" s="62">
        <f>VLOOKUP(B493,[1]RPTNCT049_ConsultaSaldosContabl!I$4:K$7987,3,0)</f>
        <v>21925785</v>
      </c>
      <c r="CI493" s="62">
        <f t="shared" si="69"/>
        <v>31869552</v>
      </c>
      <c r="CJ493" s="63">
        <f t="shared" si="70"/>
        <v>53795337</v>
      </c>
      <c r="CK493" s="64">
        <f t="shared" si="71"/>
        <v>0</v>
      </c>
      <c r="CL493" s="16"/>
      <c r="CM493" s="8"/>
      <c r="CN493" s="8"/>
      <c r="CO493" s="8"/>
      <c r="CP493" s="8"/>
      <c r="CQ493" s="8"/>
      <c r="CR493" s="8"/>
    </row>
    <row r="494" spans="1:96" ht="15" customHeight="1" x14ac:dyDescent="0.2">
      <c r="A494" s="1">
        <v>8909812075</v>
      </c>
      <c r="B494" s="1">
        <v>890981207</v>
      </c>
      <c r="C494" s="9">
        <v>217605376</v>
      </c>
      <c r="D494" s="10" t="s">
        <v>101</v>
      </c>
      <c r="E494" s="52" t="s">
        <v>1132</v>
      </c>
      <c r="F494" s="21"/>
      <c r="G494" s="59"/>
      <c r="H494" s="21"/>
      <c r="I494" s="59"/>
      <c r="J494" s="21"/>
      <c r="K494" s="21"/>
      <c r="L494" s="59"/>
      <c r="M494" s="60"/>
      <c r="N494" s="21"/>
      <c r="O494" s="59"/>
      <c r="P494" s="21"/>
      <c r="Q494" s="59"/>
      <c r="R494" s="21"/>
      <c r="S494" s="21"/>
      <c r="T494" s="59"/>
      <c r="U494" s="60">
        <f t="shared" si="66"/>
        <v>0</v>
      </c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>
        <v>355744142</v>
      </c>
      <c r="AN494" s="60">
        <f>SUBTOTAL(9,AC494:AM494)</f>
        <v>355744142</v>
      </c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>
        <v>252111705</v>
      </c>
      <c r="AZ494" s="60"/>
      <c r="BA494" s="60">
        <f>VLOOKUP(B494,[2]Hoja3!J$3:K$674,2,0)</f>
        <v>299454394</v>
      </c>
      <c r="BB494" s="60">
        <f>VLOOKUP(B494,'[3]anuladas en mayo gratuidad}'!K$2:L$55,2,0)</f>
        <v>41277828</v>
      </c>
      <c r="BC494" s="61">
        <f t="shared" si="67"/>
        <v>866032413</v>
      </c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>
        <v>50422341</v>
      </c>
      <c r="BO494" s="60"/>
      <c r="BP494" s="61">
        <v>916454754</v>
      </c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>
        <v>50422341</v>
      </c>
      <c r="CD494" s="61"/>
      <c r="CE494" s="61">
        <v>41277828</v>
      </c>
      <c r="CF494" s="61"/>
      <c r="CG494" s="61">
        <f t="shared" si="68"/>
        <v>1008154923</v>
      </c>
      <c r="CH494" s="62">
        <f>VLOOKUP(B494,[1]RPTNCT049_ConsultaSaldosContabl!I$4:K$7987,3,0)</f>
        <v>352956387</v>
      </c>
      <c r="CI494" s="62">
        <f t="shared" si="69"/>
        <v>655198536</v>
      </c>
      <c r="CJ494" s="63">
        <f t="shared" si="70"/>
        <v>1008154923</v>
      </c>
      <c r="CK494" s="64">
        <f t="shared" si="71"/>
        <v>0</v>
      </c>
      <c r="CL494" s="16"/>
      <c r="CM494" s="16"/>
      <c r="CN494" s="16"/>
    </row>
    <row r="495" spans="1:96" ht="15" customHeight="1" x14ac:dyDescent="0.2">
      <c r="A495" s="1">
        <v>8914800262</v>
      </c>
      <c r="B495" s="1">
        <v>891480026</v>
      </c>
      <c r="C495" s="9">
        <v>218366383</v>
      </c>
      <c r="D495" s="10" t="s">
        <v>804</v>
      </c>
      <c r="E495" s="52" t="s">
        <v>1821</v>
      </c>
      <c r="F495" s="21"/>
      <c r="G495" s="59"/>
      <c r="H495" s="21"/>
      <c r="I495" s="59"/>
      <c r="J495" s="21"/>
      <c r="K495" s="21"/>
      <c r="L495" s="59"/>
      <c r="M495" s="60"/>
      <c r="N495" s="21"/>
      <c r="O495" s="59"/>
      <c r="P495" s="21"/>
      <c r="Q495" s="59"/>
      <c r="R495" s="21"/>
      <c r="S495" s="21"/>
      <c r="T495" s="59"/>
      <c r="U495" s="60">
        <f t="shared" si="66"/>
        <v>0</v>
      </c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>
        <v>54791290</v>
      </c>
      <c r="AZ495" s="60"/>
      <c r="BA495" s="60">
        <f>VLOOKUP(B495,[2]Hoja3!J$3:K$674,2,0)</f>
        <v>83513234</v>
      </c>
      <c r="BB495" s="60"/>
      <c r="BC495" s="61">
        <f t="shared" si="67"/>
        <v>138304524</v>
      </c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>
        <v>10958258</v>
      </c>
      <c r="BO495" s="60"/>
      <c r="BP495" s="61">
        <v>149262782</v>
      </c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>
        <v>10958258</v>
      </c>
      <c r="CD495" s="61"/>
      <c r="CE495" s="61"/>
      <c r="CF495" s="61"/>
      <c r="CG495" s="61">
        <f t="shared" si="68"/>
        <v>160221040</v>
      </c>
      <c r="CH495" s="62">
        <f>VLOOKUP(B495,[1]RPTNCT049_ConsultaSaldosContabl!I$4:K$7987,3,0)</f>
        <v>76707806</v>
      </c>
      <c r="CI495" s="62">
        <f t="shared" si="69"/>
        <v>83513234</v>
      </c>
      <c r="CJ495" s="63">
        <f t="shared" si="70"/>
        <v>160221040</v>
      </c>
      <c r="CK495" s="64">
        <f t="shared" si="71"/>
        <v>0</v>
      </c>
      <c r="CL495" s="16"/>
      <c r="CM495" s="16"/>
      <c r="CN495" s="16"/>
    </row>
    <row r="496" spans="1:96" ht="15" customHeight="1" x14ac:dyDescent="0.2">
      <c r="A496" s="1">
        <v>8000990989</v>
      </c>
      <c r="B496" s="1">
        <v>800099098</v>
      </c>
      <c r="C496" s="9">
        <v>217852378</v>
      </c>
      <c r="D496" s="10" t="s">
        <v>717</v>
      </c>
      <c r="E496" s="52" t="s">
        <v>1739</v>
      </c>
      <c r="F496" s="21"/>
      <c r="G496" s="59"/>
      <c r="H496" s="21"/>
      <c r="I496" s="59"/>
      <c r="J496" s="21"/>
      <c r="K496" s="21"/>
      <c r="L496" s="59"/>
      <c r="M496" s="60"/>
      <c r="N496" s="21"/>
      <c r="O496" s="59"/>
      <c r="P496" s="21"/>
      <c r="Q496" s="59"/>
      <c r="R496" s="21"/>
      <c r="S496" s="21"/>
      <c r="T496" s="59"/>
      <c r="U496" s="60">
        <f t="shared" si="66"/>
        <v>0</v>
      </c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>
        <v>172716870</v>
      </c>
      <c r="AZ496" s="60"/>
      <c r="BA496" s="60">
        <f>VLOOKUP(B496,[2]Hoja3!J$3:K$674,2,0)</f>
        <v>249881234</v>
      </c>
      <c r="BB496" s="60"/>
      <c r="BC496" s="61">
        <f t="shared" si="67"/>
        <v>422598104</v>
      </c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>
        <v>34543374</v>
      </c>
      <c r="BO496" s="60"/>
      <c r="BP496" s="61">
        <v>457141478</v>
      </c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>
        <v>34543374</v>
      </c>
      <c r="CD496" s="61"/>
      <c r="CE496" s="61"/>
      <c r="CF496" s="61"/>
      <c r="CG496" s="61">
        <f t="shared" si="68"/>
        <v>491684852</v>
      </c>
      <c r="CH496" s="62">
        <f>VLOOKUP(B496,[1]RPTNCT049_ConsultaSaldosContabl!I$4:K$7987,3,0)</f>
        <v>241803618</v>
      </c>
      <c r="CI496" s="62">
        <f t="shared" si="69"/>
        <v>249881234</v>
      </c>
      <c r="CJ496" s="63">
        <f t="shared" si="70"/>
        <v>491684852</v>
      </c>
      <c r="CK496" s="64">
        <f t="shared" si="71"/>
        <v>0</v>
      </c>
      <c r="CL496" s="16"/>
      <c r="CM496" s="16"/>
      <c r="CN496" s="16"/>
    </row>
    <row r="497" spans="1:92" ht="15" customHeight="1" x14ac:dyDescent="0.2">
      <c r="A497" s="1">
        <v>8001005217</v>
      </c>
      <c r="B497" s="1">
        <v>800100521</v>
      </c>
      <c r="C497" s="9">
        <v>217776377</v>
      </c>
      <c r="D497" s="10" t="s">
        <v>930</v>
      </c>
      <c r="E497" s="52" t="s">
        <v>1990</v>
      </c>
      <c r="F497" s="21"/>
      <c r="G497" s="59"/>
      <c r="H497" s="21"/>
      <c r="I497" s="59"/>
      <c r="J497" s="21"/>
      <c r="K497" s="21"/>
      <c r="L497" s="59"/>
      <c r="M497" s="60"/>
      <c r="N497" s="21"/>
      <c r="O497" s="59"/>
      <c r="P497" s="21"/>
      <c r="Q497" s="59"/>
      <c r="R497" s="21"/>
      <c r="S497" s="21"/>
      <c r="T497" s="59"/>
      <c r="U497" s="60">
        <f t="shared" si="66"/>
        <v>0</v>
      </c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>
        <v>57421425</v>
      </c>
      <c r="AN497" s="60">
        <f>SUBTOTAL(9,AC497:AM497)</f>
        <v>57421425</v>
      </c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>
        <v>75148415</v>
      </c>
      <c r="AZ497" s="60"/>
      <c r="BA497" s="60">
        <f>VLOOKUP(B497,[2]Hoja3!J$3:K$674,2,0)</f>
        <v>125758090</v>
      </c>
      <c r="BB497" s="60"/>
      <c r="BC497" s="61">
        <f t="shared" si="67"/>
        <v>258327930</v>
      </c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>
        <v>15029683</v>
      </c>
      <c r="BO497" s="60"/>
      <c r="BP497" s="61">
        <v>273357613</v>
      </c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>
        <v>15029683</v>
      </c>
      <c r="CD497" s="61"/>
      <c r="CE497" s="61"/>
      <c r="CF497" s="61"/>
      <c r="CG497" s="61">
        <f t="shared" si="68"/>
        <v>288387296</v>
      </c>
      <c r="CH497" s="62">
        <f>VLOOKUP(B497,[1]RPTNCT049_ConsultaSaldosContabl!I$4:K$7987,3,0)</f>
        <v>105207781</v>
      </c>
      <c r="CI497" s="62">
        <f t="shared" si="69"/>
        <v>183179515</v>
      </c>
      <c r="CJ497" s="63">
        <f t="shared" si="70"/>
        <v>288387296</v>
      </c>
      <c r="CK497" s="64">
        <f t="shared" si="71"/>
        <v>0</v>
      </c>
      <c r="CL497" s="16"/>
      <c r="CM497" s="16"/>
      <c r="CN497" s="16"/>
    </row>
    <row r="498" spans="1:92" ht="15" customHeight="1" x14ac:dyDescent="0.2">
      <c r="A498" s="1">
        <v>8908011306</v>
      </c>
      <c r="B498" s="1">
        <v>890801130</v>
      </c>
      <c r="C498" s="9">
        <v>218017380</v>
      </c>
      <c r="D498" s="10" t="s">
        <v>342</v>
      </c>
      <c r="E498" s="55" t="s">
        <v>2248</v>
      </c>
      <c r="F498" s="21"/>
      <c r="G498" s="59"/>
      <c r="H498" s="21"/>
      <c r="I498" s="59"/>
      <c r="J498" s="21"/>
      <c r="K498" s="21"/>
      <c r="L498" s="59"/>
      <c r="M498" s="60"/>
      <c r="N498" s="21"/>
      <c r="O498" s="59"/>
      <c r="P498" s="21"/>
      <c r="Q498" s="59"/>
      <c r="R498" s="21"/>
      <c r="S498" s="21"/>
      <c r="T498" s="59"/>
      <c r="U498" s="60">
        <f t="shared" si="66"/>
        <v>0</v>
      </c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>
        <v>574112707</v>
      </c>
      <c r="AN498" s="60">
        <f>SUBTOTAL(9,AC498:AM498)</f>
        <v>574112707</v>
      </c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>
        <f>VLOOKUP(B498,[2]Hoja3!J$3:K$674,2,0)</f>
        <v>257909118</v>
      </c>
      <c r="BB498" s="60"/>
      <c r="BC498" s="61">
        <f t="shared" si="67"/>
        <v>832021825</v>
      </c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>
        <v>532754016</v>
      </c>
      <c r="BO498" s="60"/>
      <c r="BP498" s="61">
        <v>1364775841</v>
      </c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  <c r="CA498" s="61"/>
      <c r="CB498" s="61"/>
      <c r="CC498" s="61">
        <v>88792336</v>
      </c>
      <c r="CD498" s="61"/>
      <c r="CE498" s="61"/>
      <c r="CF498" s="61"/>
      <c r="CG498" s="61">
        <f t="shared" si="68"/>
        <v>1453568177</v>
      </c>
      <c r="CH498" s="62">
        <f>VLOOKUP(B498,[1]RPTNCT049_ConsultaSaldosContabl!I$4:K$7987,3,0)</f>
        <v>621546352</v>
      </c>
      <c r="CI498" s="62">
        <f t="shared" si="69"/>
        <v>832021825</v>
      </c>
      <c r="CJ498" s="63">
        <f t="shared" si="70"/>
        <v>1453568177</v>
      </c>
      <c r="CK498" s="64">
        <f t="shared" si="71"/>
        <v>0</v>
      </c>
      <c r="CL498" s="16"/>
      <c r="CM498" s="16"/>
      <c r="CN498" s="16"/>
    </row>
    <row r="499" spans="1:92" ht="15" customHeight="1" x14ac:dyDescent="0.2">
      <c r="A499" s="1">
        <v>8002450219</v>
      </c>
      <c r="B499" s="1">
        <v>800245021</v>
      </c>
      <c r="C499" s="9">
        <v>218554385</v>
      </c>
      <c r="D499" s="10" t="s">
        <v>769</v>
      </c>
      <c r="E499" s="52" t="s">
        <v>1787</v>
      </c>
      <c r="F499" s="21"/>
      <c r="G499" s="59"/>
      <c r="H499" s="21"/>
      <c r="I499" s="59"/>
      <c r="J499" s="21"/>
      <c r="K499" s="21"/>
      <c r="L499" s="59"/>
      <c r="M499" s="60"/>
      <c r="N499" s="21"/>
      <c r="O499" s="59"/>
      <c r="P499" s="21"/>
      <c r="Q499" s="59"/>
      <c r="R499" s="21"/>
      <c r="S499" s="21"/>
      <c r="T499" s="59"/>
      <c r="U499" s="60">
        <f t="shared" si="66"/>
        <v>0</v>
      </c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>
        <v>138735965</v>
      </c>
      <c r="AZ499" s="60"/>
      <c r="BA499" s="60">
        <f>VLOOKUP(B499,[2]Hoja3!J$3:K$674,2,0)</f>
        <v>138481388</v>
      </c>
      <c r="BB499" s="60"/>
      <c r="BC499" s="61">
        <f t="shared" si="67"/>
        <v>277217353</v>
      </c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>
        <v>27747193</v>
      </c>
      <c r="BO499" s="60"/>
      <c r="BP499" s="61">
        <v>304964546</v>
      </c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>
        <v>27747193</v>
      </c>
      <c r="CD499" s="61"/>
      <c r="CE499" s="61"/>
      <c r="CF499" s="61"/>
      <c r="CG499" s="61">
        <f t="shared" si="68"/>
        <v>332711739</v>
      </c>
      <c r="CH499" s="62">
        <f>VLOOKUP(B499,[1]RPTNCT049_ConsultaSaldosContabl!I$4:K$7987,3,0)</f>
        <v>194230351</v>
      </c>
      <c r="CI499" s="62">
        <f t="shared" si="69"/>
        <v>138481388</v>
      </c>
      <c r="CJ499" s="63">
        <f t="shared" si="70"/>
        <v>332711739</v>
      </c>
      <c r="CK499" s="64">
        <f t="shared" si="71"/>
        <v>0</v>
      </c>
      <c r="CL499" s="16"/>
      <c r="CM499" s="16"/>
      <c r="CN499" s="16"/>
    </row>
    <row r="500" spans="1:92" ht="15" customHeight="1" x14ac:dyDescent="0.2">
      <c r="A500" s="1">
        <v>8909807824</v>
      </c>
      <c r="B500" s="1">
        <v>890980782</v>
      </c>
      <c r="C500" s="9">
        <v>218005380</v>
      </c>
      <c r="D500" s="10" t="s">
        <v>102</v>
      </c>
      <c r="E500" s="52" t="s">
        <v>1133</v>
      </c>
      <c r="F500" s="21"/>
      <c r="G500" s="59"/>
      <c r="H500" s="21"/>
      <c r="I500" s="59"/>
      <c r="J500" s="21"/>
      <c r="K500" s="21"/>
      <c r="L500" s="59"/>
      <c r="M500" s="60"/>
      <c r="N500" s="21"/>
      <c r="O500" s="59"/>
      <c r="P500" s="21"/>
      <c r="Q500" s="59"/>
      <c r="R500" s="21"/>
      <c r="S500" s="21"/>
      <c r="T500" s="59"/>
      <c r="U500" s="60">
        <f t="shared" si="66"/>
        <v>0</v>
      </c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>
        <v>420526428</v>
      </c>
      <c r="AN500" s="60">
        <f>SUBTOTAL(9,AC500:AM500)</f>
        <v>420526428</v>
      </c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>
        <v>201093200</v>
      </c>
      <c r="AZ500" s="60"/>
      <c r="BA500" s="60"/>
      <c r="BB500" s="60"/>
      <c r="BC500" s="61">
        <f t="shared" si="67"/>
        <v>621619628</v>
      </c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>
        <v>40218640</v>
      </c>
      <c r="BO500" s="60"/>
      <c r="BP500" s="61">
        <v>661838268</v>
      </c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>
        <v>40218640</v>
      </c>
      <c r="CD500" s="61"/>
      <c r="CE500" s="61"/>
      <c r="CF500" s="61"/>
      <c r="CG500" s="61">
        <f t="shared" si="68"/>
        <v>702056908</v>
      </c>
      <c r="CH500" s="62">
        <f>VLOOKUP(B500,[1]RPTNCT049_ConsultaSaldosContabl!I$4:K$7987,3,0)</f>
        <v>281530480</v>
      </c>
      <c r="CI500" s="62">
        <f t="shared" si="69"/>
        <v>420526428</v>
      </c>
      <c r="CJ500" s="63">
        <f t="shared" si="70"/>
        <v>702056908</v>
      </c>
      <c r="CK500" s="64">
        <f t="shared" si="71"/>
        <v>0</v>
      </c>
      <c r="CL500" s="16"/>
      <c r="CM500" s="16"/>
      <c r="CN500" s="16"/>
    </row>
    <row r="501" spans="1:92" ht="15" customHeight="1" x14ac:dyDescent="0.2">
      <c r="A501" s="1">
        <v>8000991006</v>
      </c>
      <c r="B501" s="1">
        <v>800099100</v>
      </c>
      <c r="C501" s="9">
        <v>218152381</v>
      </c>
      <c r="D501" s="10" t="s">
        <v>718</v>
      </c>
      <c r="E501" s="52" t="s">
        <v>1740</v>
      </c>
      <c r="F501" s="21"/>
      <c r="G501" s="59"/>
      <c r="H501" s="21"/>
      <c r="I501" s="59"/>
      <c r="J501" s="21"/>
      <c r="K501" s="21"/>
      <c r="L501" s="59"/>
      <c r="M501" s="60"/>
      <c r="N501" s="21"/>
      <c r="O501" s="59"/>
      <c r="P501" s="21"/>
      <c r="Q501" s="59"/>
      <c r="R501" s="21"/>
      <c r="S501" s="21"/>
      <c r="T501" s="59"/>
      <c r="U501" s="60">
        <f t="shared" si="66"/>
        <v>0</v>
      </c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>
        <v>125744363</v>
      </c>
      <c r="AN501" s="60">
        <f>SUBTOTAL(9,AC501:AM501)</f>
        <v>125744363</v>
      </c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>
        <v>87695130</v>
      </c>
      <c r="AZ501" s="60"/>
      <c r="BA501" s="60"/>
      <c r="BB501" s="60"/>
      <c r="BC501" s="61">
        <f t="shared" si="67"/>
        <v>213439493</v>
      </c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>
        <v>17539026</v>
      </c>
      <c r="BO501" s="60"/>
      <c r="BP501" s="61">
        <v>230978519</v>
      </c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>
        <v>17539026</v>
      </c>
      <c r="CD501" s="61"/>
      <c r="CE501" s="61"/>
      <c r="CF501" s="61"/>
      <c r="CG501" s="61">
        <f t="shared" si="68"/>
        <v>248517545</v>
      </c>
      <c r="CH501" s="62">
        <f>VLOOKUP(B501,[1]RPTNCT049_ConsultaSaldosContabl!I$4:K$7987,3,0)</f>
        <v>122773182</v>
      </c>
      <c r="CI501" s="62">
        <f t="shared" si="69"/>
        <v>125744363</v>
      </c>
      <c r="CJ501" s="63">
        <f t="shared" si="70"/>
        <v>248517545</v>
      </c>
      <c r="CK501" s="64">
        <f t="shared" si="71"/>
        <v>0</v>
      </c>
      <c r="CL501" s="16"/>
      <c r="CM501" s="16"/>
      <c r="CN501" s="16"/>
    </row>
    <row r="502" spans="1:92" ht="15" customHeight="1" x14ac:dyDescent="0.2">
      <c r="A502" s="1">
        <v>8000965993</v>
      </c>
      <c r="B502" s="1">
        <v>800096599</v>
      </c>
      <c r="C502" s="9">
        <v>218320383</v>
      </c>
      <c r="D502" s="10" t="s">
        <v>425</v>
      </c>
      <c r="E502" s="52" t="s">
        <v>1452</v>
      </c>
      <c r="F502" s="21"/>
      <c r="G502" s="59"/>
      <c r="H502" s="21"/>
      <c r="I502" s="59"/>
      <c r="J502" s="21"/>
      <c r="K502" s="21"/>
      <c r="L502" s="59"/>
      <c r="M502" s="60"/>
      <c r="N502" s="21"/>
      <c r="O502" s="59"/>
      <c r="P502" s="21"/>
      <c r="Q502" s="59"/>
      <c r="R502" s="21"/>
      <c r="S502" s="21"/>
      <c r="T502" s="59"/>
      <c r="U502" s="60">
        <f t="shared" si="66"/>
        <v>0</v>
      </c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>
        <v>146190335</v>
      </c>
      <c r="AZ502" s="60"/>
      <c r="BA502" s="60">
        <f>VLOOKUP(B502,[2]Hoja3!J$3:K$674,2,0)</f>
        <v>263250909</v>
      </c>
      <c r="BB502" s="60"/>
      <c r="BC502" s="61">
        <f t="shared" si="67"/>
        <v>409441244</v>
      </c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>
        <v>29238067</v>
      </c>
      <c r="BO502" s="60"/>
      <c r="BP502" s="61">
        <v>438679311</v>
      </c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>
        <v>29238067</v>
      </c>
      <c r="CD502" s="61"/>
      <c r="CE502" s="61"/>
      <c r="CF502" s="61"/>
      <c r="CG502" s="61">
        <f t="shared" si="68"/>
        <v>467917378</v>
      </c>
      <c r="CH502" s="62">
        <f>VLOOKUP(B502,[1]RPTNCT049_ConsultaSaldosContabl!I$4:K$7987,3,0)</f>
        <v>204666469</v>
      </c>
      <c r="CI502" s="62">
        <f t="shared" si="69"/>
        <v>263250909</v>
      </c>
      <c r="CJ502" s="63">
        <f t="shared" si="70"/>
        <v>467917378</v>
      </c>
      <c r="CK502" s="64">
        <f t="shared" si="71"/>
        <v>0</v>
      </c>
      <c r="CL502" s="16"/>
      <c r="CM502" s="16"/>
      <c r="CN502" s="16"/>
    </row>
    <row r="503" spans="1:92" ht="15" customHeight="1" x14ac:dyDescent="0.2">
      <c r="A503" s="1">
        <v>8001086838</v>
      </c>
      <c r="B503" s="1">
        <v>800108683</v>
      </c>
      <c r="C503" s="9">
        <v>210020400</v>
      </c>
      <c r="D503" s="10" t="s">
        <v>426</v>
      </c>
      <c r="E503" s="52" t="s">
        <v>1453</v>
      </c>
      <c r="F503" s="21"/>
      <c r="G503" s="59"/>
      <c r="H503" s="21"/>
      <c r="I503" s="59"/>
      <c r="J503" s="21"/>
      <c r="K503" s="21"/>
      <c r="L503" s="59"/>
      <c r="M503" s="60"/>
      <c r="N503" s="21"/>
      <c r="O503" s="59"/>
      <c r="P503" s="21"/>
      <c r="Q503" s="59"/>
      <c r="R503" s="21"/>
      <c r="S503" s="21"/>
      <c r="T503" s="59"/>
      <c r="U503" s="60">
        <f t="shared" si="66"/>
        <v>0</v>
      </c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>
        <v>407919025</v>
      </c>
      <c r="AZ503" s="60"/>
      <c r="BA503" s="60">
        <f>VLOOKUP(B503,[2]Hoja3!J$3:K$674,2,0)</f>
        <v>638274061</v>
      </c>
      <c r="BB503" s="60"/>
      <c r="BC503" s="61">
        <f t="shared" si="67"/>
        <v>1046193086</v>
      </c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>
        <v>81583805</v>
      </c>
      <c r="BO503" s="60"/>
      <c r="BP503" s="61">
        <v>1127776891</v>
      </c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>
        <v>81583805</v>
      </c>
      <c r="CD503" s="61"/>
      <c r="CE503" s="61"/>
      <c r="CF503" s="61"/>
      <c r="CG503" s="61">
        <f t="shared" si="68"/>
        <v>1209360696</v>
      </c>
      <c r="CH503" s="62">
        <f>VLOOKUP(B503,[1]RPTNCT049_ConsultaSaldosContabl!I$4:K$7987,3,0)</f>
        <v>571086635</v>
      </c>
      <c r="CI503" s="62">
        <f t="shared" si="69"/>
        <v>638274061</v>
      </c>
      <c r="CJ503" s="63">
        <f t="shared" si="70"/>
        <v>1209360696</v>
      </c>
      <c r="CK503" s="64">
        <f t="shared" si="71"/>
        <v>0</v>
      </c>
      <c r="CL503" s="16"/>
      <c r="CM503" s="16"/>
      <c r="CN503" s="16"/>
    </row>
    <row r="504" spans="1:92" ht="15" customHeight="1" x14ac:dyDescent="0.2">
      <c r="A504" s="1">
        <v>8250006761</v>
      </c>
      <c r="B504" s="1">
        <v>825000676</v>
      </c>
      <c r="C504" s="9">
        <v>212044420</v>
      </c>
      <c r="D504" s="10" t="s">
        <v>2124</v>
      </c>
      <c r="E504" s="52" t="s">
        <v>1654</v>
      </c>
      <c r="F504" s="21"/>
      <c r="G504" s="59"/>
      <c r="H504" s="21"/>
      <c r="I504" s="59"/>
      <c r="J504" s="21"/>
      <c r="K504" s="21"/>
      <c r="L504" s="59"/>
      <c r="M504" s="60"/>
      <c r="N504" s="21"/>
      <c r="O504" s="59"/>
      <c r="P504" s="21"/>
      <c r="Q504" s="59"/>
      <c r="R504" s="21"/>
      <c r="S504" s="21"/>
      <c r="T504" s="59"/>
      <c r="U504" s="60">
        <f t="shared" si="66"/>
        <v>0</v>
      </c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>
        <f>VLOOKUP(B504,[2]Hoja3!J$3:K$674,2,0)</f>
        <v>47772073</v>
      </c>
      <c r="BB504" s="60"/>
      <c r="BC504" s="61">
        <f t="shared" si="67"/>
        <v>47772073</v>
      </c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>
        <v>0</v>
      </c>
      <c r="BO504" s="60"/>
      <c r="BP504" s="61">
        <v>47772073</v>
      </c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  <c r="CA504" s="61"/>
      <c r="CB504" s="61"/>
      <c r="CC504" s="61">
        <v>0</v>
      </c>
      <c r="CD504" s="61"/>
      <c r="CE504" s="61"/>
      <c r="CF504" s="61"/>
      <c r="CG504" s="61">
        <f t="shared" si="68"/>
        <v>47772073</v>
      </c>
      <c r="CH504" s="62"/>
      <c r="CI504" s="62">
        <f t="shared" si="69"/>
        <v>47772073</v>
      </c>
      <c r="CJ504" s="63">
        <f t="shared" si="70"/>
        <v>47772073</v>
      </c>
      <c r="CK504" s="64">
        <f t="shared" si="71"/>
        <v>0</v>
      </c>
      <c r="CL504" s="16"/>
      <c r="CM504" s="16"/>
      <c r="CN504" s="16"/>
    </row>
    <row r="505" spans="1:92" ht="15" customHeight="1" x14ac:dyDescent="0.2">
      <c r="A505" s="1">
        <v>8001498940</v>
      </c>
      <c r="B505" s="1">
        <v>800149894</v>
      </c>
      <c r="C505" s="9">
        <v>218552385</v>
      </c>
      <c r="D505" s="10" t="s">
        <v>719</v>
      </c>
      <c r="E505" s="52" t="s">
        <v>1741</v>
      </c>
      <c r="F505" s="21"/>
      <c r="G505" s="59"/>
      <c r="H505" s="21"/>
      <c r="I505" s="59"/>
      <c r="J505" s="21"/>
      <c r="K505" s="21"/>
      <c r="L505" s="59"/>
      <c r="M505" s="60"/>
      <c r="N505" s="21"/>
      <c r="O505" s="59"/>
      <c r="P505" s="21"/>
      <c r="Q505" s="59"/>
      <c r="R505" s="21"/>
      <c r="S505" s="21"/>
      <c r="T505" s="59"/>
      <c r="U505" s="60">
        <f t="shared" si="66"/>
        <v>0</v>
      </c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>
        <v>70869637</v>
      </c>
      <c r="AN505" s="60">
        <f t="shared" ref="AN505:AN511" si="73">SUBTOTAL(9,AC505:AM505)</f>
        <v>70869637</v>
      </c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1">
        <f t="shared" si="67"/>
        <v>70869637</v>
      </c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>
        <v>0</v>
      </c>
      <c r="BO505" s="60"/>
      <c r="BP505" s="61">
        <v>70869637</v>
      </c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  <c r="CA505" s="61"/>
      <c r="CB505" s="61"/>
      <c r="CC505" s="61">
        <v>0</v>
      </c>
      <c r="CD505" s="61"/>
      <c r="CE505" s="61"/>
      <c r="CF505" s="61"/>
      <c r="CG505" s="61">
        <f t="shared" si="68"/>
        <v>70869637</v>
      </c>
      <c r="CH505" s="62"/>
      <c r="CI505" s="62">
        <f t="shared" si="69"/>
        <v>70869637</v>
      </c>
      <c r="CJ505" s="63">
        <f t="shared" si="70"/>
        <v>70869637</v>
      </c>
      <c r="CK505" s="64">
        <f t="shared" si="71"/>
        <v>0</v>
      </c>
      <c r="CL505" s="16"/>
      <c r="CM505" s="16"/>
      <c r="CN505" s="16"/>
    </row>
    <row r="506" spans="1:92" ht="15" customHeight="1" x14ac:dyDescent="0.2">
      <c r="A506" s="1">
        <v>8920992349</v>
      </c>
      <c r="B506" s="1">
        <v>892099234</v>
      </c>
      <c r="C506" s="9">
        <v>215050350</v>
      </c>
      <c r="D506" s="10" t="s">
        <v>679</v>
      </c>
      <c r="E506" s="52" t="s">
        <v>1700</v>
      </c>
      <c r="F506" s="21"/>
      <c r="G506" s="59"/>
      <c r="H506" s="21"/>
      <c r="I506" s="59"/>
      <c r="J506" s="21"/>
      <c r="K506" s="21"/>
      <c r="L506" s="59"/>
      <c r="M506" s="60"/>
      <c r="N506" s="21"/>
      <c r="O506" s="59"/>
      <c r="P506" s="21"/>
      <c r="Q506" s="59"/>
      <c r="R506" s="21"/>
      <c r="S506" s="21"/>
      <c r="T506" s="59"/>
      <c r="U506" s="60">
        <f t="shared" si="66"/>
        <v>0</v>
      </c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>
        <v>220248646</v>
      </c>
      <c r="AN506" s="60">
        <f t="shared" si="73"/>
        <v>220248646</v>
      </c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1">
        <f t="shared" si="67"/>
        <v>220248646</v>
      </c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>
        <v>0</v>
      </c>
      <c r="BO506" s="60"/>
      <c r="BP506" s="61">
        <v>220248646</v>
      </c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>
        <v>329835093</v>
      </c>
      <c r="CD506" s="61"/>
      <c r="CE506" s="61">
        <v>21560052</v>
      </c>
      <c r="CF506" s="61"/>
      <c r="CG506" s="61">
        <f t="shared" si="68"/>
        <v>571643791</v>
      </c>
      <c r="CH506" s="62">
        <f>VLOOKUP(B506,[1]RPTNCT049_ConsultaSaldosContabl!I$4:K$7987,3,0)</f>
        <v>329835093</v>
      </c>
      <c r="CI506" s="62">
        <f t="shared" si="69"/>
        <v>241808698</v>
      </c>
      <c r="CJ506" s="63">
        <f t="shared" si="70"/>
        <v>571643791</v>
      </c>
      <c r="CK506" s="64">
        <f t="shared" si="71"/>
        <v>0</v>
      </c>
      <c r="CL506" s="16"/>
      <c r="CM506" s="16"/>
      <c r="CN506" s="16"/>
    </row>
    <row r="507" spans="1:92" ht="15" customHeight="1" x14ac:dyDescent="0.2">
      <c r="A507" s="1">
        <v>8908027958</v>
      </c>
      <c r="B507" s="1">
        <v>890802795</v>
      </c>
      <c r="C507" s="9">
        <v>218817388</v>
      </c>
      <c r="D507" s="10" t="s">
        <v>343</v>
      </c>
      <c r="E507" s="52" t="s">
        <v>1373</v>
      </c>
      <c r="F507" s="21"/>
      <c r="G507" s="59"/>
      <c r="H507" s="21"/>
      <c r="I507" s="59"/>
      <c r="J507" s="21"/>
      <c r="K507" s="21"/>
      <c r="L507" s="59"/>
      <c r="M507" s="60"/>
      <c r="N507" s="21"/>
      <c r="O507" s="59"/>
      <c r="P507" s="21"/>
      <c r="Q507" s="59"/>
      <c r="R507" s="21"/>
      <c r="S507" s="21"/>
      <c r="T507" s="59"/>
      <c r="U507" s="60">
        <f t="shared" si="66"/>
        <v>0</v>
      </c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>
        <v>100240457</v>
      </c>
      <c r="AN507" s="60">
        <f t="shared" si="73"/>
        <v>100240457</v>
      </c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>
        <v>50018325</v>
      </c>
      <c r="AZ507" s="60"/>
      <c r="BA507" s="60"/>
      <c r="BB507" s="60">
        <f>VLOOKUP(B507,'[3]anuladas en mayo gratuidad}'!K$2:L$55,2,0)</f>
        <v>35202252</v>
      </c>
      <c r="BC507" s="61">
        <f t="shared" si="67"/>
        <v>115056530</v>
      </c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>
        <v>10003665</v>
      </c>
      <c r="BO507" s="60"/>
      <c r="BP507" s="61">
        <v>125060195</v>
      </c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>
        <v>10003665</v>
      </c>
      <c r="CD507" s="61"/>
      <c r="CE507" s="61"/>
      <c r="CF507" s="61"/>
      <c r="CG507" s="61">
        <f t="shared" si="68"/>
        <v>135063860</v>
      </c>
      <c r="CH507" s="62">
        <f>VLOOKUP(B507,[1]RPTNCT049_ConsultaSaldosContabl!I$4:K$7987,3,0)</f>
        <v>70025655</v>
      </c>
      <c r="CI507" s="62">
        <f t="shared" si="69"/>
        <v>65038205</v>
      </c>
      <c r="CJ507" s="63">
        <f t="shared" si="70"/>
        <v>135063860</v>
      </c>
      <c r="CK507" s="64">
        <f t="shared" si="71"/>
        <v>0</v>
      </c>
      <c r="CL507" s="16"/>
      <c r="CM507" s="16"/>
      <c r="CN507" s="16"/>
    </row>
    <row r="508" spans="1:92" ht="15" customHeight="1" x14ac:dyDescent="0.2">
      <c r="A508" s="1">
        <v>8906800267</v>
      </c>
      <c r="B508" s="1">
        <v>890680026</v>
      </c>
      <c r="C508" s="9">
        <v>218625386</v>
      </c>
      <c r="D508" s="10" t="s">
        <v>505</v>
      </c>
      <c r="E508" s="52" t="s">
        <v>1531</v>
      </c>
      <c r="F508" s="21"/>
      <c r="G508" s="59"/>
      <c r="H508" s="21"/>
      <c r="I508" s="59"/>
      <c r="J508" s="21"/>
      <c r="K508" s="21"/>
      <c r="L508" s="59"/>
      <c r="M508" s="60"/>
      <c r="N508" s="21"/>
      <c r="O508" s="59"/>
      <c r="P508" s="21"/>
      <c r="Q508" s="59"/>
      <c r="R508" s="21"/>
      <c r="S508" s="21"/>
      <c r="T508" s="59"/>
      <c r="U508" s="60">
        <f t="shared" si="66"/>
        <v>0</v>
      </c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>
        <v>348340529</v>
      </c>
      <c r="AN508" s="60">
        <f t="shared" si="73"/>
        <v>348340529</v>
      </c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>
        <v>161337225</v>
      </c>
      <c r="AZ508" s="60"/>
      <c r="BA508" s="60"/>
      <c r="BB508" s="60"/>
      <c r="BC508" s="61">
        <f t="shared" si="67"/>
        <v>509677754</v>
      </c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>
        <v>32267445</v>
      </c>
      <c r="BO508" s="60"/>
      <c r="BP508" s="61">
        <v>541945199</v>
      </c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>
        <v>32267445</v>
      </c>
      <c r="CD508" s="61"/>
      <c r="CE508" s="61"/>
      <c r="CF508" s="61"/>
      <c r="CG508" s="61">
        <f t="shared" si="68"/>
        <v>574212644</v>
      </c>
      <c r="CH508" s="62">
        <f>VLOOKUP(B508,[1]RPTNCT049_ConsultaSaldosContabl!I$4:K$7987,3,0)</f>
        <v>225872115</v>
      </c>
      <c r="CI508" s="62">
        <f t="shared" si="69"/>
        <v>348340529</v>
      </c>
      <c r="CJ508" s="63">
        <f t="shared" si="70"/>
        <v>574212644</v>
      </c>
      <c r="CK508" s="64">
        <f t="shared" si="71"/>
        <v>0</v>
      </c>
      <c r="CL508" s="16"/>
      <c r="CM508" s="16"/>
      <c r="CN508" s="16"/>
    </row>
    <row r="509" spans="1:92" ht="15" customHeight="1" x14ac:dyDescent="0.2">
      <c r="A509" s="1">
        <v>8000957702</v>
      </c>
      <c r="B509" s="1">
        <v>800095770</v>
      </c>
      <c r="C509" s="9">
        <v>211018410</v>
      </c>
      <c r="D509" s="10" t="s">
        <v>2194</v>
      </c>
      <c r="E509" s="56" t="s">
        <v>2107</v>
      </c>
      <c r="F509" s="21"/>
      <c r="G509" s="59"/>
      <c r="H509" s="21"/>
      <c r="I509" s="59"/>
      <c r="J509" s="21"/>
      <c r="K509" s="21"/>
      <c r="L509" s="59"/>
      <c r="M509" s="60"/>
      <c r="N509" s="21"/>
      <c r="O509" s="59"/>
      <c r="P509" s="21"/>
      <c r="Q509" s="59"/>
      <c r="R509" s="21"/>
      <c r="S509" s="21"/>
      <c r="T509" s="59"/>
      <c r="U509" s="60">
        <f t="shared" si="66"/>
        <v>0</v>
      </c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>
        <v>305775495</v>
      </c>
      <c r="AN509" s="60">
        <f t="shared" si="73"/>
        <v>305775495</v>
      </c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>
        <v>201024495</v>
      </c>
      <c r="AZ509" s="60"/>
      <c r="BA509" s="60">
        <f>VLOOKUP(B509,[2]Hoja3!J$3:K$674,2,0)</f>
        <v>35752080</v>
      </c>
      <c r="BB509" s="60"/>
      <c r="BC509" s="61">
        <f t="shared" si="67"/>
        <v>542552070</v>
      </c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>
        <v>40204899</v>
      </c>
      <c r="BO509" s="60"/>
      <c r="BP509" s="61">
        <v>582756969</v>
      </c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>
        <v>40204899</v>
      </c>
      <c r="CD509" s="61"/>
      <c r="CE509" s="61"/>
      <c r="CF509" s="61"/>
      <c r="CG509" s="61">
        <f t="shared" si="68"/>
        <v>622961868</v>
      </c>
      <c r="CH509" s="62">
        <f>VLOOKUP(B509,[1]RPTNCT049_ConsultaSaldosContabl!I$4:K$7987,3,0)</f>
        <v>281434293</v>
      </c>
      <c r="CI509" s="62">
        <f t="shared" si="69"/>
        <v>341527575</v>
      </c>
      <c r="CJ509" s="63">
        <f t="shared" si="70"/>
        <v>622961868</v>
      </c>
      <c r="CK509" s="64">
        <f t="shared" si="71"/>
        <v>0</v>
      </c>
      <c r="CL509" s="16"/>
      <c r="CM509" s="16"/>
      <c r="CN509" s="16"/>
    </row>
    <row r="510" spans="1:92" ht="15" customHeight="1" x14ac:dyDescent="0.2">
      <c r="A510" s="1">
        <v>8999993691</v>
      </c>
      <c r="B510" s="1">
        <v>899999369</v>
      </c>
      <c r="C510" s="9">
        <v>219425394</v>
      </c>
      <c r="D510" s="10" t="s">
        <v>506</v>
      </c>
      <c r="E510" s="52" t="s">
        <v>2075</v>
      </c>
      <c r="F510" s="21"/>
      <c r="G510" s="59"/>
      <c r="H510" s="21"/>
      <c r="I510" s="59"/>
      <c r="J510" s="21"/>
      <c r="K510" s="21"/>
      <c r="L510" s="59"/>
      <c r="M510" s="60"/>
      <c r="N510" s="21"/>
      <c r="O510" s="59"/>
      <c r="P510" s="21"/>
      <c r="Q510" s="59"/>
      <c r="R510" s="21"/>
      <c r="S510" s="21"/>
      <c r="T510" s="59"/>
      <c r="U510" s="60">
        <f t="shared" si="66"/>
        <v>0</v>
      </c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>
        <v>133644670</v>
      </c>
      <c r="AN510" s="60">
        <f t="shared" si="73"/>
        <v>133644670</v>
      </c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1">
        <f t="shared" si="67"/>
        <v>133644670</v>
      </c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>
        <v>0</v>
      </c>
      <c r="BO510" s="60"/>
      <c r="BP510" s="61">
        <v>133644670</v>
      </c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>
        <v>0</v>
      </c>
      <c r="CD510" s="61"/>
      <c r="CE510" s="61"/>
      <c r="CF510" s="61"/>
      <c r="CG510" s="61">
        <f t="shared" si="68"/>
        <v>133644670</v>
      </c>
      <c r="CH510" s="62"/>
      <c r="CI510" s="62">
        <f t="shared" si="69"/>
        <v>133644670</v>
      </c>
      <c r="CJ510" s="63">
        <f t="shared" si="70"/>
        <v>133644670</v>
      </c>
      <c r="CK510" s="64">
        <f t="shared" si="71"/>
        <v>0</v>
      </c>
      <c r="CL510" s="16"/>
      <c r="CM510" s="16"/>
      <c r="CN510" s="16"/>
    </row>
    <row r="511" spans="1:92" ht="15" customHeight="1" x14ac:dyDescent="0.2">
      <c r="A511" s="1">
        <v>8000966051</v>
      </c>
      <c r="B511" s="1">
        <v>800096605</v>
      </c>
      <c r="C511" s="9">
        <v>212120621</v>
      </c>
      <c r="D511" s="10" t="s">
        <v>432</v>
      </c>
      <c r="E511" s="52" t="s">
        <v>1459</v>
      </c>
      <c r="F511" s="21"/>
      <c r="G511" s="59"/>
      <c r="H511" s="21"/>
      <c r="I511" s="59"/>
      <c r="J511" s="21"/>
      <c r="K511" s="21"/>
      <c r="L511" s="59"/>
      <c r="M511" s="60"/>
      <c r="N511" s="21"/>
      <c r="O511" s="59"/>
      <c r="P511" s="21"/>
      <c r="Q511" s="59"/>
      <c r="R511" s="21"/>
      <c r="S511" s="21"/>
      <c r="T511" s="59"/>
      <c r="U511" s="60">
        <f t="shared" si="66"/>
        <v>0</v>
      </c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>
        <v>186117929</v>
      </c>
      <c r="AN511" s="60">
        <f t="shared" si="73"/>
        <v>186117929</v>
      </c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>
        <v>216762130</v>
      </c>
      <c r="AZ511" s="60"/>
      <c r="BA511" s="60">
        <f>VLOOKUP(B511,[2]Hoja3!J$3:K$674,2,0)</f>
        <v>291908220</v>
      </c>
      <c r="BB511" s="60"/>
      <c r="BC511" s="61">
        <f t="shared" si="67"/>
        <v>694788279</v>
      </c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>
        <v>43352426</v>
      </c>
      <c r="BO511" s="60"/>
      <c r="BP511" s="61">
        <v>738140705</v>
      </c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>
        <v>43352426</v>
      </c>
      <c r="CD511" s="61"/>
      <c r="CE511" s="61"/>
      <c r="CF511" s="61"/>
      <c r="CG511" s="61">
        <f t="shared" si="68"/>
        <v>781493131</v>
      </c>
      <c r="CH511" s="62">
        <f>VLOOKUP(B511,[1]RPTNCT049_ConsultaSaldosContabl!I$4:K$7987,3,0)</f>
        <v>303466982</v>
      </c>
      <c r="CI511" s="62">
        <f t="shared" si="69"/>
        <v>478026149</v>
      </c>
      <c r="CJ511" s="63">
        <f t="shared" si="70"/>
        <v>781493131</v>
      </c>
      <c r="CK511" s="64">
        <f t="shared" si="71"/>
        <v>0</v>
      </c>
      <c r="CL511" s="16"/>
      <c r="CM511" s="16"/>
      <c r="CN511" s="16"/>
    </row>
    <row r="512" spans="1:92" ht="15" customHeight="1" x14ac:dyDescent="0.2">
      <c r="A512" s="1">
        <v>8902053083</v>
      </c>
      <c r="B512" s="1">
        <v>890205308</v>
      </c>
      <c r="C512" s="9">
        <v>219768397</v>
      </c>
      <c r="D512" s="10" t="s">
        <v>852</v>
      </c>
      <c r="E512" s="52" t="s">
        <v>1866</v>
      </c>
      <c r="F512" s="21"/>
      <c r="G512" s="59"/>
      <c r="H512" s="21"/>
      <c r="I512" s="59"/>
      <c r="J512" s="21"/>
      <c r="K512" s="21"/>
      <c r="L512" s="59"/>
      <c r="M512" s="60"/>
      <c r="N512" s="21"/>
      <c r="O512" s="59"/>
      <c r="P512" s="21"/>
      <c r="Q512" s="59"/>
      <c r="R512" s="21"/>
      <c r="S512" s="21"/>
      <c r="T512" s="59"/>
      <c r="U512" s="60">
        <f t="shared" si="66"/>
        <v>0</v>
      </c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>
        <v>28851385</v>
      </c>
      <c r="AZ512" s="60"/>
      <c r="BA512" s="60">
        <f>VLOOKUP(B512,[2]Hoja3!J$3:K$674,2,0)</f>
        <v>63364518</v>
      </c>
      <c r="BB512" s="60"/>
      <c r="BC512" s="61">
        <f t="shared" si="67"/>
        <v>92215903</v>
      </c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>
        <v>5770277</v>
      </c>
      <c r="BO512" s="60"/>
      <c r="BP512" s="61">
        <v>97986180</v>
      </c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>
        <v>5770277</v>
      </c>
      <c r="CD512" s="61"/>
      <c r="CE512" s="61"/>
      <c r="CF512" s="61"/>
      <c r="CG512" s="61">
        <f t="shared" si="68"/>
        <v>103756457</v>
      </c>
      <c r="CH512" s="62">
        <f>VLOOKUP(B512,[1]RPTNCT049_ConsultaSaldosContabl!I$4:K$7987,3,0)</f>
        <v>40391939</v>
      </c>
      <c r="CI512" s="62">
        <f t="shared" si="69"/>
        <v>63364518</v>
      </c>
      <c r="CJ512" s="63">
        <f t="shared" si="70"/>
        <v>103756457</v>
      </c>
      <c r="CK512" s="64">
        <f t="shared" si="71"/>
        <v>0</v>
      </c>
      <c r="CL512" s="16"/>
      <c r="CM512" s="16"/>
      <c r="CN512" s="16"/>
    </row>
    <row r="513" spans="1:96" ht="15" customHeight="1" x14ac:dyDescent="0.2">
      <c r="A513" s="1">
        <v>8999997211</v>
      </c>
      <c r="B513" s="1">
        <v>899999721</v>
      </c>
      <c r="C513" s="9">
        <v>219825398</v>
      </c>
      <c r="D513" s="10" t="s">
        <v>507</v>
      </c>
      <c r="E513" s="52" t="s">
        <v>1532</v>
      </c>
      <c r="F513" s="21"/>
      <c r="G513" s="59"/>
      <c r="H513" s="21"/>
      <c r="I513" s="59"/>
      <c r="J513" s="21"/>
      <c r="K513" s="21"/>
      <c r="L513" s="59"/>
      <c r="M513" s="60"/>
      <c r="N513" s="21"/>
      <c r="O513" s="59"/>
      <c r="P513" s="21"/>
      <c r="Q513" s="59"/>
      <c r="R513" s="21"/>
      <c r="S513" s="21"/>
      <c r="T513" s="59"/>
      <c r="U513" s="60">
        <f t="shared" si="66"/>
        <v>0</v>
      </c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>
        <v>93901169</v>
      </c>
      <c r="AN513" s="60">
        <f>SUBTOTAL(9,AC513:AM513)</f>
        <v>93901169</v>
      </c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>
        <v>47500970</v>
      </c>
      <c r="AZ513" s="60"/>
      <c r="BA513" s="60"/>
      <c r="BB513" s="60"/>
      <c r="BC513" s="61">
        <f t="shared" si="67"/>
        <v>141402139</v>
      </c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>
        <v>9500194</v>
      </c>
      <c r="BO513" s="60"/>
      <c r="BP513" s="61">
        <v>150902333</v>
      </c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  <c r="CA513" s="61"/>
      <c r="CB513" s="61"/>
      <c r="CC513" s="61">
        <v>9500194</v>
      </c>
      <c r="CD513" s="61"/>
      <c r="CE513" s="61"/>
      <c r="CF513" s="61"/>
      <c r="CG513" s="61">
        <f t="shared" si="68"/>
        <v>160402527</v>
      </c>
      <c r="CH513" s="62">
        <f>VLOOKUP(B513,[1]RPTNCT049_ConsultaSaldosContabl!I$4:K$7987,3,0)</f>
        <v>66501358</v>
      </c>
      <c r="CI513" s="62">
        <f t="shared" si="69"/>
        <v>93901169</v>
      </c>
      <c r="CJ513" s="63">
        <f t="shared" si="70"/>
        <v>160402527</v>
      </c>
      <c r="CK513" s="64">
        <f t="shared" si="71"/>
        <v>0</v>
      </c>
      <c r="CL513" s="16"/>
      <c r="CM513" s="16"/>
      <c r="CN513" s="16"/>
    </row>
    <row r="514" spans="1:96" ht="15" customHeight="1" x14ac:dyDescent="0.2">
      <c r="A514" s="1">
        <v>8110090178</v>
      </c>
      <c r="B514" s="1">
        <v>811009017</v>
      </c>
      <c r="C514" s="9">
        <v>219005390</v>
      </c>
      <c r="D514" s="10" t="s">
        <v>103</v>
      </c>
      <c r="E514" s="52" t="s">
        <v>1134</v>
      </c>
      <c r="F514" s="21"/>
      <c r="G514" s="59"/>
      <c r="H514" s="21"/>
      <c r="I514" s="59"/>
      <c r="J514" s="21"/>
      <c r="K514" s="21"/>
      <c r="L514" s="59"/>
      <c r="M514" s="60"/>
      <c r="N514" s="21"/>
      <c r="O514" s="59"/>
      <c r="P514" s="21"/>
      <c r="Q514" s="59"/>
      <c r="R514" s="21"/>
      <c r="S514" s="21"/>
      <c r="T514" s="59"/>
      <c r="U514" s="60">
        <f t="shared" si="66"/>
        <v>0</v>
      </c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>
        <v>69229845</v>
      </c>
      <c r="AN514" s="60">
        <f>SUBTOTAL(9,AC514:AM514)</f>
        <v>69229845</v>
      </c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>
        <v>52840200</v>
      </c>
      <c r="AZ514" s="60"/>
      <c r="BA514" s="60">
        <f>VLOOKUP(B514,[2]Hoja3!J$3:K$674,2,0)</f>
        <v>33105453</v>
      </c>
      <c r="BB514" s="60"/>
      <c r="BC514" s="61">
        <f t="shared" si="67"/>
        <v>155175498</v>
      </c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>
        <v>10568040</v>
      </c>
      <c r="BO514" s="60"/>
      <c r="BP514" s="61">
        <v>165743538</v>
      </c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>
        <v>10568040</v>
      </c>
      <c r="CD514" s="61"/>
      <c r="CE514" s="61"/>
      <c r="CF514" s="61"/>
      <c r="CG514" s="61">
        <f t="shared" si="68"/>
        <v>176311578</v>
      </c>
      <c r="CH514" s="62">
        <f>VLOOKUP(B514,[1]RPTNCT049_ConsultaSaldosContabl!I$4:K$7987,3,0)</f>
        <v>73976280</v>
      </c>
      <c r="CI514" s="62">
        <f t="shared" si="69"/>
        <v>102335298</v>
      </c>
      <c r="CJ514" s="63">
        <f t="shared" si="70"/>
        <v>176311578</v>
      </c>
      <c r="CK514" s="64">
        <f t="shared" si="71"/>
        <v>0</v>
      </c>
      <c r="CL514" s="16"/>
      <c r="CM514" s="16"/>
      <c r="CN514" s="16"/>
    </row>
    <row r="515" spans="1:96" ht="15" customHeight="1" x14ac:dyDescent="0.2">
      <c r="A515" s="1">
        <v>8911801557</v>
      </c>
      <c r="B515" s="1">
        <v>891180155</v>
      </c>
      <c r="C515" s="9">
        <v>219641396</v>
      </c>
      <c r="D515" s="10" t="s">
        <v>609</v>
      </c>
      <c r="E515" s="52" t="s">
        <v>1628</v>
      </c>
      <c r="F515" s="21"/>
      <c r="G515" s="59"/>
      <c r="H515" s="21"/>
      <c r="I515" s="59"/>
      <c r="J515" s="21"/>
      <c r="K515" s="21"/>
      <c r="L515" s="59"/>
      <c r="M515" s="60"/>
      <c r="N515" s="21"/>
      <c r="O515" s="59"/>
      <c r="P515" s="21"/>
      <c r="Q515" s="59"/>
      <c r="R515" s="21"/>
      <c r="S515" s="21"/>
      <c r="T515" s="59"/>
      <c r="U515" s="60">
        <f t="shared" ref="U515:U578" si="74">SUM(M515:T515)</f>
        <v>0</v>
      </c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>
        <v>183730670</v>
      </c>
      <c r="AN515" s="60">
        <f>SUBTOTAL(9,AC515:AM515)</f>
        <v>183730670</v>
      </c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>
        <v>470966260</v>
      </c>
      <c r="AZ515" s="60"/>
      <c r="BA515" s="60">
        <f>VLOOKUP(B515,[2]Hoja3!J$3:K$674,2,0)</f>
        <v>787386918</v>
      </c>
      <c r="BB515" s="60"/>
      <c r="BC515" s="61">
        <f t="shared" si="67"/>
        <v>1442083848</v>
      </c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>
        <v>94193252</v>
      </c>
      <c r="BO515" s="60"/>
      <c r="BP515" s="61">
        <v>1536277100</v>
      </c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>
        <v>94193252</v>
      </c>
      <c r="CD515" s="61"/>
      <c r="CE515" s="61">
        <v>101984594</v>
      </c>
      <c r="CF515" s="61"/>
      <c r="CG515" s="61">
        <f t="shared" si="68"/>
        <v>1732454946</v>
      </c>
      <c r="CH515" s="62">
        <f>VLOOKUP(B515,[1]RPTNCT049_ConsultaSaldosContabl!I$4:K$7987,3,0)</f>
        <v>659352764</v>
      </c>
      <c r="CI515" s="62">
        <f t="shared" si="69"/>
        <v>1073102182</v>
      </c>
      <c r="CJ515" s="63">
        <f t="shared" si="70"/>
        <v>1732454946</v>
      </c>
      <c r="CK515" s="64">
        <f t="shared" si="71"/>
        <v>0</v>
      </c>
      <c r="CL515" s="16"/>
      <c r="CM515" s="16"/>
      <c r="CN515" s="16"/>
    </row>
    <row r="516" spans="1:96" ht="15" customHeight="1" x14ac:dyDescent="0.2">
      <c r="A516" s="1">
        <v>8000006818</v>
      </c>
      <c r="B516" s="1">
        <v>800000681</v>
      </c>
      <c r="C516" s="9">
        <v>219854398</v>
      </c>
      <c r="D516" s="10" t="s">
        <v>770</v>
      </c>
      <c r="E516" s="52" t="s">
        <v>1788</v>
      </c>
      <c r="F516" s="21"/>
      <c r="G516" s="59"/>
      <c r="H516" s="21"/>
      <c r="I516" s="59"/>
      <c r="J516" s="21"/>
      <c r="K516" s="21"/>
      <c r="L516" s="59"/>
      <c r="M516" s="60"/>
      <c r="N516" s="21"/>
      <c r="O516" s="59"/>
      <c r="P516" s="21"/>
      <c r="Q516" s="59"/>
      <c r="R516" s="21"/>
      <c r="S516" s="21"/>
      <c r="T516" s="59"/>
      <c r="U516" s="60">
        <f t="shared" si="74"/>
        <v>0</v>
      </c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>
        <v>41313717</v>
      </c>
      <c r="AN516" s="60">
        <f>SUBTOTAL(9,AC516:AM516)</f>
        <v>41313717</v>
      </c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>
        <f>VLOOKUP(B516,[2]Hoja3!J$3:K$674,2,0)</f>
        <v>46329865</v>
      </c>
      <c r="BB516" s="60"/>
      <c r="BC516" s="61">
        <f t="shared" ref="BC516:BC579" si="75">SUM(AN516:BA516)-BB516</f>
        <v>87643582</v>
      </c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>
        <v>0</v>
      </c>
      <c r="BO516" s="60"/>
      <c r="BP516" s="61">
        <v>87643582</v>
      </c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>
        <v>0</v>
      </c>
      <c r="CD516" s="61"/>
      <c r="CE516" s="61"/>
      <c r="CF516" s="61"/>
      <c r="CG516" s="61">
        <f t="shared" ref="CG516:CG579" si="76">SUM(BP516:CF516)</f>
        <v>87643582</v>
      </c>
      <c r="CH516" s="62"/>
      <c r="CI516" s="62">
        <f t="shared" ref="CI516:CI579" si="77">+AM516+BA516-BB516+BO516+CE516+CF516</f>
        <v>87643582</v>
      </c>
      <c r="CJ516" s="63">
        <f t="shared" ref="CJ516:CJ579" si="78">+CH516+CI516</f>
        <v>87643582</v>
      </c>
      <c r="CK516" s="64">
        <f t="shared" ref="CK516:CK579" si="79">+CG516-CJ516</f>
        <v>0</v>
      </c>
      <c r="CL516" s="16"/>
      <c r="CM516" s="16"/>
      <c r="CN516" s="16"/>
    </row>
    <row r="517" spans="1:96" ht="15" customHeight="1" x14ac:dyDescent="0.2">
      <c r="A517" s="1">
        <v>8001033088</v>
      </c>
      <c r="B517" s="1">
        <v>800103308</v>
      </c>
      <c r="C517" s="9">
        <v>212499524</v>
      </c>
      <c r="D517" s="10" t="s">
        <v>998</v>
      </c>
      <c r="E517" s="52" t="s">
        <v>2055</v>
      </c>
      <c r="F517" s="21"/>
      <c r="G517" s="59"/>
      <c r="H517" s="21"/>
      <c r="I517" s="59"/>
      <c r="J517" s="21"/>
      <c r="K517" s="21"/>
      <c r="L517" s="59"/>
      <c r="M517" s="60"/>
      <c r="N517" s="21"/>
      <c r="O517" s="59"/>
      <c r="P517" s="21"/>
      <c r="Q517" s="59"/>
      <c r="R517" s="21"/>
      <c r="S517" s="21"/>
      <c r="T517" s="59"/>
      <c r="U517" s="60">
        <f t="shared" si="74"/>
        <v>0</v>
      </c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>
        <f>VLOOKUP(B517,[2]Hoja3!J$3:K$674,2,0)</f>
        <v>180494443</v>
      </c>
      <c r="BB517" s="60"/>
      <c r="BC517" s="61">
        <f t="shared" si="75"/>
        <v>180494443</v>
      </c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>
        <v>0</v>
      </c>
      <c r="BO517" s="60"/>
      <c r="BP517" s="61">
        <v>180494443</v>
      </c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>
        <v>0</v>
      </c>
      <c r="CD517" s="61"/>
      <c r="CE517" s="61"/>
      <c r="CF517" s="61"/>
      <c r="CG517" s="61">
        <f t="shared" si="76"/>
        <v>180494443</v>
      </c>
      <c r="CH517" s="62"/>
      <c r="CI517" s="62">
        <f t="shared" si="77"/>
        <v>180494443</v>
      </c>
      <c r="CJ517" s="63">
        <f t="shared" si="78"/>
        <v>180494443</v>
      </c>
      <c r="CK517" s="64">
        <f t="shared" si="79"/>
        <v>0</v>
      </c>
      <c r="CL517" s="16"/>
      <c r="CM517" s="16"/>
      <c r="CN517" s="16"/>
    </row>
    <row r="518" spans="1:96" ht="15" customHeight="1" x14ac:dyDescent="0.2">
      <c r="A518" s="1">
        <v>8001036573</v>
      </c>
      <c r="B518" s="1">
        <v>800103657</v>
      </c>
      <c r="C518" s="9">
        <v>213685136</v>
      </c>
      <c r="D518" s="10" t="s">
        <v>959</v>
      </c>
      <c r="E518" s="52" t="s">
        <v>2019</v>
      </c>
      <c r="F518" s="21"/>
      <c r="G518" s="59"/>
      <c r="H518" s="21"/>
      <c r="I518" s="59"/>
      <c r="J518" s="21"/>
      <c r="K518" s="21"/>
      <c r="L518" s="59"/>
      <c r="M518" s="60"/>
      <c r="N518" s="21"/>
      <c r="O518" s="59"/>
      <c r="P518" s="21"/>
      <c r="Q518" s="59"/>
      <c r="R518" s="21"/>
      <c r="S518" s="21"/>
      <c r="T518" s="59"/>
      <c r="U518" s="60">
        <f t="shared" si="74"/>
        <v>0</v>
      </c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>
        <v>22018404</v>
      </c>
      <c r="AN518" s="60">
        <f>SUBTOTAL(9,AC518:AM518)</f>
        <v>22018404</v>
      </c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>
        <v>12790735</v>
      </c>
      <c r="AZ518" s="60"/>
      <c r="BA518" s="60"/>
      <c r="BB518" s="60"/>
      <c r="BC518" s="61">
        <f t="shared" si="75"/>
        <v>34809139</v>
      </c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>
        <v>2558147</v>
      </c>
      <c r="BO518" s="60"/>
      <c r="BP518" s="61">
        <v>37367286</v>
      </c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>
        <v>2558147</v>
      </c>
      <c r="CD518" s="61"/>
      <c r="CE518" s="61"/>
      <c r="CF518" s="61"/>
      <c r="CG518" s="61">
        <f t="shared" si="76"/>
        <v>39925433</v>
      </c>
      <c r="CH518" s="62">
        <f>VLOOKUP(B518,[1]RPTNCT049_ConsultaSaldosContabl!I$4:K$7987,3,0)</f>
        <v>17907029</v>
      </c>
      <c r="CI518" s="62">
        <f t="shared" si="77"/>
        <v>22018404</v>
      </c>
      <c r="CJ518" s="63">
        <f t="shared" si="78"/>
        <v>39925433</v>
      </c>
      <c r="CK518" s="64">
        <f t="shared" si="79"/>
        <v>0</v>
      </c>
      <c r="CL518" s="16"/>
      <c r="CM518" s="16"/>
      <c r="CN518" s="16"/>
    </row>
    <row r="519" spans="1:96" ht="15" customHeight="1" x14ac:dyDescent="0.2">
      <c r="A519" s="1">
        <v>8915021693</v>
      </c>
      <c r="B519" s="1">
        <v>891502169</v>
      </c>
      <c r="C519" s="9">
        <v>219219392</v>
      </c>
      <c r="D519" s="10" t="s">
        <v>388</v>
      </c>
      <c r="E519" s="52" t="s">
        <v>1418</v>
      </c>
      <c r="F519" s="21"/>
      <c r="G519" s="59"/>
      <c r="H519" s="21"/>
      <c r="I519" s="59"/>
      <c r="J519" s="21"/>
      <c r="K519" s="21"/>
      <c r="L519" s="59"/>
      <c r="M519" s="60"/>
      <c r="N519" s="21"/>
      <c r="O519" s="59"/>
      <c r="P519" s="21"/>
      <c r="Q519" s="59"/>
      <c r="R519" s="21"/>
      <c r="S519" s="21"/>
      <c r="T519" s="59"/>
      <c r="U519" s="60">
        <f t="shared" si="74"/>
        <v>0</v>
      </c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>
        <v>31338136</v>
      </c>
      <c r="AN519" s="60">
        <f>SUBTOTAL(9,AC519:AM519)</f>
        <v>31338136</v>
      </c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>
        <f>VLOOKUP(B519,[2]Hoja3!J$3:K$674,2,0)</f>
        <v>89551340</v>
      </c>
      <c r="BB519" s="60"/>
      <c r="BC519" s="61">
        <f t="shared" si="75"/>
        <v>120889476</v>
      </c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>
        <v>0</v>
      </c>
      <c r="BO519" s="60"/>
      <c r="BP519" s="61">
        <v>120889476</v>
      </c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>
        <v>0</v>
      </c>
      <c r="CD519" s="61"/>
      <c r="CE519" s="61"/>
      <c r="CF519" s="61"/>
      <c r="CG519" s="61">
        <f t="shared" si="76"/>
        <v>120889476</v>
      </c>
      <c r="CH519" s="62"/>
      <c r="CI519" s="62">
        <f t="shared" si="77"/>
        <v>120889476</v>
      </c>
      <c r="CJ519" s="63">
        <f t="shared" si="78"/>
        <v>120889476</v>
      </c>
      <c r="CK519" s="64">
        <f t="shared" si="79"/>
        <v>0</v>
      </c>
      <c r="CL519" s="16"/>
      <c r="CM519" s="16"/>
      <c r="CN519" s="16"/>
    </row>
    <row r="520" spans="1:96" ht="15" customHeight="1" x14ac:dyDescent="0.2">
      <c r="A520" s="1">
        <v>8900005641</v>
      </c>
      <c r="B520" s="1">
        <v>890000564</v>
      </c>
      <c r="C520" s="9">
        <v>210163401</v>
      </c>
      <c r="D520" s="10" t="s">
        <v>795</v>
      </c>
      <c r="E520" s="52" t="s">
        <v>1812</v>
      </c>
      <c r="F520" s="21"/>
      <c r="G520" s="59"/>
      <c r="H520" s="21"/>
      <c r="I520" s="59"/>
      <c r="J520" s="21"/>
      <c r="K520" s="21"/>
      <c r="L520" s="59"/>
      <c r="M520" s="60"/>
      <c r="N520" s="21"/>
      <c r="O520" s="59"/>
      <c r="P520" s="21"/>
      <c r="Q520" s="59"/>
      <c r="R520" s="21"/>
      <c r="S520" s="21"/>
      <c r="T520" s="59"/>
      <c r="U520" s="60">
        <f t="shared" si="74"/>
        <v>0</v>
      </c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>
        <v>344684072</v>
      </c>
      <c r="AN520" s="60">
        <f>SUBTOTAL(9,AC520:AM520)</f>
        <v>344684072</v>
      </c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>
        <v>238580900</v>
      </c>
      <c r="AZ520" s="60"/>
      <c r="BA520" s="60">
        <f>VLOOKUP(B520,[2]Hoja3!J$3:K$674,2,0)</f>
        <v>118467833</v>
      </c>
      <c r="BB520" s="60"/>
      <c r="BC520" s="61">
        <f t="shared" si="75"/>
        <v>701732805</v>
      </c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>
        <v>47716180</v>
      </c>
      <c r="BO520" s="60"/>
      <c r="BP520" s="61">
        <v>749448985</v>
      </c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>
        <v>47716180</v>
      </c>
      <c r="CD520" s="61"/>
      <c r="CE520" s="61"/>
      <c r="CF520" s="61"/>
      <c r="CG520" s="61">
        <f t="shared" si="76"/>
        <v>797165165</v>
      </c>
      <c r="CH520" s="62">
        <f>VLOOKUP(B520,[1]RPTNCT049_ConsultaSaldosContabl!I$4:K$7987,3,0)</f>
        <v>334013260</v>
      </c>
      <c r="CI520" s="62">
        <f t="shared" si="77"/>
        <v>463151905</v>
      </c>
      <c r="CJ520" s="63">
        <f t="shared" si="78"/>
        <v>797165165</v>
      </c>
      <c r="CK520" s="64">
        <f t="shared" si="79"/>
        <v>0</v>
      </c>
      <c r="CL520" s="16"/>
      <c r="CM520" s="16"/>
      <c r="CN520" s="16"/>
    </row>
    <row r="521" spans="1:96" ht="15" customHeight="1" x14ac:dyDescent="0.2">
      <c r="A521" s="1">
        <v>8002225020</v>
      </c>
      <c r="B521" s="1">
        <v>800222502</v>
      </c>
      <c r="C521" s="9">
        <v>219052390</v>
      </c>
      <c r="D521" s="10" t="s">
        <v>720</v>
      </c>
      <c r="E521" s="52" t="s">
        <v>1742</v>
      </c>
      <c r="F521" s="21"/>
      <c r="G521" s="59"/>
      <c r="H521" s="21"/>
      <c r="I521" s="59"/>
      <c r="J521" s="21"/>
      <c r="K521" s="21"/>
      <c r="L521" s="59"/>
      <c r="M521" s="60"/>
      <c r="N521" s="21"/>
      <c r="O521" s="59"/>
      <c r="P521" s="21"/>
      <c r="Q521" s="59"/>
      <c r="R521" s="21"/>
      <c r="S521" s="21"/>
      <c r="T521" s="59"/>
      <c r="U521" s="60">
        <f t="shared" si="74"/>
        <v>0</v>
      </c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>
        <f>VLOOKUP(B521,[2]Hoja3!J$3:K$674,2,0)</f>
        <v>161318029</v>
      </c>
      <c r="BB521" s="60"/>
      <c r="BC521" s="61">
        <f t="shared" si="75"/>
        <v>161318029</v>
      </c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>
        <v>0</v>
      </c>
      <c r="BO521" s="60"/>
      <c r="BP521" s="61">
        <v>161318029</v>
      </c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>
        <v>197872871</v>
      </c>
      <c r="CD521" s="61"/>
      <c r="CE521" s="61"/>
      <c r="CF521" s="61"/>
      <c r="CG521" s="61">
        <f t="shared" si="76"/>
        <v>359190900</v>
      </c>
      <c r="CH521" s="62">
        <f>VLOOKUP(B521,[1]RPTNCT049_ConsultaSaldosContabl!I$4:K$7987,3,0)</f>
        <v>197872871</v>
      </c>
      <c r="CI521" s="62">
        <f t="shared" si="77"/>
        <v>161318029</v>
      </c>
      <c r="CJ521" s="63">
        <f t="shared" si="78"/>
        <v>359190900</v>
      </c>
      <c r="CK521" s="64">
        <f t="shared" si="79"/>
        <v>0</v>
      </c>
      <c r="CL521" s="16"/>
      <c r="CM521" s="16"/>
      <c r="CN521" s="16"/>
    </row>
    <row r="522" spans="1:96" ht="15" customHeight="1" x14ac:dyDescent="0.2">
      <c r="A522" s="1">
        <v>8909819950</v>
      </c>
      <c r="B522" s="1">
        <v>890981995</v>
      </c>
      <c r="C522" s="9">
        <v>210005400</v>
      </c>
      <c r="D522" s="10" t="s">
        <v>104</v>
      </c>
      <c r="E522" s="52" t="s">
        <v>1135</v>
      </c>
      <c r="F522" s="21"/>
      <c r="G522" s="59"/>
      <c r="H522" s="21"/>
      <c r="I522" s="59"/>
      <c r="J522" s="21"/>
      <c r="K522" s="21"/>
      <c r="L522" s="59"/>
      <c r="M522" s="60"/>
      <c r="N522" s="21"/>
      <c r="O522" s="59"/>
      <c r="P522" s="21"/>
      <c r="Q522" s="59"/>
      <c r="R522" s="21"/>
      <c r="S522" s="21"/>
      <c r="T522" s="59"/>
      <c r="U522" s="60">
        <f t="shared" si="74"/>
        <v>0</v>
      </c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>
        <v>277733708</v>
      </c>
      <c r="AN522" s="60">
        <f>SUBTOTAL(9,AC522:AM522)</f>
        <v>277733708</v>
      </c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1">
        <f t="shared" si="75"/>
        <v>277733708</v>
      </c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>
        <v>20397657</v>
      </c>
      <c r="BO522" s="60"/>
      <c r="BP522" s="61">
        <v>298131365</v>
      </c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>
        <v>20397657</v>
      </c>
      <c r="CD522" s="61">
        <v>101988285</v>
      </c>
      <c r="CE522" s="61"/>
      <c r="CF522" s="61"/>
      <c r="CG522" s="61">
        <f t="shared" si="76"/>
        <v>420517307</v>
      </c>
      <c r="CH522" s="62">
        <f>VLOOKUP(B522,[1]RPTNCT049_ConsultaSaldosContabl!I$4:K$7987,3,0)</f>
        <v>142783599</v>
      </c>
      <c r="CI522" s="62">
        <f t="shared" si="77"/>
        <v>277733708</v>
      </c>
      <c r="CJ522" s="63">
        <f t="shared" si="78"/>
        <v>420517307</v>
      </c>
      <c r="CK522" s="64">
        <f t="shared" si="79"/>
        <v>0</v>
      </c>
      <c r="CL522" s="16"/>
      <c r="CM522" s="16"/>
      <c r="CN522" s="16"/>
    </row>
    <row r="523" spans="1:96" ht="15" customHeight="1" x14ac:dyDescent="0.2">
      <c r="A523" s="1">
        <v>8000991020</v>
      </c>
      <c r="B523" s="1">
        <v>800099102</v>
      </c>
      <c r="C523" s="9">
        <v>219952399</v>
      </c>
      <c r="D523" s="10" t="s">
        <v>721</v>
      </c>
      <c r="E523" s="52" t="s">
        <v>1743</v>
      </c>
      <c r="F523" s="21"/>
      <c r="G523" s="59"/>
      <c r="H523" s="21"/>
      <c r="I523" s="59"/>
      <c r="J523" s="21"/>
      <c r="K523" s="21"/>
      <c r="L523" s="59"/>
      <c r="M523" s="60"/>
      <c r="N523" s="21"/>
      <c r="O523" s="59"/>
      <c r="P523" s="21"/>
      <c r="Q523" s="59"/>
      <c r="R523" s="21"/>
      <c r="S523" s="21"/>
      <c r="T523" s="59"/>
      <c r="U523" s="60">
        <f t="shared" si="74"/>
        <v>0</v>
      </c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>
        <v>219463222</v>
      </c>
      <c r="AN523" s="60">
        <f>SUBTOTAL(9,AC523:AM523)</f>
        <v>219463222</v>
      </c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>
        <f>VLOOKUP(B523,[2]Hoja3!J$3:K$674,2,0)</f>
        <v>186010858</v>
      </c>
      <c r="BB523" s="60"/>
      <c r="BC523" s="61">
        <f t="shared" si="75"/>
        <v>405474080</v>
      </c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>
        <v>33789800</v>
      </c>
      <c r="BO523" s="60"/>
      <c r="BP523" s="61">
        <v>439263880</v>
      </c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>
        <v>33789800</v>
      </c>
      <c r="CD523" s="61">
        <v>168949000</v>
      </c>
      <c r="CE523" s="61"/>
      <c r="CF523" s="61"/>
      <c r="CG523" s="61">
        <f t="shared" si="76"/>
        <v>642002680</v>
      </c>
      <c r="CH523" s="62">
        <f>VLOOKUP(B523,[1]RPTNCT049_ConsultaSaldosContabl!I$4:K$7987,3,0)</f>
        <v>236528600</v>
      </c>
      <c r="CI523" s="62">
        <f t="shared" si="77"/>
        <v>405474080</v>
      </c>
      <c r="CJ523" s="63">
        <f t="shared" si="78"/>
        <v>642002680</v>
      </c>
      <c r="CK523" s="64">
        <f t="shared" si="79"/>
        <v>0</v>
      </c>
      <c r="CL523" s="16"/>
      <c r="CM523" s="16"/>
      <c r="CN523" s="16"/>
    </row>
    <row r="524" spans="1:96" ht="15" customHeight="1" x14ac:dyDescent="0.2">
      <c r="A524" s="1">
        <v>8000503319</v>
      </c>
      <c r="B524" s="1">
        <v>800050331</v>
      </c>
      <c r="C524" s="9">
        <v>210070400</v>
      </c>
      <c r="D524" s="10" t="s">
        <v>899</v>
      </c>
      <c r="E524" s="52" t="s">
        <v>1912</v>
      </c>
      <c r="F524" s="21"/>
      <c r="G524" s="59"/>
      <c r="H524" s="21"/>
      <c r="I524" s="59"/>
      <c r="J524" s="21"/>
      <c r="K524" s="21"/>
      <c r="L524" s="59"/>
      <c r="M524" s="60"/>
      <c r="N524" s="21"/>
      <c r="O524" s="59"/>
      <c r="P524" s="21"/>
      <c r="Q524" s="59"/>
      <c r="R524" s="21"/>
      <c r="S524" s="21"/>
      <c r="T524" s="59"/>
      <c r="U524" s="60">
        <f t="shared" si="74"/>
        <v>0</v>
      </c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>
        <f>VLOOKUP(B524,[2]Hoja3!J$3:K$674,2,0)</f>
        <v>233065584</v>
      </c>
      <c r="BB524" s="60"/>
      <c r="BC524" s="61">
        <f t="shared" si="75"/>
        <v>233065584</v>
      </c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>
        <v>0</v>
      </c>
      <c r="BO524" s="60"/>
      <c r="BP524" s="61">
        <v>233065584</v>
      </c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>
        <v>0</v>
      </c>
      <c r="CD524" s="61"/>
      <c r="CE524" s="61"/>
      <c r="CF524" s="61"/>
      <c r="CG524" s="61">
        <f t="shared" si="76"/>
        <v>233065584</v>
      </c>
      <c r="CH524" s="62"/>
      <c r="CI524" s="62">
        <f t="shared" si="77"/>
        <v>233065584</v>
      </c>
      <c r="CJ524" s="63">
        <f t="shared" si="78"/>
        <v>233065584</v>
      </c>
      <c r="CK524" s="64">
        <f t="shared" si="79"/>
        <v>0</v>
      </c>
      <c r="CL524" s="16"/>
      <c r="CM524" s="16"/>
      <c r="CN524" s="16"/>
    </row>
    <row r="525" spans="1:96" ht="15" customHeight="1" x14ac:dyDescent="0.2">
      <c r="A525" s="1">
        <v>8919011093</v>
      </c>
      <c r="B525" s="1">
        <v>891901109</v>
      </c>
      <c r="C525" s="9">
        <v>210076400</v>
      </c>
      <c r="D525" s="10" t="s">
        <v>931</v>
      </c>
      <c r="E525" s="52" t="s">
        <v>1991</v>
      </c>
      <c r="F525" s="21"/>
      <c r="G525" s="59"/>
      <c r="H525" s="21"/>
      <c r="I525" s="59"/>
      <c r="J525" s="21"/>
      <c r="K525" s="21"/>
      <c r="L525" s="59"/>
      <c r="M525" s="60"/>
      <c r="N525" s="21"/>
      <c r="O525" s="59"/>
      <c r="P525" s="21"/>
      <c r="Q525" s="59"/>
      <c r="R525" s="21"/>
      <c r="S525" s="21"/>
      <c r="T525" s="59"/>
      <c r="U525" s="60">
        <f t="shared" si="74"/>
        <v>0</v>
      </c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>
        <v>421175000</v>
      </c>
      <c r="AN525" s="60">
        <f>SUBTOTAL(9,AC525:AM525)</f>
        <v>421175000</v>
      </c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>
        <v>200281070</v>
      </c>
      <c r="AZ525" s="60"/>
      <c r="BA525" s="60"/>
      <c r="BB525" s="60"/>
      <c r="BC525" s="61">
        <f t="shared" si="75"/>
        <v>621456070</v>
      </c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>
        <v>40056214</v>
      </c>
      <c r="BO525" s="60"/>
      <c r="BP525" s="61">
        <v>661512284</v>
      </c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>
        <v>40056214</v>
      </c>
      <c r="CD525" s="61"/>
      <c r="CE525" s="61"/>
      <c r="CF525" s="61"/>
      <c r="CG525" s="61">
        <f t="shared" si="76"/>
        <v>701568498</v>
      </c>
      <c r="CH525" s="62">
        <f>VLOOKUP(B525,[1]RPTNCT049_ConsultaSaldosContabl!I$4:K$7987,3,0)</f>
        <v>280393498</v>
      </c>
      <c r="CI525" s="62">
        <f t="shared" si="77"/>
        <v>421175000</v>
      </c>
      <c r="CJ525" s="63">
        <f t="shared" si="78"/>
        <v>701568498</v>
      </c>
      <c r="CK525" s="64">
        <f t="shared" si="79"/>
        <v>0</v>
      </c>
      <c r="CL525" s="16"/>
      <c r="CM525" s="16"/>
      <c r="CN525" s="16"/>
    </row>
    <row r="526" spans="1:96" ht="15" customHeight="1" x14ac:dyDescent="0.2">
      <c r="A526" s="1">
        <v>8001284281</v>
      </c>
      <c r="B526" s="1">
        <v>800128428</v>
      </c>
      <c r="C526" s="9">
        <v>217050370</v>
      </c>
      <c r="D526" s="10" t="s">
        <v>680</v>
      </c>
      <c r="E526" s="52" t="s">
        <v>1701</v>
      </c>
      <c r="F526" s="21"/>
      <c r="G526" s="59"/>
      <c r="H526" s="21"/>
      <c r="I526" s="59"/>
      <c r="J526" s="21"/>
      <c r="K526" s="21"/>
      <c r="L526" s="59"/>
      <c r="M526" s="60"/>
      <c r="N526" s="21"/>
      <c r="O526" s="59"/>
      <c r="P526" s="21"/>
      <c r="Q526" s="59"/>
      <c r="R526" s="21"/>
      <c r="S526" s="21"/>
      <c r="T526" s="59"/>
      <c r="U526" s="60">
        <f t="shared" si="74"/>
        <v>0</v>
      </c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>
        <v>58493713</v>
      </c>
      <c r="AN526" s="60">
        <f>SUBTOTAL(9,AC526:AM526)</f>
        <v>58493713</v>
      </c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>
        <v>81841095</v>
      </c>
      <c r="AZ526" s="60"/>
      <c r="BA526" s="60"/>
      <c r="BB526" s="60"/>
      <c r="BC526" s="61">
        <f t="shared" si="75"/>
        <v>140334808</v>
      </c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>
        <v>16368219</v>
      </c>
      <c r="BO526" s="60"/>
      <c r="BP526" s="61">
        <v>156703027</v>
      </c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>
        <v>16368219</v>
      </c>
      <c r="CD526" s="61"/>
      <c r="CE526" s="61"/>
      <c r="CF526" s="61"/>
      <c r="CG526" s="61">
        <f t="shared" si="76"/>
        <v>173071246</v>
      </c>
      <c r="CH526" s="62">
        <f>VLOOKUP(B526,[1]RPTNCT049_ConsultaSaldosContabl!I$4:K$7987,3,0)</f>
        <v>114577533</v>
      </c>
      <c r="CI526" s="62">
        <f t="shared" si="77"/>
        <v>58493713</v>
      </c>
      <c r="CJ526" s="63">
        <f t="shared" si="78"/>
        <v>173071246</v>
      </c>
      <c r="CK526" s="64">
        <f t="shared" si="79"/>
        <v>0</v>
      </c>
      <c r="CL526" s="16"/>
      <c r="CM526" s="16"/>
      <c r="CN526" s="16"/>
    </row>
    <row r="527" spans="1:96" ht="15" customHeight="1" x14ac:dyDescent="0.2">
      <c r="A527" s="1">
        <v>8918562572</v>
      </c>
      <c r="B527" s="1">
        <v>891856257</v>
      </c>
      <c r="C527" s="9">
        <v>210315403</v>
      </c>
      <c r="D527" s="10" t="s">
        <v>264</v>
      </c>
      <c r="E527" s="52" t="s">
        <v>1298</v>
      </c>
      <c r="F527" s="21"/>
      <c r="G527" s="59"/>
      <c r="H527" s="21"/>
      <c r="I527" s="59"/>
      <c r="J527" s="21"/>
      <c r="K527" s="21"/>
      <c r="L527" s="59"/>
      <c r="M527" s="60"/>
      <c r="N527" s="21"/>
      <c r="O527" s="59"/>
      <c r="P527" s="21"/>
      <c r="Q527" s="59"/>
      <c r="R527" s="21"/>
      <c r="S527" s="21"/>
      <c r="T527" s="59"/>
      <c r="U527" s="60">
        <f t="shared" si="74"/>
        <v>0</v>
      </c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>
        <v>23300025</v>
      </c>
      <c r="AZ527" s="60"/>
      <c r="BA527" s="60">
        <f>VLOOKUP(B527,[2]Hoja3!J$3:K$674,2,0)</f>
        <v>40950047</v>
      </c>
      <c r="BB527" s="60"/>
      <c r="BC527" s="61">
        <f t="shared" si="75"/>
        <v>64250072</v>
      </c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>
        <v>4660005</v>
      </c>
      <c r="BO527" s="60"/>
      <c r="BP527" s="61">
        <v>68910077</v>
      </c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>
        <v>4660005</v>
      </c>
      <c r="CD527" s="61"/>
      <c r="CE527" s="61"/>
      <c r="CF527" s="61"/>
      <c r="CG527" s="61">
        <f t="shared" si="76"/>
        <v>73570082</v>
      </c>
      <c r="CH527" s="62">
        <f>VLOOKUP(B527,[1]RPTNCT049_ConsultaSaldosContabl!I$4:K$7987,3,0)</f>
        <v>32620035</v>
      </c>
      <c r="CI527" s="62">
        <f t="shared" si="77"/>
        <v>40950047</v>
      </c>
      <c r="CJ527" s="63">
        <f t="shared" si="78"/>
        <v>73570082</v>
      </c>
      <c r="CK527" s="64">
        <f t="shared" si="79"/>
        <v>0</v>
      </c>
      <c r="CL527" s="16"/>
      <c r="CM527" s="8"/>
      <c r="CN527" s="8"/>
      <c r="CO527" s="8"/>
      <c r="CP527" s="8"/>
      <c r="CQ527" s="8"/>
      <c r="CR527" s="8"/>
    </row>
    <row r="528" spans="1:96" ht="15" customHeight="1" x14ac:dyDescent="0.2">
      <c r="A528" s="1">
        <v>8915009976</v>
      </c>
      <c r="B528" s="1">
        <v>891500997</v>
      </c>
      <c r="C528" s="9">
        <v>219719397</v>
      </c>
      <c r="D528" s="10" t="s">
        <v>389</v>
      </c>
      <c r="E528" s="57" t="s">
        <v>2262</v>
      </c>
      <c r="F528" s="21"/>
      <c r="G528" s="59"/>
      <c r="H528" s="21"/>
      <c r="I528" s="59"/>
      <c r="J528" s="21"/>
      <c r="K528" s="21"/>
      <c r="L528" s="59"/>
      <c r="M528" s="60"/>
      <c r="N528" s="21"/>
      <c r="O528" s="59"/>
      <c r="P528" s="21"/>
      <c r="Q528" s="59"/>
      <c r="R528" s="21"/>
      <c r="S528" s="21"/>
      <c r="T528" s="59"/>
      <c r="U528" s="60">
        <f t="shared" si="74"/>
        <v>0</v>
      </c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>
        <f>VLOOKUP(B528,[2]Hoja3!J$3:K$674,2,0)</f>
        <v>198836848</v>
      </c>
      <c r="BB528" s="60"/>
      <c r="BC528" s="61">
        <f t="shared" si="75"/>
        <v>198836848</v>
      </c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>
        <v>0</v>
      </c>
      <c r="BO528" s="60"/>
      <c r="BP528" s="61">
        <v>198836848</v>
      </c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>
        <v>0</v>
      </c>
      <c r="CD528" s="61"/>
      <c r="CE528" s="61"/>
      <c r="CF528" s="61"/>
      <c r="CG528" s="61">
        <f t="shared" si="76"/>
        <v>198836848</v>
      </c>
      <c r="CH528" s="62"/>
      <c r="CI528" s="62">
        <f t="shared" si="77"/>
        <v>198836848</v>
      </c>
      <c r="CJ528" s="63">
        <f t="shared" si="78"/>
        <v>198836848</v>
      </c>
      <c r="CK528" s="64">
        <f t="shared" si="79"/>
        <v>0</v>
      </c>
      <c r="CL528" s="16"/>
      <c r="CM528" s="16"/>
      <c r="CN528" s="16"/>
    </row>
    <row r="529" spans="1:96" ht="15" customHeight="1" x14ac:dyDescent="0.2">
      <c r="A529" s="1">
        <v>8000734751</v>
      </c>
      <c r="B529" s="1">
        <v>800073475</v>
      </c>
      <c r="C529" s="9">
        <v>210225402</v>
      </c>
      <c r="D529" s="10" t="s">
        <v>508</v>
      </c>
      <c r="E529" s="52" t="s">
        <v>1533</v>
      </c>
      <c r="F529" s="21"/>
      <c r="G529" s="59"/>
      <c r="H529" s="21"/>
      <c r="I529" s="59"/>
      <c r="J529" s="21"/>
      <c r="K529" s="21"/>
      <c r="L529" s="59"/>
      <c r="M529" s="60"/>
      <c r="N529" s="21"/>
      <c r="O529" s="59"/>
      <c r="P529" s="21"/>
      <c r="Q529" s="59"/>
      <c r="R529" s="21"/>
      <c r="S529" s="21"/>
      <c r="T529" s="59"/>
      <c r="U529" s="60">
        <f t="shared" si="74"/>
        <v>0</v>
      </c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>
        <v>235285967</v>
      </c>
      <c r="AN529" s="60">
        <f>SUBTOTAL(9,AC529:AM529)</f>
        <v>235285967</v>
      </c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1">
        <f t="shared" si="75"/>
        <v>235285967</v>
      </c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>
        <v>0</v>
      </c>
      <c r="BO529" s="60"/>
      <c r="BP529" s="61">
        <v>235285967</v>
      </c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>
        <v>0</v>
      </c>
      <c r="CD529" s="61"/>
      <c r="CE529" s="61"/>
      <c r="CF529" s="61"/>
      <c r="CG529" s="61">
        <f t="shared" si="76"/>
        <v>235285967</v>
      </c>
      <c r="CH529" s="62"/>
      <c r="CI529" s="62">
        <f t="shared" si="77"/>
        <v>235285967</v>
      </c>
      <c r="CJ529" s="63">
        <f t="shared" si="78"/>
        <v>235285967</v>
      </c>
      <c r="CK529" s="64">
        <f t="shared" si="79"/>
        <v>0</v>
      </c>
      <c r="CL529" s="16"/>
      <c r="CM529" s="16"/>
      <c r="CN529" s="16"/>
    </row>
    <row r="530" spans="1:96" ht="15" customHeight="1" x14ac:dyDescent="0.2">
      <c r="A530" s="1">
        <v>8000065412</v>
      </c>
      <c r="B530" s="1">
        <v>800006541</v>
      </c>
      <c r="C530" s="9">
        <v>210115401</v>
      </c>
      <c r="D530" s="10" t="s">
        <v>263</v>
      </c>
      <c r="E530" s="52" t="s">
        <v>1297</v>
      </c>
      <c r="F530" s="21"/>
      <c r="G530" s="59"/>
      <c r="H530" s="21"/>
      <c r="I530" s="59"/>
      <c r="J530" s="21"/>
      <c r="K530" s="21"/>
      <c r="L530" s="59"/>
      <c r="M530" s="60"/>
      <c r="N530" s="21"/>
      <c r="O530" s="59"/>
      <c r="P530" s="21"/>
      <c r="Q530" s="59"/>
      <c r="R530" s="21"/>
      <c r="S530" s="21"/>
      <c r="T530" s="59"/>
      <c r="U530" s="60">
        <f t="shared" si="74"/>
        <v>0</v>
      </c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>
        <v>10518050</v>
      </c>
      <c r="AZ530" s="60"/>
      <c r="BA530" s="60">
        <f>VLOOKUP(B530,[2]Hoja3!J$3:K$674,2,0)</f>
        <v>16239937</v>
      </c>
      <c r="BB530" s="60"/>
      <c r="BC530" s="61">
        <f t="shared" si="75"/>
        <v>26757987</v>
      </c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>
        <v>2103610</v>
      </c>
      <c r="BO530" s="60"/>
      <c r="BP530" s="61">
        <v>28861597</v>
      </c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>
        <v>2103610</v>
      </c>
      <c r="CD530" s="61"/>
      <c r="CE530" s="61"/>
      <c r="CF530" s="61"/>
      <c r="CG530" s="61">
        <f t="shared" si="76"/>
        <v>30965207</v>
      </c>
      <c r="CH530" s="62">
        <f>VLOOKUP(B530,[1]RPTNCT049_ConsultaSaldosContabl!I$4:K$7987,3,0)</f>
        <v>14725270</v>
      </c>
      <c r="CI530" s="62">
        <f t="shared" si="77"/>
        <v>16239937</v>
      </c>
      <c r="CJ530" s="63">
        <f t="shared" si="78"/>
        <v>30965207</v>
      </c>
      <c r="CK530" s="64">
        <f t="shared" si="79"/>
        <v>0</v>
      </c>
      <c r="CL530" s="16"/>
      <c r="CM530" s="16"/>
      <c r="CN530" s="16"/>
    </row>
    <row r="531" spans="1:96" ht="15" customHeight="1" x14ac:dyDescent="0.2">
      <c r="A531" s="1">
        <v>8001005249</v>
      </c>
      <c r="B531" s="1">
        <v>800100524</v>
      </c>
      <c r="C531" s="9">
        <v>210376403</v>
      </c>
      <c r="D531" s="10" t="s">
        <v>932</v>
      </c>
      <c r="E531" s="52" t="s">
        <v>1992</v>
      </c>
      <c r="F531" s="21"/>
      <c r="G531" s="59"/>
      <c r="H531" s="21"/>
      <c r="I531" s="59"/>
      <c r="J531" s="21"/>
      <c r="K531" s="21"/>
      <c r="L531" s="59"/>
      <c r="M531" s="60"/>
      <c r="N531" s="21"/>
      <c r="O531" s="59"/>
      <c r="P531" s="21"/>
      <c r="Q531" s="59"/>
      <c r="R531" s="21"/>
      <c r="S531" s="21"/>
      <c r="T531" s="59"/>
      <c r="U531" s="60">
        <f t="shared" si="74"/>
        <v>0</v>
      </c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>
        <v>169945868</v>
      </c>
      <c r="AN531" s="60">
        <f>SUBTOTAL(9,AC531:AM531)</f>
        <v>169945868</v>
      </c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>
        <v>97572235</v>
      </c>
      <c r="AZ531" s="60"/>
      <c r="BA531" s="60"/>
      <c r="BB531" s="60"/>
      <c r="BC531" s="61">
        <f t="shared" si="75"/>
        <v>267518103</v>
      </c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>
        <v>19514447</v>
      </c>
      <c r="BO531" s="60"/>
      <c r="BP531" s="61">
        <v>287032550</v>
      </c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>
        <v>19514447</v>
      </c>
      <c r="CD531" s="61"/>
      <c r="CE531" s="61"/>
      <c r="CF531" s="61"/>
      <c r="CG531" s="61">
        <f t="shared" si="76"/>
        <v>306546997</v>
      </c>
      <c r="CH531" s="62">
        <f>VLOOKUP(B531,[1]RPTNCT049_ConsultaSaldosContabl!I$4:K$7987,3,0)</f>
        <v>136601129</v>
      </c>
      <c r="CI531" s="62">
        <f t="shared" si="77"/>
        <v>169945868</v>
      </c>
      <c r="CJ531" s="63">
        <f t="shared" si="78"/>
        <v>306546997</v>
      </c>
      <c r="CK531" s="64">
        <f t="shared" si="79"/>
        <v>0</v>
      </c>
      <c r="CL531" s="16"/>
      <c r="CM531" s="8"/>
      <c r="CN531" s="8"/>
      <c r="CO531" s="8"/>
      <c r="CP531" s="8"/>
      <c r="CQ531" s="8"/>
      <c r="CR531" s="8"/>
    </row>
    <row r="532" spans="1:96" ht="15" customHeight="1" x14ac:dyDescent="0.2">
      <c r="A532" s="1">
        <v>8914800271</v>
      </c>
      <c r="B532" s="1">
        <v>891480027</v>
      </c>
      <c r="C532" s="9">
        <v>210066400</v>
      </c>
      <c r="D532" s="10" t="s">
        <v>805</v>
      </c>
      <c r="E532" s="52" t="s">
        <v>1822</v>
      </c>
      <c r="F532" s="21"/>
      <c r="G532" s="59"/>
      <c r="H532" s="21"/>
      <c r="I532" s="59"/>
      <c r="J532" s="21"/>
      <c r="K532" s="21"/>
      <c r="L532" s="59"/>
      <c r="M532" s="60"/>
      <c r="N532" s="21"/>
      <c r="O532" s="59"/>
      <c r="P532" s="21"/>
      <c r="Q532" s="59"/>
      <c r="R532" s="21"/>
      <c r="S532" s="21"/>
      <c r="T532" s="59"/>
      <c r="U532" s="60">
        <f t="shared" si="74"/>
        <v>0</v>
      </c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>
        <v>405195911</v>
      </c>
      <c r="AN532" s="60">
        <f>SUBTOTAL(9,AC532:AM532)</f>
        <v>405195911</v>
      </c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>
        <v>214648040</v>
      </c>
      <c r="AZ532" s="60"/>
      <c r="BA532" s="60"/>
      <c r="BB532" s="60"/>
      <c r="BC532" s="61">
        <f t="shared" si="75"/>
        <v>619843951</v>
      </c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>
        <v>42929608</v>
      </c>
      <c r="BO532" s="60"/>
      <c r="BP532" s="61">
        <v>662773559</v>
      </c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>
        <v>42929608</v>
      </c>
      <c r="CD532" s="61"/>
      <c r="CE532" s="61"/>
      <c r="CF532" s="61"/>
      <c r="CG532" s="61">
        <f t="shared" si="76"/>
        <v>705703167</v>
      </c>
      <c r="CH532" s="62">
        <f>VLOOKUP(B532,[1]RPTNCT049_ConsultaSaldosContabl!I$4:K$7987,3,0)</f>
        <v>300507256</v>
      </c>
      <c r="CI532" s="62">
        <f t="shared" si="77"/>
        <v>405195911</v>
      </c>
      <c r="CJ532" s="63">
        <f t="shared" si="78"/>
        <v>705703167</v>
      </c>
      <c r="CK532" s="64">
        <f t="shared" si="79"/>
        <v>0</v>
      </c>
      <c r="CL532" s="16"/>
      <c r="CM532" s="16"/>
      <c r="CN532" s="16"/>
    </row>
    <row r="533" spans="1:96" ht="15" customHeight="1" x14ac:dyDescent="0.2">
      <c r="A533" s="1">
        <v>8905036807</v>
      </c>
      <c r="B533" s="1">
        <v>890503680</v>
      </c>
      <c r="C533" s="9">
        <v>217754377</v>
      </c>
      <c r="D533" s="10" t="s">
        <v>768</v>
      </c>
      <c r="E533" s="52" t="s">
        <v>1786</v>
      </c>
      <c r="F533" s="21"/>
      <c r="G533" s="59"/>
      <c r="H533" s="21"/>
      <c r="I533" s="59"/>
      <c r="J533" s="21"/>
      <c r="K533" s="21"/>
      <c r="L533" s="59"/>
      <c r="M533" s="60"/>
      <c r="N533" s="21"/>
      <c r="O533" s="59"/>
      <c r="P533" s="21"/>
      <c r="Q533" s="59"/>
      <c r="R533" s="21"/>
      <c r="S533" s="21"/>
      <c r="T533" s="59"/>
      <c r="U533" s="60">
        <f t="shared" si="74"/>
        <v>0</v>
      </c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>
        <v>40051040</v>
      </c>
      <c r="AZ533" s="60"/>
      <c r="BA533" s="60">
        <f>VLOOKUP(B533,[2]Hoja3!J$3:K$674,2,0)</f>
        <v>82988126</v>
      </c>
      <c r="BB533" s="60"/>
      <c r="BC533" s="61">
        <f t="shared" si="75"/>
        <v>123039166</v>
      </c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>
        <v>8010208</v>
      </c>
      <c r="BO533" s="60"/>
      <c r="BP533" s="61">
        <v>131049374</v>
      </c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>
        <v>8010208</v>
      </c>
      <c r="CD533" s="61"/>
      <c r="CE533" s="61"/>
      <c r="CF533" s="61"/>
      <c r="CG533" s="61">
        <f t="shared" si="76"/>
        <v>139059582</v>
      </c>
      <c r="CH533" s="62">
        <f>VLOOKUP(B533,[1]RPTNCT049_ConsultaSaldosContabl!I$4:K$7987,3,0)</f>
        <v>56071456</v>
      </c>
      <c r="CI533" s="62">
        <f t="shared" si="77"/>
        <v>82988126</v>
      </c>
      <c r="CJ533" s="63">
        <f t="shared" si="78"/>
        <v>139059582</v>
      </c>
      <c r="CK533" s="64">
        <f t="shared" si="79"/>
        <v>0</v>
      </c>
      <c r="CL533" s="16"/>
      <c r="CM533" s="16"/>
      <c r="CN533" s="16"/>
    </row>
    <row r="534" spans="1:96" ht="15" customHeight="1" x14ac:dyDescent="0.2">
      <c r="A534" s="1">
        <v>8000992068</v>
      </c>
      <c r="B534" s="1">
        <v>800099206</v>
      </c>
      <c r="C534" s="9">
        <v>217715377</v>
      </c>
      <c r="D534" s="10" t="s">
        <v>261</v>
      </c>
      <c r="E534" s="52" t="s">
        <v>1295</v>
      </c>
      <c r="F534" s="21"/>
      <c r="G534" s="59"/>
      <c r="H534" s="21"/>
      <c r="I534" s="59"/>
      <c r="J534" s="21"/>
      <c r="K534" s="21"/>
      <c r="L534" s="59"/>
      <c r="M534" s="60"/>
      <c r="N534" s="21"/>
      <c r="O534" s="59"/>
      <c r="P534" s="21"/>
      <c r="Q534" s="59"/>
      <c r="R534" s="21"/>
      <c r="S534" s="21"/>
      <c r="T534" s="59"/>
      <c r="U534" s="60">
        <f t="shared" si="74"/>
        <v>0</v>
      </c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>
        <v>33827290</v>
      </c>
      <c r="AZ534" s="60"/>
      <c r="BA534" s="60">
        <f>VLOOKUP(B534,[2]Hoja3!J$3:K$674,2,0)</f>
        <v>39983957</v>
      </c>
      <c r="BB534" s="60"/>
      <c r="BC534" s="61">
        <f t="shared" si="75"/>
        <v>73811247</v>
      </c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>
        <v>6765458</v>
      </c>
      <c r="BO534" s="60"/>
      <c r="BP534" s="61">
        <v>80576705</v>
      </c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>
        <v>6765458</v>
      </c>
      <c r="CD534" s="61"/>
      <c r="CE534" s="61"/>
      <c r="CF534" s="61"/>
      <c r="CG534" s="61">
        <f t="shared" si="76"/>
        <v>87342163</v>
      </c>
      <c r="CH534" s="62">
        <f>VLOOKUP(B534,[1]RPTNCT049_ConsultaSaldosContabl!I$4:K$7987,3,0)</f>
        <v>47358206</v>
      </c>
      <c r="CI534" s="62">
        <f t="shared" si="77"/>
        <v>39983957</v>
      </c>
      <c r="CJ534" s="63">
        <f t="shared" si="78"/>
        <v>87342163</v>
      </c>
      <c r="CK534" s="64">
        <f t="shared" si="79"/>
        <v>0</v>
      </c>
      <c r="CL534" s="16"/>
      <c r="CM534" s="8"/>
      <c r="CN534" s="8"/>
      <c r="CO534" s="8"/>
      <c r="CP534" s="8"/>
      <c r="CQ534" s="8"/>
      <c r="CR534" s="8"/>
    </row>
    <row r="535" spans="1:96" ht="15" customHeight="1" x14ac:dyDescent="0.2">
      <c r="A535" s="1">
        <v>8902107047</v>
      </c>
      <c r="B535" s="1">
        <v>890210704</v>
      </c>
      <c r="C535" s="9">
        <v>218568385</v>
      </c>
      <c r="D535" s="10" t="s">
        <v>851</v>
      </c>
      <c r="E535" s="52" t="s">
        <v>1865</v>
      </c>
      <c r="F535" s="21"/>
      <c r="G535" s="59"/>
      <c r="H535" s="21"/>
      <c r="I535" s="59"/>
      <c r="J535" s="21"/>
      <c r="K535" s="21"/>
      <c r="L535" s="59"/>
      <c r="M535" s="60"/>
      <c r="N535" s="21"/>
      <c r="O535" s="59"/>
      <c r="P535" s="21"/>
      <c r="Q535" s="59"/>
      <c r="R535" s="21"/>
      <c r="S535" s="21"/>
      <c r="T535" s="59"/>
      <c r="U535" s="60">
        <f t="shared" si="74"/>
        <v>0</v>
      </c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>
        <f>VLOOKUP(B535,[2]Hoja3!J$3:K$674,2,0)</f>
        <v>195830741</v>
      </c>
      <c r="BB535" s="60"/>
      <c r="BC535" s="61">
        <f t="shared" si="75"/>
        <v>195830741</v>
      </c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>
        <v>17008957</v>
      </c>
      <c r="BO535" s="60"/>
      <c r="BP535" s="61">
        <v>212839698</v>
      </c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>
        <v>17008957</v>
      </c>
      <c r="CD535" s="61">
        <v>85044785</v>
      </c>
      <c r="CE535" s="61"/>
      <c r="CF535" s="61"/>
      <c r="CG535" s="61">
        <f t="shared" si="76"/>
        <v>314893440</v>
      </c>
      <c r="CH535" s="62">
        <f>VLOOKUP(B535,[1]RPTNCT049_ConsultaSaldosContabl!I$4:K$7987,3,0)</f>
        <v>119062699</v>
      </c>
      <c r="CI535" s="62">
        <f t="shared" si="77"/>
        <v>195830741</v>
      </c>
      <c r="CJ535" s="63">
        <f t="shared" si="78"/>
        <v>314893440</v>
      </c>
      <c r="CK535" s="64">
        <f t="shared" si="79"/>
        <v>0</v>
      </c>
      <c r="CL535" s="16"/>
      <c r="CM535" s="16"/>
      <c r="CN535" s="16"/>
    </row>
    <row r="536" spans="1:96" ht="15" customHeight="1" x14ac:dyDescent="0.2">
      <c r="A536" s="1">
        <v>8902061107</v>
      </c>
      <c r="B536" s="1">
        <v>890206110</v>
      </c>
      <c r="C536" s="9">
        <v>210668406</v>
      </c>
      <c r="D536" s="10" t="s">
        <v>853</v>
      </c>
      <c r="E536" s="52" t="s">
        <v>1867</v>
      </c>
      <c r="F536" s="21"/>
      <c r="G536" s="59"/>
      <c r="H536" s="21"/>
      <c r="I536" s="59"/>
      <c r="J536" s="21"/>
      <c r="K536" s="21"/>
      <c r="L536" s="59"/>
      <c r="M536" s="60"/>
      <c r="N536" s="21"/>
      <c r="O536" s="59"/>
      <c r="P536" s="21"/>
      <c r="Q536" s="59"/>
      <c r="R536" s="21"/>
      <c r="S536" s="21"/>
      <c r="T536" s="59"/>
      <c r="U536" s="60">
        <f t="shared" si="74"/>
        <v>0</v>
      </c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>
        <v>181981915</v>
      </c>
      <c r="AZ536" s="60"/>
      <c r="BA536" s="60">
        <f>VLOOKUP(B536,[2]Hoja3!J$3:K$674,2,0)</f>
        <v>537306927</v>
      </c>
      <c r="BB536" s="60"/>
      <c r="BC536" s="61">
        <f t="shared" si="75"/>
        <v>719288842</v>
      </c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>
        <v>36396383</v>
      </c>
      <c r="BO536" s="60"/>
      <c r="BP536" s="61">
        <v>755685225</v>
      </c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>
        <v>36396383</v>
      </c>
      <c r="CD536" s="61"/>
      <c r="CE536" s="61"/>
      <c r="CF536" s="61"/>
      <c r="CG536" s="61">
        <f t="shared" si="76"/>
        <v>792081608</v>
      </c>
      <c r="CH536" s="62">
        <f>VLOOKUP(B536,[1]RPTNCT049_ConsultaSaldosContabl!I$4:K$7987,3,0)</f>
        <v>254774681</v>
      </c>
      <c r="CI536" s="62">
        <f t="shared" si="77"/>
        <v>537306927</v>
      </c>
      <c r="CJ536" s="63">
        <f t="shared" si="78"/>
        <v>792081608</v>
      </c>
      <c r="CK536" s="64">
        <f t="shared" si="79"/>
        <v>0</v>
      </c>
      <c r="CL536" s="16"/>
      <c r="CM536" s="16"/>
      <c r="CN536" s="16"/>
    </row>
    <row r="537" spans="1:96" ht="15" customHeight="1" x14ac:dyDescent="0.2">
      <c r="A537" s="1">
        <v>8000191115</v>
      </c>
      <c r="B537" s="1">
        <v>800019111</v>
      </c>
      <c r="C537" s="9">
        <v>210552405</v>
      </c>
      <c r="D537" s="10" t="s">
        <v>722</v>
      </c>
      <c r="E537" s="52" t="s">
        <v>1744</v>
      </c>
      <c r="F537" s="21"/>
      <c r="G537" s="59"/>
      <c r="H537" s="21"/>
      <c r="I537" s="59"/>
      <c r="J537" s="21"/>
      <c r="K537" s="21"/>
      <c r="L537" s="59"/>
      <c r="M537" s="60"/>
      <c r="N537" s="21"/>
      <c r="O537" s="59"/>
      <c r="P537" s="21"/>
      <c r="Q537" s="59"/>
      <c r="R537" s="21"/>
      <c r="S537" s="21"/>
      <c r="T537" s="59"/>
      <c r="U537" s="60">
        <f t="shared" si="74"/>
        <v>0</v>
      </c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>
        <v>30576476</v>
      </c>
      <c r="AN537" s="60">
        <f t="shared" ref="AN537:AN542" si="80">SUBTOTAL(9,AC537:AM537)</f>
        <v>30576476</v>
      </c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>
        <v>92554180</v>
      </c>
      <c r="AZ537" s="60"/>
      <c r="BA537" s="60">
        <f>VLOOKUP(B537,[2]Hoja3!J$3:K$674,2,0)</f>
        <v>124291612</v>
      </c>
      <c r="BB537" s="60"/>
      <c r="BC537" s="61">
        <f t="shared" si="75"/>
        <v>247422268</v>
      </c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>
        <v>18510836</v>
      </c>
      <c r="BO537" s="60"/>
      <c r="BP537" s="61">
        <v>265933104</v>
      </c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>
        <v>18510836</v>
      </c>
      <c r="CD537" s="61"/>
      <c r="CE537" s="61"/>
      <c r="CF537" s="61"/>
      <c r="CG537" s="61">
        <f t="shared" si="76"/>
        <v>284443940</v>
      </c>
      <c r="CH537" s="62">
        <f>VLOOKUP(B537,[1]RPTNCT049_ConsultaSaldosContabl!I$4:K$7987,3,0)</f>
        <v>129575852</v>
      </c>
      <c r="CI537" s="62">
        <f t="shared" si="77"/>
        <v>154868088</v>
      </c>
      <c r="CJ537" s="63">
        <f t="shared" si="78"/>
        <v>284443940</v>
      </c>
      <c r="CK537" s="64">
        <f t="shared" si="79"/>
        <v>0</v>
      </c>
      <c r="CL537" s="16"/>
      <c r="CM537" s="16"/>
      <c r="CN537" s="16"/>
    </row>
    <row r="538" spans="1:96" ht="15" customHeight="1" x14ac:dyDescent="0.2">
      <c r="A538" s="1">
        <v>8920992428</v>
      </c>
      <c r="B538" s="1">
        <v>892099242</v>
      </c>
      <c r="C538" s="9">
        <v>210050400</v>
      </c>
      <c r="D538" s="10" t="s">
        <v>681</v>
      </c>
      <c r="E538" s="52" t="s">
        <v>1702</v>
      </c>
      <c r="F538" s="21"/>
      <c r="G538" s="59"/>
      <c r="H538" s="21"/>
      <c r="I538" s="59"/>
      <c r="J538" s="21"/>
      <c r="K538" s="21"/>
      <c r="L538" s="59"/>
      <c r="M538" s="60"/>
      <c r="N538" s="21"/>
      <c r="O538" s="59"/>
      <c r="P538" s="21"/>
      <c r="Q538" s="59"/>
      <c r="R538" s="21"/>
      <c r="S538" s="21"/>
      <c r="T538" s="59"/>
      <c r="U538" s="60">
        <f t="shared" si="74"/>
        <v>0</v>
      </c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>
        <v>90932870</v>
      </c>
      <c r="AN538" s="60">
        <f t="shared" si="80"/>
        <v>90932870</v>
      </c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>
        <v>67095190</v>
      </c>
      <c r="AZ538" s="60"/>
      <c r="BA538" s="60">
        <f>VLOOKUP(B538,[2]Hoja3!J$3:K$674,2,0)</f>
        <v>87776468</v>
      </c>
      <c r="BB538" s="60"/>
      <c r="BC538" s="61">
        <f t="shared" si="75"/>
        <v>245804528</v>
      </c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>
        <v>13419038</v>
      </c>
      <c r="BO538" s="60"/>
      <c r="BP538" s="61">
        <v>259223566</v>
      </c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>
        <v>13419038</v>
      </c>
      <c r="CD538" s="61"/>
      <c r="CE538" s="61"/>
      <c r="CF538" s="61"/>
      <c r="CG538" s="61">
        <f t="shared" si="76"/>
        <v>272642604</v>
      </c>
      <c r="CH538" s="62">
        <f>VLOOKUP(B538,[1]RPTNCT049_ConsultaSaldosContabl!I$4:K$7987,3,0)</f>
        <v>93933266</v>
      </c>
      <c r="CI538" s="62">
        <f t="shared" si="77"/>
        <v>178709338</v>
      </c>
      <c r="CJ538" s="63">
        <f t="shared" si="78"/>
        <v>272642604</v>
      </c>
      <c r="CK538" s="64">
        <f t="shared" si="79"/>
        <v>0</v>
      </c>
      <c r="CL538" s="16"/>
      <c r="CM538" s="16"/>
      <c r="CN538" s="16"/>
    </row>
    <row r="539" spans="1:96" ht="15" customHeight="1" x14ac:dyDescent="0.2">
      <c r="A539" s="1">
        <v>8999993305</v>
      </c>
      <c r="B539" s="1">
        <v>899999330</v>
      </c>
      <c r="C539" s="9">
        <v>210725407</v>
      </c>
      <c r="D539" s="10" t="s">
        <v>509</v>
      </c>
      <c r="E539" s="52" t="s">
        <v>1534</v>
      </c>
      <c r="F539" s="21"/>
      <c r="G539" s="59"/>
      <c r="H539" s="21"/>
      <c r="I539" s="59"/>
      <c r="J539" s="21"/>
      <c r="K539" s="21"/>
      <c r="L539" s="59"/>
      <c r="M539" s="60"/>
      <c r="N539" s="21"/>
      <c r="O539" s="59"/>
      <c r="P539" s="21"/>
      <c r="Q539" s="59"/>
      <c r="R539" s="21"/>
      <c r="S539" s="21"/>
      <c r="T539" s="59"/>
      <c r="U539" s="60">
        <f t="shared" si="74"/>
        <v>0</v>
      </c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>
        <v>161572342</v>
      </c>
      <c r="AN539" s="60">
        <f t="shared" si="80"/>
        <v>161572342</v>
      </c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1">
        <f t="shared" si="75"/>
        <v>161572342</v>
      </c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>
        <v>0</v>
      </c>
      <c r="BO539" s="60"/>
      <c r="BP539" s="61">
        <v>161572342</v>
      </c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  <c r="CA539" s="61"/>
      <c r="CB539" s="61"/>
      <c r="CC539" s="61">
        <v>0</v>
      </c>
      <c r="CD539" s="61"/>
      <c r="CE539" s="61"/>
      <c r="CF539" s="61"/>
      <c r="CG539" s="61">
        <f t="shared" si="76"/>
        <v>161572342</v>
      </c>
      <c r="CH539" s="62"/>
      <c r="CI539" s="62">
        <f t="shared" si="77"/>
        <v>161572342</v>
      </c>
      <c r="CJ539" s="63">
        <f t="shared" si="78"/>
        <v>161572342</v>
      </c>
      <c r="CK539" s="64">
        <f t="shared" si="79"/>
        <v>0</v>
      </c>
      <c r="CL539" s="16"/>
      <c r="CM539" s="16"/>
      <c r="CN539" s="16"/>
    </row>
    <row r="540" spans="1:96" ht="15" customHeight="1" x14ac:dyDescent="0.2">
      <c r="A540" s="1">
        <v>8907020342</v>
      </c>
      <c r="B540" s="1">
        <v>890702034</v>
      </c>
      <c r="C540" s="9">
        <v>210873408</v>
      </c>
      <c r="D540" s="10" t="s">
        <v>2223</v>
      </c>
      <c r="E540" s="52" t="s">
        <v>1949</v>
      </c>
      <c r="F540" s="21"/>
      <c r="G540" s="59"/>
      <c r="H540" s="21"/>
      <c r="I540" s="59"/>
      <c r="J540" s="21"/>
      <c r="K540" s="21"/>
      <c r="L540" s="59"/>
      <c r="M540" s="60"/>
      <c r="N540" s="21"/>
      <c r="O540" s="59"/>
      <c r="P540" s="21"/>
      <c r="Q540" s="59"/>
      <c r="R540" s="21"/>
      <c r="S540" s="21"/>
      <c r="T540" s="59"/>
      <c r="U540" s="60">
        <f t="shared" si="74"/>
        <v>0</v>
      </c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>
        <v>239168401</v>
      </c>
      <c r="AN540" s="60">
        <f t="shared" si="80"/>
        <v>239168401</v>
      </c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>
        <v>121392665</v>
      </c>
      <c r="AZ540" s="60"/>
      <c r="BA540" s="60"/>
      <c r="BB540" s="60"/>
      <c r="BC540" s="61">
        <f t="shared" si="75"/>
        <v>360561066</v>
      </c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>
        <v>24278533</v>
      </c>
      <c r="BO540" s="60"/>
      <c r="BP540" s="61">
        <v>384839599</v>
      </c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>
        <v>24278533</v>
      </c>
      <c r="CD540" s="61"/>
      <c r="CE540" s="61"/>
      <c r="CF540" s="61"/>
      <c r="CG540" s="61">
        <f t="shared" si="76"/>
        <v>409118132</v>
      </c>
      <c r="CH540" s="62">
        <f>VLOOKUP(B540,[1]RPTNCT049_ConsultaSaldosContabl!I$4:K$7987,3,0)</f>
        <v>169949731</v>
      </c>
      <c r="CI540" s="62">
        <f t="shared" si="77"/>
        <v>239168401</v>
      </c>
      <c r="CJ540" s="63">
        <f t="shared" si="78"/>
        <v>409118132</v>
      </c>
      <c r="CK540" s="64">
        <f t="shared" si="79"/>
        <v>0</v>
      </c>
      <c r="CL540" s="16"/>
      <c r="CM540" s="16"/>
      <c r="CN540" s="16"/>
    </row>
    <row r="541" spans="1:96" ht="15" customHeight="1" x14ac:dyDescent="0.2">
      <c r="A541" s="1">
        <v>8999993029</v>
      </c>
      <c r="B541" s="1">
        <v>899999302</v>
      </c>
      <c r="C541" s="9">
        <v>210191001</v>
      </c>
      <c r="D541" s="10" t="s">
        <v>988</v>
      </c>
      <c r="E541" s="52" t="s">
        <v>2076</v>
      </c>
      <c r="F541" s="21"/>
      <c r="G541" s="59"/>
      <c r="H541" s="21"/>
      <c r="I541" s="59"/>
      <c r="J541" s="21"/>
      <c r="K541" s="21"/>
      <c r="L541" s="59"/>
      <c r="M541" s="60"/>
      <c r="N541" s="21"/>
      <c r="O541" s="59"/>
      <c r="P541" s="21"/>
      <c r="Q541" s="59"/>
      <c r="R541" s="21"/>
      <c r="S541" s="21"/>
      <c r="T541" s="59"/>
      <c r="U541" s="60">
        <f t="shared" si="74"/>
        <v>0</v>
      </c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>
        <v>977647135</v>
      </c>
      <c r="AN541" s="60">
        <f t="shared" si="80"/>
        <v>977647135</v>
      </c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>
        <v>380238385</v>
      </c>
      <c r="AZ541" s="60"/>
      <c r="BA541" s="60"/>
      <c r="BB541" s="60">
        <f>VLOOKUP(B541,'[3]anuladas en mayo gratuidad}'!K$2:L$55,2,0)</f>
        <v>110903490</v>
      </c>
      <c r="BC541" s="61">
        <f t="shared" si="75"/>
        <v>1246982030</v>
      </c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>
        <v>76047677</v>
      </c>
      <c r="BO541" s="60"/>
      <c r="BP541" s="61">
        <v>1323029707</v>
      </c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>
        <v>76047677</v>
      </c>
      <c r="CD541" s="61"/>
      <c r="CE541" s="61">
        <v>110903490</v>
      </c>
      <c r="CF541" s="61"/>
      <c r="CG541" s="61">
        <f t="shared" si="76"/>
        <v>1509980874</v>
      </c>
      <c r="CH541" s="62">
        <f>VLOOKUP(B541,[1]RPTNCT049_ConsultaSaldosContabl!I$4:K$7987,3,0)</f>
        <v>532333739</v>
      </c>
      <c r="CI541" s="62">
        <f t="shared" si="77"/>
        <v>977647135</v>
      </c>
      <c r="CJ541" s="63">
        <f t="shared" si="78"/>
        <v>1509980874</v>
      </c>
      <c r="CK541" s="64">
        <f t="shared" si="79"/>
        <v>0</v>
      </c>
      <c r="CL541" s="16"/>
      <c r="CM541" s="16"/>
      <c r="CN541" s="16"/>
    </row>
    <row r="542" spans="1:96" ht="15" customHeight="1" x14ac:dyDescent="0.2">
      <c r="A542" s="1">
        <v>8001000610</v>
      </c>
      <c r="B542" s="1">
        <v>800100061</v>
      </c>
      <c r="C542" s="9">
        <v>211173411</v>
      </c>
      <c r="D542" s="10" t="s">
        <v>2224</v>
      </c>
      <c r="E542" s="52" t="s">
        <v>1950</v>
      </c>
      <c r="F542" s="21"/>
      <c r="G542" s="59"/>
      <c r="H542" s="21"/>
      <c r="I542" s="59"/>
      <c r="J542" s="21"/>
      <c r="K542" s="21"/>
      <c r="L542" s="59"/>
      <c r="M542" s="60"/>
      <c r="N542" s="21"/>
      <c r="O542" s="59"/>
      <c r="P542" s="21"/>
      <c r="Q542" s="59"/>
      <c r="R542" s="21"/>
      <c r="S542" s="21"/>
      <c r="T542" s="59"/>
      <c r="U542" s="60">
        <f t="shared" si="74"/>
        <v>0</v>
      </c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>
        <v>577956022</v>
      </c>
      <c r="AN542" s="60">
        <f t="shared" si="80"/>
        <v>577956022</v>
      </c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>
        <v>274079460</v>
      </c>
      <c r="AZ542" s="60"/>
      <c r="BA542" s="60"/>
      <c r="BB542" s="60"/>
      <c r="BC542" s="61">
        <f t="shared" si="75"/>
        <v>852035482</v>
      </c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>
        <v>54815892</v>
      </c>
      <c r="BO542" s="60"/>
      <c r="BP542" s="61">
        <v>906851374</v>
      </c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  <c r="CB542" s="61"/>
      <c r="CC542" s="61">
        <v>54815892</v>
      </c>
      <c r="CD542" s="61"/>
      <c r="CE542" s="61"/>
      <c r="CF542" s="61"/>
      <c r="CG542" s="61">
        <f t="shared" si="76"/>
        <v>961667266</v>
      </c>
      <c r="CH542" s="62">
        <f>VLOOKUP(B542,[1]RPTNCT049_ConsultaSaldosContabl!I$4:K$7987,3,0)</f>
        <v>383711244</v>
      </c>
      <c r="CI542" s="62">
        <f t="shared" si="77"/>
        <v>577956022</v>
      </c>
      <c r="CJ542" s="63">
        <f t="shared" si="78"/>
        <v>961667266</v>
      </c>
      <c r="CK542" s="64">
        <f t="shared" si="79"/>
        <v>0</v>
      </c>
      <c r="CL542" s="16"/>
      <c r="CM542" s="16"/>
      <c r="CN542" s="16"/>
    </row>
    <row r="543" spans="1:96" ht="15" customHeight="1" x14ac:dyDescent="0.2">
      <c r="A543" s="1">
        <v>8909836726</v>
      </c>
      <c r="B543" s="1">
        <v>890983672</v>
      </c>
      <c r="C543" s="9">
        <v>211105411</v>
      </c>
      <c r="D543" s="10" t="s">
        <v>105</v>
      </c>
      <c r="E543" s="52" t="s">
        <v>1136</v>
      </c>
      <c r="F543" s="21"/>
      <c r="G543" s="59"/>
      <c r="H543" s="21"/>
      <c r="I543" s="59"/>
      <c r="J543" s="21"/>
      <c r="K543" s="21"/>
      <c r="L543" s="59"/>
      <c r="M543" s="60"/>
      <c r="N543" s="21"/>
      <c r="O543" s="59"/>
      <c r="P543" s="21"/>
      <c r="Q543" s="59"/>
      <c r="R543" s="21"/>
      <c r="S543" s="21"/>
      <c r="T543" s="59"/>
      <c r="U543" s="60">
        <f t="shared" si="74"/>
        <v>0</v>
      </c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>
        <f>VLOOKUP(B543,[2]Hoja3!J$3:K$674,2,0)</f>
        <v>160909022</v>
      </c>
      <c r="BB543" s="60"/>
      <c r="BC543" s="61">
        <f t="shared" si="75"/>
        <v>160909022</v>
      </c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>
        <v>13290945</v>
      </c>
      <c r="BO543" s="60"/>
      <c r="BP543" s="61">
        <v>174199967</v>
      </c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  <c r="CB543" s="61"/>
      <c r="CC543" s="61">
        <v>13290945</v>
      </c>
      <c r="CD543" s="61">
        <v>66454725</v>
      </c>
      <c r="CE543" s="61"/>
      <c r="CF543" s="61"/>
      <c r="CG543" s="61">
        <f t="shared" si="76"/>
        <v>253945637</v>
      </c>
      <c r="CH543" s="62">
        <f>VLOOKUP(B543,[1]RPTNCT049_ConsultaSaldosContabl!I$4:K$7987,3,0)</f>
        <v>93036615</v>
      </c>
      <c r="CI543" s="62">
        <f t="shared" si="77"/>
        <v>160909022</v>
      </c>
      <c r="CJ543" s="63">
        <f t="shared" si="78"/>
        <v>253945637</v>
      </c>
      <c r="CK543" s="64">
        <f t="shared" si="79"/>
        <v>0</v>
      </c>
      <c r="CL543" s="16"/>
      <c r="CM543" s="16"/>
      <c r="CN543" s="16"/>
    </row>
    <row r="544" spans="1:96" ht="15" customHeight="1" x14ac:dyDescent="0.2">
      <c r="A544" s="1">
        <v>8000991052</v>
      </c>
      <c r="B544" s="1">
        <v>800099105</v>
      </c>
      <c r="C544" s="9">
        <v>211152411</v>
      </c>
      <c r="D544" s="10" t="s">
        <v>723</v>
      </c>
      <c r="E544" s="52" t="s">
        <v>1745</v>
      </c>
      <c r="F544" s="21"/>
      <c r="G544" s="59"/>
      <c r="H544" s="21"/>
      <c r="I544" s="59"/>
      <c r="J544" s="21"/>
      <c r="K544" s="21"/>
      <c r="L544" s="59"/>
      <c r="M544" s="60"/>
      <c r="N544" s="21"/>
      <c r="O544" s="59"/>
      <c r="P544" s="21"/>
      <c r="Q544" s="59"/>
      <c r="R544" s="21"/>
      <c r="S544" s="21"/>
      <c r="T544" s="59"/>
      <c r="U544" s="60">
        <f t="shared" si="74"/>
        <v>0</v>
      </c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>
        <v>83783645</v>
      </c>
      <c r="AZ544" s="60"/>
      <c r="BA544" s="60">
        <f>VLOOKUP(B544,[2]Hoja3!J$3:K$674,2,0)</f>
        <v>125289250</v>
      </c>
      <c r="BB544" s="60"/>
      <c r="BC544" s="61">
        <f t="shared" si="75"/>
        <v>209072895</v>
      </c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>
        <v>16756729</v>
      </c>
      <c r="BO544" s="60"/>
      <c r="BP544" s="61">
        <v>225829624</v>
      </c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>
        <v>16756729</v>
      </c>
      <c r="CD544" s="61"/>
      <c r="CE544" s="61"/>
      <c r="CF544" s="61"/>
      <c r="CG544" s="61">
        <f t="shared" si="76"/>
        <v>242586353</v>
      </c>
      <c r="CH544" s="62">
        <f>VLOOKUP(B544,[1]RPTNCT049_ConsultaSaldosContabl!I$4:K$7987,3,0)</f>
        <v>117297103</v>
      </c>
      <c r="CI544" s="62">
        <f t="shared" si="77"/>
        <v>125289250</v>
      </c>
      <c r="CJ544" s="63">
        <f t="shared" si="78"/>
        <v>242586353</v>
      </c>
      <c r="CK544" s="64">
        <f t="shared" si="79"/>
        <v>0</v>
      </c>
      <c r="CL544" s="16"/>
      <c r="CM544" s="16"/>
      <c r="CN544" s="16"/>
    </row>
    <row r="545" spans="1:96" ht="15" customHeight="1" x14ac:dyDescent="0.2">
      <c r="A545" s="1">
        <v>8180000022</v>
      </c>
      <c r="B545" s="1">
        <v>818000002</v>
      </c>
      <c r="C545" s="9">
        <v>215027250</v>
      </c>
      <c r="D545" s="10" t="s">
        <v>2117</v>
      </c>
      <c r="E545" s="52" t="s">
        <v>1599</v>
      </c>
      <c r="F545" s="21"/>
      <c r="G545" s="59"/>
      <c r="H545" s="21"/>
      <c r="I545" s="59"/>
      <c r="J545" s="21"/>
      <c r="K545" s="21"/>
      <c r="L545" s="59"/>
      <c r="M545" s="60"/>
      <c r="N545" s="21"/>
      <c r="O545" s="59"/>
      <c r="P545" s="21"/>
      <c r="Q545" s="59"/>
      <c r="R545" s="21"/>
      <c r="S545" s="21"/>
      <c r="T545" s="59"/>
      <c r="U545" s="60">
        <f t="shared" si="74"/>
        <v>0</v>
      </c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>
        <v>100979915</v>
      </c>
      <c r="AN545" s="60">
        <f>SUBTOTAL(9,AC545:AM545)</f>
        <v>100979915</v>
      </c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>
        <v>202134360</v>
      </c>
      <c r="AZ545" s="60"/>
      <c r="BA545" s="60"/>
      <c r="BB545" s="60"/>
      <c r="BC545" s="61">
        <f t="shared" si="75"/>
        <v>303114275</v>
      </c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>
        <v>40426872</v>
      </c>
      <c r="BO545" s="60"/>
      <c r="BP545" s="61">
        <v>343541147</v>
      </c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  <c r="CB545" s="61"/>
      <c r="CC545" s="61">
        <v>40426872</v>
      </c>
      <c r="CD545" s="61"/>
      <c r="CE545" s="61"/>
      <c r="CF545" s="61"/>
      <c r="CG545" s="61">
        <f t="shared" si="76"/>
        <v>383968019</v>
      </c>
      <c r="CH545" s="62">
        <f>VLOOKUP(B545,[1]RPTNCT049_ConsultaSaldosContabl!I$4:K$7987,3,0)</f>
        <v>282988104</v>
      </c>
      <c r="CI545" s="62">
        <f t="shared" si="77"/>
        <v>100979915</v>
      </c>
      <c r="CJ545" s="63">
        <f t="shared" si="78"/>
        <v>383968019</v>
      </c>
      <c r="CK545" s="64">
        <f t="shared" si="79"/>
        <v>0</v>
      </c>
      <c r="CL545" s="16"/>
      <c r="CM545" s="16"/>
      <c r="CN545" s="16"/>
    </row>
    <row r="546" spans="1:96" ht="15" customHeight="1" x14ac:dyDescent="0.2">
      <c r="A546" s="1">
        <v>8916802812</v>
      </c>
      <c r="B546" s="1">
        <v>891680281</v>
      </c>
      <c r="C546" s="9">
        <v>211327413</v>
      </c>
      <c r="D546" s="10" t="s">
        <v>581</v>
      </c>
      <c r="E546" s="52" t="s">
        <v>1602</v>
      </c>
      <c r="F546" s="21"/>
      <c r="G546" s="59"/>
      <c r="H546" s="21"/>
      <c r="I546" s="59"/>
      <c r="J546" s="21"/>
      <c r="K546" s="21"/>
      <c r="L546" s="59"/>
      <c r="M546" s="60"/>
      <c r="N546" s="21"/>
      <c r="O546" s="59"/>
      <c r="P546" s="21"/>
      <c r="Q546" s="59"/>
      <c r="R546" s="21"/>
      <c r="S546" s="21"/>
      <c r="T546" s="59"/>
      <c r="U546" s="60">
        <f t="shared" si="74"/>
        <v>0</v>
      </c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>
        <v>121690083</v>
      </c>
      <c r="AN546" s="60">
        <f>SUBTOTAL(9,AC546:AM546)</f>
        <v>121690083</v>
      </c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>
        <v>168119975</v>
      </c>
      <c r="AZ546" s="60"/>
      <c r="BA546" s="60"/>
      <c r="BB546" s="60"/>
      <c r="BC546" s="61">
        <f t="shared" si="75"/>
        <v>289810058</v>
      </c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>
        <v>33623995</v>
      </c>
      <c r="BO546" s="60"/>
      <c r="BP546" s="61">
        <v>323434053</v>
      </c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>
        <v>33623995</v>
      </c>
      <c r="CD546" s="61"/>
      <c r="CE546" s="61"/>
      <c r="CF546" s="61"/>
      <c r="CG546" s="61">
        <f t="shared" si="76"/>
        <v>357058048</v>
      </c>
      <c r="CH546" s="62">
        <f>VLOOKUP(B546,[1]RPTNCT049_ConsultaSaldosContabl!I$4:K$7987,3,0)</f>
        <v>235367965</v>
      </c>
      <c r="CI546" s="62">
        <f t="shared" si="77"/>
        <v>121690083</v>
      </c>
      <c r="CJ546" s="63">
        <f t="shared" si="78"/>
        <v>357058048</v>
      </c>
      <c r="CK546" s="64">
        <f t="shared" si="79"/>
        <v>0</v>
      </c>
      <c r="CL546" s="16"/>
      <c r="CM546" s="16"/>
      <c r="CN546" s="16"/>
    </row>
    <row r="547" spans="1:96" ht="15" customHeight="1" x14ac:dyDescent="0.2">
      <c r="A547" s="1">
        <v>8000511689</v>
      </c>
      <c r="B547" s="1">
        <v>800051168</v>
      </c>
      <c r="C547" s="9">
        <v>211819418</v>
      </c>
      <c r="D547" s="10" t="s">
        <v>390</v>
      </c>
      <c r="E547" s="52" t="s">
        <v>1419</v>
      </c>
      <c r="F547" s="21"/>
      <c r="G547" s="59"/>
      <c r="H547" s="21"/>
      <c r="I547" s="59"/>
      <c r="J547" s="21"/>
      <c r="K547" s="21"/>
      <c r="L547" s="59"/>
      <c r="M547" s="60"/>
      <c r="N547" s="21"/>
      <c r="O547" s="59"/>
      <c r="P547" s="21"/>
      <c r="Q547" s="59"/>
      <c r="R547" s="21"/>
      <c r="S547" s="21"/>
      <c r="T547" s="59"/>
      <c r="U547" s="60">
        <f t="shared" si="74"/>
        <v>0</v>
      </c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>
        <v>246438845</v>
      </c>
      <c r="AZ547" s="60"/>
      <c r="BA547" s="60">
        <f>VLOOKUP(B547,[2]Hoja3!J$3:K$674,2,0)</f>
        <v>189066276</v>
      </c>
      <c r="BB547" s="60"/>
      <c r="BC547" s="61">
        <f t="shared" si="75"/>
        <v>435505121</v>
      </c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>
        <v>49287769</v>
      </c>
      <c r="BO547" s="60"/>
      <c r="BP547" s="61">
        <v>484792890</v>
      </c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  <c r="CA547" s="61"/>
      <c r="CB547" s="61"/>
      <c r="CC547" s="61">
        <v>49287769</v>
      </c>
      <c r="CD547" s="61"/>
      <c r="CE547" s="61"/>
      <c r="CF547" s="61"/>
      <c r="CG547" s="61">
        <f t="shared" si="76"/>
        <v>534080659</v>
      </c>
      <c r="CH547" s="62">
        <f>VLOOKUP(B547,[1]RPTNCT049_ConsultaSaldosContabl!I$4:K$7987,3,0)</f>
        <v>345014383</v>
      </c>
      <c r="CI547" s="62">
        <f t="shared" si="77"/>
        <v>189066276</v>
      </c>
      <c r="CJ547" s="63">
        <f t="shared" si="78"/>
        <v>534080659</v>
      </c>
      <c r="CK547" s="64">
        <f t="shared" si="79"/>
        <v>0</v>
      </c>
      <c r="CL547" s="16"/>
      <c r="CM547" s="16"/>
      <c r="CN547" s="16"/>
    </row>
    <row r="548" spans="1:96" ht="15" customHeight="1" x14ac:dyDescent="0.2">
      <c r="A548" s="1">
        <v>8000967588</v>
      </c>
      <c r="B548" s="29">
        <v>800096758</v>
      </c>
      <c r="C548" s="9">
        <v>211723417</v>
      </c>
      <c r="D548" s="10" t="s">
        <v>2170</v>
      </c>
      <c r="E548" s="53" t="s">
        <v>1017</v>
      </c>
      <c r="F548" s="21"/>
      <c r="G548" s="59"/>
      <c r="H548" s="21"/>
      <c r="I548" s="59">
        <f>4571586418+58582647</f>
        <v>4630169065</v>
      </c>
      <c r="J548" s="21">
        <v>317568720</v>
      </c>
      <c r="K548" s="21">
        <v>656686333</v>
      </c>
      <c r="L548" s="59"/>
      <c r="M548" s="61">
        <f>SUM(F548:L548)</f>
        <v>5604424118</v>
      </c>
      <c r="N548" s="21"/>
      <c r="O548" s="59"/>
      <c r="P548" s="21"/>
      <c r="Q548" s="59">
        <f>4696407836+541689000+26628476</f>
        <v>5264725312</v>
      </c>
      <c r="R548" s="21">
        <v>317966005</v>
      </c>
      <c r="S548" s="21">
        <f>339117613+317966005</f>
        <v>657083618</v>
      </c>
      <c r="T548" s="59"/>
      <c r="U548" s="60">
        <f t="shared" si="74"/>
        <v>11844199053</v>
      </c>
      <c r="V548" s="60"/>
      <c r="W548" s="60"/>
      <c r="X548" s="60"/>
      <c r="Y548" s="60">
        <v>6285110322</v>
      </c>
      <c r="Z548" s="60">
        <v>300232308</v>
      </c>
      <c r="AA548" s="60">
        <v>701925927</v>
      </c>
      <c r="AB548" s="60"/>
      <c r="AC548" s="60">
        <f t="shared" ref="AC516:AC579" si="81">SUM(U548:AB548)</f>
        <v>19131467610</v>
      </c>
      <c r="AD548" s="60"/>
      <c r="AE548" s="60"/>
      <c r="AF548" s="60"/>
      <c r="AG548" s="60"/>
      <c r="AH548" s="60">
        <v>4873488625</v>
      </c>
      <c r="AI548" s="60">
        <v>393863890</v>
      </c>
      <c r="AJ548" s="60">
        <v>321806378</v>
      </c>
      <c r="AK548" s="60">
        <v>811063423</v>
      </c>
      <c r="AL548" s="60"/>
      <c r="AM548" s="60">
        <v>1962372115</v>
      </c>
      <c r="AN548" s="60">
        <f>SUBTOTAL(9,AC548:AM548)</f>
        <v>27494062041</v>
      </c>
      <c r="AO548" s="60"/>
      <c r="AP548" s="60"/>
      <c r="AQ548" s="60">
        <v>1191248480</v>
      </c>
      <c r="AR548" s="60"/>
      <c r="AS548" s="60"/>
      <c r="AT548" s="60">
        <v>4873488625</v>
      </c>
      <c r="AU548" s="60"/>
      <c r="AV548" s="60">
        <v>321806378</v>
      </c>
      <c r="AW548" s="60">
        <v>549307927</v>
      </c>
      <c r="AX548" s="60"/>
      <c r="AY548" s="60"/>
      <c r="AZ548" s="60"/>
      <c r="BA548" s="60"/>
      <c r="BB548" s="60"/>
      <c r="BC548" s="61">
        <f t="shared" si="75"/>
        <v>34429913451</v>
      </c>
      <c r="BD548" s="60"/>
      <c r="BE548" s="60"/>
      <c r="BF548" s="60">
        <v>238249696</v>
      </c>
      <c r="BG548" s="60"/>
      <c r="BH548" s="60"/>
      <c r="BI548" s="60">
        <v>5071463188</v>
      </c>
      <c r="BJ548" s="60">
        <v>305167956</v>
      </c>
      <c r="BK548" s="60">
        <v>317999339</v>
      </c>
      <c r="BL548" s="60">
        <v>637734479</v>
      </c>
      <c r="BM548" s="60"/>
      <c r="BN548" s="60"/>
      <c r="BO548" s="60"/>
      <c r="BP548" s="61">
        <v>41000528109</v>
      </c>
      <c r="BQ548" s="61"/>
      <c r="BR548" s="61"/>
      <c r="BS548" s="61">
        <v>238249696</v>
      </c>
      <c r="BT548" s="61"/>
      <c r="BU548" s="61"/>
      <c r="BV548" s="61"/>
      <c r="BW548" s="61">
        <v>5152759212</v>
      </c>
      <c r="BX548" s="61"/>
      <c r="BY548" s="61">
        <v>2270125000</v>
      </c>
      <c r="BZ548" s="61">
        <v>323611147</v>
      </c>
      <c r="CA548" s="61">
        <v>876140409</v>
      </c>
      <c r="CB548" s="61"/>
      <c r="CC548" s="61"/>
      <c r="CD548" s="61"/>
      <c r="CE548" s="61"/>
      <c r="CF548" s="61"/>
      <c r="CG548" s="61">
        <f t="shared" si="76"/>
        <v>49861413573</v>
      </c>
      <c r="CH548" s="62">
        <f>VLOOKUP(B548,[1]RPTNCT049_ConsultaSaldosContabl!I$4:K$7987,3,0)</f>
        <v>47899041458</v>
      </c>
      <c r="CI548" s="62">
        <f t="shared" si="77"/>
        <v>1962372115</v>
      </c>
      <c r="CJ548" s="63">
        <f t="shared" si="78"/>
        <v>49861413573</v>
      </c>
      <c r="CK548" s="64">
        <f t="shared" si="79"/>
        <v>0</v>
      </c>
      <c r="CL548" s="16"/>
      <c r="CM548" s="16"/>
      <c r="CN548" s="16"/>
    </row>
    <row r="549" spans="1:96" ht="15" customHeight="1" x14ac:dyDescent="0.2">
      <c r="A549" s="1">
        <v>8000191122</v>
      </c>
      <c r="B549" s="1">
        <v>800019112</v>
      </c>
      <c r="C549" s="9">
        <v>211852418</v>
      </c>
      <c r="D549" s="10" t="s">
        <v>724</v>
      </c>
      <c r="E549" s="52" t="s">
        <v>1746</v>
      </c>
      <c r="F549" s="21"/>
      <c r="G549" s="59"/>
      <c r="H549" s="21"/>
      <c r="I549" s="59"/>
      <c r="J549" s="21"/>
      <c r="K549" s="21"/>
      <c r="L549" s="59"/>
      <c r="M549" s="60"/>
      <c r="N549" s="21"/>
      <c r="O549" s="59"/>
      <c r="P549" s="21"/>
      <c r="Q549" s="59"/>
      <c r="R549" s="21"/>
      <c r="S549" s="21"/>
      <c r="T549" s="59"/>
      <c r="U549" s="60">
        <f t="shared" si="74"/>
        <v>0</v>
      </c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>
        <v>13461006</v>
      </c>
      <c r="AN549" s="60">
        <f>SUBTOTAL(9,AC549:AM549)</f>
        <v>13461006</v>
      </c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>
        <v>100749990</v>
      </c>
      <c r="AZ549" s="60"/>
      <c r="BA549" s="60">
        <f>VLOOKUP(B549,[2]Hoja3!J$3:K$674,2,0)</f>
        <v>138661719</v>
      </c>
      <c r="BB549" s="60"/>
      <c r="BC549" s="61">
        <f t="shared" si="75"/>
        <v>252872715</v>
      </c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>
        <v>20149998</v>
      </c>
      <c r="BO549" s="60"/>
      <c r="BP549" s="61">
        <v>273022713</v>
      </c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>
        <v>20149998</v>
      </c>
      <c r="CD549" s="61"/>
      <c r="CE549" s="61"/>
      <c r="CF549" s="61"/>
      <c r="CG549" s="61">
        <f t="shared" si="76"/>
        <v>293172711</v>
      </c>
      <c r="CH549" s="62">
        <f>VLOOKUP(B549,[1]RPTNCT049_ConsultaSaldosContabl!I$4:K$7987,3,0)</f>
        <v>141049986</v>
      </c>
      <c r="CI549" s="62">
        <f t="shared" si="77"/>
        <v>152122725</v>
      </c>
      <c r="CJ549" s="63">
        <f t="shared" si="78"/>
        <v>293172711</v>
      </c>
      <c r="CK549" s="64">
        <f t="shared" si="79"/>
        <v>0</v>
      </c>
      <c r="CL549" s="16"/>
      <c r="CM549" s="16"/>
      <c r="CN549" s="16"/>
    </row>
    <row r="550" spans="1:96" ht="15" customHeight="1" x14ac:dyDescent="0.2">
      <c r="A550" s="1">
        <v>8000967610</v>
      </c>
      <c r="B550" s="1">
        <v>800096761</v>
      </c>
      <c r="C550" s="9">
        <v>211923419</v>
      </c>
      <c r="D550" s="10" t="s">
        <v>446</v>
      </c>
      <c r="E550" s="52" t="s">
        <v>1473</v>
      </c>
      <c r="F550" s="21"/>
      <c r="G550" s="59"/>
      <c r="H550" s="21"/>
      <c r="I550" s="59"/>
      <c r="J550" s="21"/>
      <c r="K550" s="21"/>
      <c r="L550" s="59"/>
      <c r="M550" s="60"/>
      <c r="N550" s="21"/>
      <c r="O550" s="59"/>
      <c r="P550" s="21"/>
      <c r="Q550" s="59"/>
      <c r="R550" s="21"/>
      <c r="S550" s="21"/>
      <c r="T550" s="59"/>
      <c r="U550" s="60">
        <f t="shared" si="74"/>
        <v>0</v>
      </c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>
        <v>177118421</v>
      </c>
      <c r="AN550" s="60">
        <f>SUBTOTAL(9,AC550:AM550)</f>
        <v>177118421</v>
      </c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>
        <v>255666695</v>
      </c>
      <c r="AZ550" s="60"/>
      <c r="BA550" s="60"/>
      <c r="BB550" s="60"/>
      <c r="BC550" s="61">
        <f t="shared" si="75"/>
        <v>432785116</v>
      </c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>
        <v>51133339</v>
      </c>
      <c r="BO550" s="60"/>
      <c r="BP550" s="61">
        <v>483918455</v>
      </c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  <c r="CA550" s="61"/>
      <c r="CB550" s="61"/>
      <c r="CC550" s="61">
        <v>51133339</v>
      </c>
      <c r="CD550" s="61"/>
      <c r="CE550" s="61"/>
      <c r="CF550" s="61"/>
      <c r="CG550" s="61">
        <f t="shared" si="76"/>
        <v>535051794</v>
      </c>
      <c r="CH550" s="62">
        <f>VLOOKUP(B550,[1]RPTNCT049_ConsultaSaldosContabl!I$4:K$7987,3,0)</f>
        <v>357933373</v>
      </c>
      <c r="CI550" s="62">
        <f t="shared" si="77"/>
        <v>177118421</v>
      </c>
      <c r="CJ550" s="63">
        <f t="shared" si="78"/>
        <v>535051794</v>
      </c>
      <c r="CK550" s="64">
        <f t="shared" si="79"/>
        <v>0</v>
      </c>
      <c r="CL550" s="16"/>
      <c r="CM550" s="16"/>
      <c r="CN550" s="16"/>
    </row>
    <row r="551" spans="1:96" ht="15" customHeight="1" x14ac:dyDescent="0.2">
      <c r="A551" s="1">
        <v>8922012876</v>
      </c>
      <c r="B551" s="1">
        <v>892201287</v>
      </c>
      <c r="C551" s="9">
        <v>211870418</v>
      </c>
      <c r="D551" s="10" t="s">
        <v>900</v>
      </c>
      <c r="E551" s="52" t="s">
        <v>1913</v>
      </c>
      <c r="F551" s="21"/>
      <c r="G551" s="59"/>
      <c r="H551" s="21"/>
      <c r="I551" s="59"/>
      <c r="J551" s="21"/>
      <c r="K551" s="21"/>
      <c r="L551" s="59"/>
      <c r="M551" s="60"/>
      <c r="N551" s="21"/>
      <c r="O551" s="59"/>
      <c r="P551" s="21"/>
      <c r="Q551" s="59"/>
      <c r="R551" s="21"/>
      <c r="S551" s="21"/>
      <c r="T551" s="59"/>
      <c r="U551" s="60">
        <f t="shared" si="74"/>
        <v>0</v>
      </c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>
        <v>207450380</v>
      </c>
      <c r="AZ551" s="60"/>
      <c r="BA551" s="60">
        <f>VLOOKUP(B551,[2]Hoja3!J$3:K$674,2,0)</f>
        <v>384548303</v>
      </c>
      <c r="BB551" s="60"/>
      <c r="BC551" s="61">
        <f t="shared" si="75"/>
        <v>591998683</v>
      </c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>
        <v>41490076</v>
      </c>
      <c r="BO551" s="60"/>
      <c r="BP551" s="61">
        <v>633488759</v>
      </c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  <c r="CB551" s="61"/>
      <c r="CC551" s="61">
        <v>41490076</v>
      </c>
      <c r="CD551" s="61"/>
      <c r="CE551" s="61"/>
      <c r="CF551" s="61"/>
      <c r="CG551" s="61">
        <f t="shared" si="76"/>
        <v>674978835</v>
      </c>
      <c r="CH551" s="62">
        <f>VLOOKUP(B551,[1]RPTNCT049_ConsultaSaldosContabl!I$4:K$7987,3,0)</f>
        <v>290430532</v>
      </c>
      <c r="CI551" s="62">
        <f t="shared" si="77"/>
        <v>384548303</v>
      </c>
      <c r="CJ551" s="63">
        <f t="shared" si="78"/>
        <v>674978835</v>
      </c>
      <c r="CK551" s="64">
        <f t="shared" si="79"/>
        <v>0</v>
      </c>
      <c r="CL551" s="16"/>
      <c r="CM551" s="16"/>
      <c r="CN551" s="16"/>
    </row>
    <row r="552" spans="1:96" ht="15" customHeight="1" x14ac:dyDescent="0.2">
      <c r="A552" s="1">
        <v>8000441135</v>
      </c>
      <c r="B552" s="1">
        <v>800044113</v>
      </c>
      <c r="C552" s="9">
        <v>210554405</v>
      </c>
      <c r="D552" s="10" t="s">
        <v>771</v>
      </c>
      <c r="E552" s="52" t="s">
        <v>2068</v>
      </c>
      <c r="F552" s="21"/>
      <c r="G552" s="59"/>
      <c r="H552" s="21"/>
      <c r="I552" s="59"/>
      <c r="J552" s="21"/>
      <c r="K552" s="21"/>
      <c r="L552" s="59"/>
      <c r="M552" s="60"/>
      <c r="N552" s="21"/>
      <c r="O552" s="59"/>
      <c r="P552" s="21"/>
      <c r="Q552" s="59"/>
      <c r="R552" s="21"/>
      <c r="S552" s="21"/>
      <c r="T552" s="59"/>
      <c r="U552" s="60">
        <f t="shared" si="74"/>
        <v>0</v>
      </c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>
        <v>657049565</v>
      </c>
      <c r="AN552" s="60">
        <f>SUBTOTAL(9,AC552:AM552)</f>
        <v>657049565</v>
      </c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>
        <v>313027230</v>
      </c>
      <c r="AZ552" s="60"/>
      <c r="BA552" s="60">
        <f>VLOOKUP(B552,[2]Hoja3!J$3:K$674,2,0)</f>
        <v>111089020</v>
      </c>
      <c r="BB552" s="60"/>
      <c r="BC552" s="61">
        <f t="shared" si="75"/>
        <v>1081165815</v>
      </c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>
        <v>62605446</v>
      </c>
      <c r="BO552" s="60"/>
      <c r="BP552" s="61">
        <v>1143771261</v>
      </c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>
        <v>62605446</v>
      </c>
      <c r="CD552" s="61"/>
      <c r="CE552" s="61"/>
      <c r="CF552" s="61"/>
      <c r="CG552" s="61">
        <f t="shared" si="76"/>
        <v>1206376707</v>
      </c>
      <c r="CH552" s="62">
        <f>VLOOKUP(B552,[1]RPTNCT049_ConsultaSaldosContabl!I$4:K$7987,3,0)</f>
        <v>438238122</v>
      </c>
      <c r="CI552" s="62">
        <f t="shared" si="77"/>
        <v>768138585</v>
      </c>
      <c r="CJ552" s="63">
        <f t="shared" si="78"/>
        <v>1206376707</v>
      </c>
      <c r="CK552" s="64">
        <f t="shared" si="79"/>
        <v>0</v>
      </c>
      <c r="CL552" s="16"/>
      <c r="CM552" s="16"/>
      <c r="CN552" s="16"/>
    </row>
    <row r="553" spans="1:96" ht="15" customHeight="1" x14ac:dyDescent="0.2">
      <c r="A553" s="1">
        <v>8902045379</v>
      </c>
      <c r="B553" s="1">
        <v>890204537</v>
      </c>
      <c r="C553" s="9">
        <v>211868418</v>
      </c>
      <c r="D553" s="10" t="s">
        <v>854</v>
      </c>
      <c r="E553" s="52" t="s">
        <v>1868</v>
      </c>
      <c r="F553" s="21"/>
      <c r="G553" s="59"/>
      <c r="H553" s="21"/>
      <c r="I553" s="59"/>
      <c r="J553" s="21"/>
      <c r="K553" s="21"/>
      <c r="L553" s="59"/>
      <c r="M553" s="60"/>
      <c r="N553" s="21"/>
      <c r="O553" s="59"/>
      <c r="P553" s="21"/>
      <c r="Q553" s="59"/>
      <c r="R553" s="21"/>
      <c r="S553" s="21"/>
      <c r="T553" s="59"/>
      <c r="U553" s="60">
        <f t="shared" si="74"/>
        <v>0</v>
      </c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>
        <v>73012588</v>
      </c>
      <c r="AN553" s="60">
        <f>SUBTOTAL(9,AC553:AM553)</f>
        <v>73012588</v>
      </c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>
        <f>VLOOKUP(B553,[2]Hoja3!J$3:K$674,2,0)</f>
        <v>142945770</v>
      </c>
      <c r="BB553" s="60"/>
      <c r="BC553" s="61">
        <f t="shared" si="75"/>
        <v>215958358</v>
      </c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>
        <v>20246464</v>
      </c>
      <c r="BO553" s="60"/>
      <c r="BP553" s="61">
        <v>236204822</v>
      </c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>
        <v>20246464</v>
      </c>
      <c r="CD553" s="61">
        <v>101232320</v>
      </c>
      <c r="CE553" s="61"/>
      <c r="CF553" s="61"/>
      <c r="CG553" s="61">
        <f t="shared" si="76"/>
        <v>357683606</v>
      </c>
      <c r="CH553" s="62">
        <f>VLOOKUP(B553,[1]RPTNCT049_ConsultaSaldosContabl!I$4:K$7987,3,0)</f>
        <v>141725248</v>
      </c>
      <c r="CI553" s="62">
        <f t="shared" si="77"/>
        <v>215958358</v>
      </c>
      <c r="CJ553" s="63">
        <f t="shared" si="78"/>
        <v>357683606</v>
      </c>
      <c r="CK553" s="64">
        <f t="shared" si="79"/>
        <v>0</v>
      </c>
      <c r="CL553" s="16"/>
      <c r="CM553" s="16"/>
      <c r="CN553" s="16"/>
    </row>
    <row r="554" spans="1:96" ht="15" customHeight="1" x14ac:dyDescent="0.2">
      <c r="A554" s="1">
        <v>8905026114</v>
      </c>
      <c r="B554" s="1">
        <v>890502611</v>
      </c>
      <c r="C554" s="9">
        <v>211854418</v>
      </c>
      <c r="D554" s="10" t="s">
        <v>772</v>
      </c>
      <c r="E554" s="52" t="s">
        <v>1789</v>
      </c>
      <c r="F554" s="21"/>
      <c r="G554" s="59"/>
      <c r="H554" s="21"/>
      <c r="I554" s="59"/>
      <c r="J554" s="21"/>
      <c r="K554" s="21"/>
      <c r="L554" s="59"/>
      <c r="M554" s="60"/>
      <c r="N554" s="21"/>
      <c r="O554" s="59"/>
      <c r="P554" s="21"/>
      <c r="Q554" s="59"/>
      <c r="R554" s="21"/>
      <c r="S554" s="21"/>
      <c r="T554" s="59"/>
      <c r="U554" s="60">
        <f t="shared" si="74"/>
        <v>0</v>
      </c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>
        <v>23128590</v>
      </c>
      <c r="AZ554" s="60"/>
      <c r="BA554" s="60">
        <f>VLOOKUP(B554,[2]Hoja3!J$3:K$674,2,0)</f>
        <v>55326276</v>
      </c>
      <c r="BB554" s="60"/>
      <c r="BC554" s="61">
        <f t="shared" si="75"/>
        <v>78454866</v>
      </c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>
        <v>4625718</v>
      </c>
      <c r="BO554" s="60"/>
      <c r="BP554" s="61">
        <v>83080584</v>
      </c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  <c r="CB554" s="61"/>
      <c r="CC554" s="61">
        <v>4625718</v>
      </c>
      <c r="CD554" s="61"/>
      <c r="CE554" s="61"/>
      <c r="CF554" s="61"/>
      <c r="CG554" s="61">
        <f t="shared" si="76"/>
        <v>87706302</v>
      </c>
      <c r="CH554" s="62">
        <f>VLOOKUP(B554,[1]RPTNCT049_ConsultaSaldosContabl!I$4:K$7987,3,0)</f>
        <v>32380026</v>
      </c>
      <c r="CI554" s="62">
        <f t="shared" si="77"/>
        <v>55326276</v>
      </c>
      <c r="CJ554" s="63">
        <f t="shared" si="78"/>
        <v>87706302</v>
      </c>
      <c r="CK554" s="64">
        <f t="shared" si="79"/>
        <v>0</v>
      </c>
      <c r="CL554" s="16"/>
      <c r="CM554" s="16"/>
      <c r="CN554" s="16"/>
    </row>
    <row r="555" spans="1:96" ht="15" customHeight="1" x14ac:dyDescent="0.2">
      <c r="A555" s="1">
        <v>8901030034</v>
      </c>
      <c r="B555" s="1">
        <v>890103003</v>
      </c>
      <c r="C555" s="9">
        <v>212108421</v>
      </c>
      <c r="D555" s="10" t="s">
        <v>166</v>
      </c>
      <c r="E555" s="52" t="s">
        <v>1194</v>
      </c>
      <c r="F555" s="21"/>
      <c r="G555" s="59"/>
      <c r="H555" s="21"/>
      <c r="I555" s="59"/>
      <c r="J555" s="21"/>
      <c r="K555" s="21"/>
      <c r="L555" s="59"/>
      <c r="M555" s="60"/>
      <c r="N555" s="21"/>
      <c r="O555" s="59"/>
      <c r="P555" s="21"/>
      <c r="Q555" s="59"/>
      <c r="R555" s="21"/>
      <c r="S555" s="21"/>
      <c r="T555" s="59"/>
      <c r="U555" s="60">
        <f t="shared" si="74"/>
        <v>0</v>
      </c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>
        <v>107827870</v>
      </c>
      <c r="AN555" s="60">
        <f>SUBTOTAL(9,AC555:AM555)</f>
        <v>107827870</v>
      </c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>
        <v>256212935</v>
      </c>
      <c r="AZ555" s="60"/>
      <c r="BA555" s="60">
        <f>VLOOKUP(B555,[2]Hoja3!J$3:K$674,2,0)</f>
        <v>384295832</v>
      </c>
      <c r="BB555" s="60"/>
      <c r="BC555" s="61">
        <f t="shared" si="75"/>
        <v>748336637</v>
      </c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>
        <v>51242587</v>
      </c>
      <c r="BO555" s="60"/>
      <c r="BP555" s="61">
        <v>799579224</v>
      </c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  <c r="CA555" s="61"/>
      <c r="CB555" s="61"/>
      <c r="CC555" s="61">
        <v>51242587</v>
      </c>
      <c r="CD555" s="61"/>
      <c r="CE555" s="61"/>
      <c r="CF555" s="61"/>
      <c r="CG555" s="61">
        <f t="shared" si="76"/>
        <v>850821811</v>
      </c>
      <c r="CH555" s="62">
        <f>VLOOKUP(B555,[1]RPTNCT049_ConsultaSaldosContabl!I$4:K$7987,3,0)</f>
        <v>358698109</v>
      </c>
      <c r="CI555" s="62">
        <f t="shared" si="77"/>
        <v>492123702</v>
      </c>
      <c r="CJ555" s="63">
        <f t="shared" si="78"/>
        <v>850821811</v>
      </c>
      <c r="CK555" s="64">
        <f t="shared" si="79"/>
        <v>0</v>
      </c>
      <c r="CL555" s="16"/>
      <c r="CM555" s="16"/>
      <c r="CN555" s="16"/>
    </row>
    <row r="556" spans="1:96" ht="15" customHeight="1" x14ac:dyDescent="0.2">
      <c r="A556" s="1">
        <v>8918011291</v>
      </c>
      <c r="B556" s="1">
        <v>891801129</v>
      </c>
      <c r="C556" s="9">
        <v>212515425</v>
      </c>
      <c r="D556" s="10" t="s">
        <v>266</v>
      </c>
      <c r="E556" s="52" t="s">
        <v>1300</v>
      </c>
      <c r="F556" s="21"/>
      <c r="G556" s="59"/>
      <c r="H556" s="21"/>
      <c r="I556" s="59"/>
      <c r="J556" s="21"/>
      <c r="K556" s="21"/>
      <c r="L556" s="59"/>
      <c r="M556" s="60"/>
      <c r="N556" s="21"/>
      <c r="O556" s="59"/>
      <c r="P556" s="21"/>
      <c r="Q556" s="59"/>
      <c r="R556" s="21"/>
      <c r="S556" s="21"/>
      <c r="T556" s="59"/>
      <c r="U556" s="60">
        <f t="shared" si="74"/>
        <v>0</v>
      </c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>
        <v>30591405</v>
      </c>
      <c r="AZ556" s="60"/>
      <c r="BA556" s="60">
        <f>VLOOKUP(B556,[2]Hoja3!J$3:K$674,2,0)</f>
        <v>56240656</v>
      </c>
      <c r="BB556" s="60"/>
      <c r="BC556" s="61">
        <f t="shared" si="75"/>
        <v>86832061</v>
      </c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>
        <v>6118281</v>
      </c>
      <c r="BO556" s="60"/>
      <c r="BP556" s="61">
        <v>92950342</v>
      </c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  <c r="CA556" s="61"/>
      <c r="CB556" s="61"/>
      <c r="CC556" s="61">
        <v>6118281</v>
      </c>
      <c r="CD556" s="61"/>
      <c r="CE556" s="61"/>
      <c r="CF556" s="61"/>
      <c r="CG556" s="61">
        <f t="shared" si="76"/>
        <v>99068623</v>
      </c>
      <c r="CH556" s="62">
        <f>VLOOKUP(B556,[1]RPTNCT049_ConsultaSaldosContabl!I$4:K$7987,3,0)</f>
        <v>42827967</v>
      </c>
      <c r="CI556" s="62">
        <f t="shared" si="77"/>
        <v>56240656</v>
      </c>
      <c r="CJ556" s="63">
        <f t="shared" si="78"/>
        <v>99068623</v>
      </c>
      <c r="CK556" s="64">
        <f t="shared" si="79"/>
        <v>0</v>
      </c>
      <c r="CL556" s="16"/>
      <c r="CM556" s="8"/>
      <c r="CN556" s="8"/>
      <c r="CO556" s="8"/>
      <c r="CP556" s="8"/>
      <c r="CQ556" s="8"/>
      <c r="CR556" s="8"/>
    </row>
    <row r="557" spans="1:96" ht="15" customHeight="1" x14ac:dyDescent="0.2">
      <c r="A557" s="1">
        <v>8902109471</v>
      </c>
      <c r="B557" s="1">
        <v>890210947</v>
      </c>
      <c r="C557" s="9">
        <v>212568425</v>
      </c>
      <c r="D557" s="10" t="s">
        <v>855</v>
      </c>
      <c r="E557" s="52" t="s">
        <v>1869</v>
      </c>
      <c r="F557" s="21"/>
      <c r="G557" s="59"/>
      <c r="H557" s="21"/>
      <c r="I557" s="59"/>
      <c r="J557" s="21"/>
      <c r="K557" s="21"/>
      <c r="L557" s="59"/>
      <c r="M557" s="60"/>
      <c r="N557" s="21"/>
      <c r="O557" s="59"/>
      <c r="P557" s="21"/>
      <c r="Q557" s="59"/>
      <c r="R557" s="21"/>
      <c r="S557" s="21"/>
      <c r="T557" s="59"/>
      <c r="U557" s="60">
        <f t="shared" si="74"/>
        <v>0</v>
      </c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>
        <v>21357595</v>
      </c>
      <c r="AZ557" s="60"/>
      <c r="BA557" s="60">
        <f>VLOOKUP(B557,[2]Hoja3!J$3:K$674,2,0)</f>
        <v>34360416</v>
      </c>
      <c r="BB557" s="60"/>
      <c r="BC557" s="61">
        <f t="shared" si="75"/>
        <v>55718011</v>
      </c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>
        <v>4271519</v>
      </c>
      <c r="BO557" s="60"/>
      <c r="BP557" s="61">
        <v>59989530</v>
      </c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>
        <v>4271519</v>
      </c>
      <c r="CD557" s="61"/>
      <c r="CE557" s="61"/>
      <c r="CF557" s="61"/>
      <c r="CG557" s="61">
        <f t="shared" si="76"/>
        <v>64261049</v>
      </c>
      <c r="CH557" s="62">
        <f>VLOOKUP(B557,[1]RPTNCT049_ConsultaSaldosContabl!I$4:K$7987,3,0)</f>
        <v>29900633</v>
      </c>
      <c r="CI557" s="62">
        <f t="shared" si="77"/>
        <v>34360416</v>
      </c>
      <c r="CJ557" s="63">
        <f t="shared" si="78"/>
        <v>64261049</v>
      </c>
      <c r="CK557" s="64">
        <f t="shared" si="79"/>
        <v>0</v>
      </c>
      <c r="CL557" s="16"/>
      <c r="CM557" s="16"/>
      <c r="CN557" s="16"/>
    </row>
    <row r="558" spans="1:96" ht="15" customHeight="1" x14ac:dyDescent="0.2">
      <c r="A558" s="1">
        <v>8909809583</v>
      </c>
      <c r="B558" s="1">
        <v>890980958</v>
      </c>
      <c r="C558" s="9">
        <v>212505425</v>
      </c>
      <c r="D558" s="10" t="s">
        <v>106</v>
      </c>
      <c r="E558" s="52" t="s">
        <v>1137</v>
      </c>
      <c r="F558" s="21"/>
      <c r="G558" s="59"/>
      <c r="H558" s="21"/>
      <c r="I558" s="59"/>
      <c r="J558" s="21"/>
      <c r="K558" s="21"/>
      <c r="L558" s="59"/>
      <c r="M558" s="60"/>
      <c r="N558" s="21"/>
      <c r="O558" s="59"/>
      <c r="P558" s="21"/>
      <c r="Q558" s="59"/>
      <c r="R558" s="21"/>
      <c r="S558" s="21"/>
      <c r="T558" s="59"/>
      <c r="U558" s="60">
        <f t="shared" si="74"/>
        <v>0</v>
      </c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>
        <v>58460695</v>
      </c>
      <c r="AZ558" s="60"/>
      <c r="BA558" s="60">
        <f>VLOOKUP(B558,[2]Hoja3!J$3:K$674,2,0)</f>
        <v>132891377</v>
      </c>
      <c r="BB558" s="60"/>
      <c r="BC558" s="61">
        <f t="shared" si="75"/>
        <v>191352072</v>
      </c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>
        <v>11692139</v>
      </c>
      <c r="BO558" s="60"/>
      <c r="BP558" s="61">
        <v>203044211</v>
      </c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>
        <v>11692139</v>
      </c>
      <c r="CD558" s="61"/>
      <c r="CE558" s="61"/>
      <c r="CF558" s="61"/>
      <c r="CG558" s="61">
        <f t="shared" si="76"/>
        <v>214736350</v>
      </c>
      <c r="CH558" s="62">
        <f>VLOOKUP(B558,[1]RPTNCT049_ConsultaSaldosContabl!I$4:K$7987,3,0)</f>
        <v>81844973</v>
      </c>
      <c r="CI558" s="62">
        <f t="shared" si="77"/>
        <v>132891377</v>
      </c>
      <c r="CJ558" s="63">
        <f t="shared" si="78"/>
        <v>214736350</v>
      </c>
      <c r="CK558" s="64">
        <f t="shared" si="79"/>
        <v>0</v>
      </c>
      <c r="CL558" s="16"/>
      <c r="CM558" s="16"/>
      <c r="CN558" s="16"/>
    </row>
    <row r="559" spans="1:96" ht="15" customHeight="1" x14ac:dyDescent="0.2">
      <c r="A559" s="1">
        <v>8999994011</v>
      </c>
      <c r="B559" s="1">
        <v>899999401</v>
      </c>
      <c r="C559" s="9">
        <v>212625426</v>
      </c>
      <c r="D559" s="10" t="s">
        <v>510</v>
      </c>
      <c r="E559" s="52" t="s">
        <v>1535</v>
      </c>
      <c r="F559" s="21"/>
      <c r="G559" s="59"/>
      <c r="H559" s="21"/>
      <c r="I559" s="59"/>
      <c r="J559" s="21"/>
      <c r="K559" s="21"/>
      <c r="L559" s="59"/>
      <c r="M559" s="60"/>
      <c r="N559" s="21"/>
      <c r="O559" s="59"/>
      <c r="P559" s="21"/>
      <c r="Q559" s="59"/>
      <c r="R559" s="21"/>
      <c r="S559" s="21"/>
      <c r="T559" s="59"/>
      <c r="U559" s="60">
        <f t="shared" si="74"/>
        <v>0</v>
      </c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>
        <v>86624163</v>
      </c>
      <c r="AN559" s="60">
        <f>SUBTOTAL(9,AC559:AM559)</f>
        <v>86624163</v>
      </c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>
        <v>46278190</v>
      </c>
      <c r="AZ559" s="60"/>
      <c r="BA559" s="60"/>
      <c r="BB559" s="60"/>
      <c r="BC559" s="61">
        <f t="shared" si="75"/>
        <v>132902353</v>
      </c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>
        <v>9255638</v>
      </c>
      <c r="BO559" s="60"/>
      <c r="BP559" s="61">
        <v>142157991</v>
      </c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  <c r="CA559" s="61"/>
      <c r="CB559" s="61"/>
      <c r="CC559" s="61">
        <v>9255638</v>
      </c>
      <c r="CD559" s="61"/>
      <c r="CE559" s="61"/>
      <c r="CF559" s="61"/>
      <c r="CG559" s="61">
        <f t="shared" si="76"/>
        <v>151413629</v>
      </c>
      <c r="CH559" s="62">
        <f>VLOOKUP(B559,[1]RPTNCT049_ConsultaSaldosContabl!I$4:K$7987,3,0)</f>
        <v>64789466</v>
      </c>
      <c r="CI559" s="62">
        <f t="shared" si="77"/>
        <v>86624163</v>
      </c>
      <c r="CJ559" s="63">
        <f t="shared" si="78"/>
        <v>151413629</v>
      </c>
      <c r="CK559" s="64">
        <f t="shared" si="79"/>
        <v>0</v>
      </c>
      <c r="CL559" s="16"/>
      <c r="CM559" s="16"/>
      <c r="CN559" s="16"/>
    </row>
    <row r="560" spans="1:96" ht="15" customHeight="1" x14ac:dyDescent="0.2">
      <c r="A560" s="1">
        <v>8999993258</v>
      </c>
      <c r="B560" s="1">
        <v>899999325</v>
      </c>
      <c r="C560" s="9">
        <v>213025430</v>
      </c>
      <c r="D560" s="10" t="s">
        <v>511</v>
      </c>
      <c r="E560" s="52" t="s">
        <v>1536</v>
      </c>
      <c r="F560" s="21"/>
      <c r="G560" s="59"/>
      <c r="H560" s="21"/>
      <c r="I560" s="59"/>
      <c r="J560" s="21"/>
      <c r="K560" s="21"/>
      <c r="L560" s="59"/>
      <c r="M560" s="60"/>
      <c r="N560" s="21"/>
      <c r="O560" s="59"/>
      <c r="P560" s="21"/>
      <c r="Q560" s="59"/>
      <c r="R560" s="21"/>
      <c r="S560" s="21"/>
      <c r="T560" s="59"/>
      <c r="U560" s="60">
        <f t="shared" si="74"/>
        <v>0</v>
      </c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>
        <v>727083005</v>
      </c>
      <c r="AN560" s="60">
        <f>SUBTOTAL(9,AC560:AM560)</f>
        <v>727083005</v>
      </c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1">
        <f t="shared" si="75"/>
        <v>727083005</v>
      </c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>
        <v>0</v>
      </c>
      <c r="BO560" s="60"/>
      <c r="BP560" s="61">
        <v>727083005</v>
      </c>
      <c r="BQ560" s="61"/>
      <c r="BR560" s="61"/>
      <c r="BS560" s="61"/>
      <c r="BT560" s="61"/>
      <c r="BU560" s="61"/>
      <c r="BV560" s="61"/>
      <c r="BW560" s="61"/>
      <c r="BX560" s="61"/>
      <c r="BY560" s="61"/>
      <c r="BZ560" s="61"/>
      <c r="CA560" s="61"/>
      <c r="CB560" s="61"/>
      <c r="CC560" s="61">
        <v>0</v>
      </c>
      <c r="CD560" s="61"/>
      <c r="CE560" s="61"/>
      <c r="CF560" s="61"/>
      <c r="CG560" s="61">
        <f t="shared" si="76"/>
        <v>727083005</v>
      </c>
      <c r="CH560" s="62"/>
      <c r="CI560" s="62">
        <f t="shared" si="77"/>
        <v>727083005</v>
      </c>
      <c r="CJ560" s="63">
        <f t="shared" si="78"/>
        <v>727083005</v>
      </c>
      <c r="CK560" s="64">
        <f t="shared" si="79"/>
        <v>0</v>
      </c>
      <c r="CL560" s="16"/>
      <c r="CM560" s="16"/>
      <c r="CN560" s="16"/>
    </row>
    <row r="561" spans="1:96" ht="15" customHeight="1" x14ac:dyDescent="0.2">
      <c r="A561" s="1">
        <v>8000284322</v>
      </c>
      <c r="B561" s="1">
        <v>800028432</v>
      </c>
      <c r="C561" s="9">
        <v>213013430</v>
      </c>
      <c r="D561" s="10" t="s">
        <v>2171</v>
      </c>
      <c r="E561" s="53" t="s">
        <v>1010</v>
      </c>
      <c r="F561" s="21"/>
      <c r="G561" s="59"/>
      <c r="H561" s="21"/>
      <c r="I561" s="59">
        <f>3977763792+74422874</f>
        <v>4052186666</v>
      </c>
      <c r="J561" s="21">
        <v>298707968</v>
      </c>
      <c r="K561" s="21">
        <v>604896847</v>
      </c>
      <c r="L561" s="59"/>
      <c r="M561" s="61">
        <f>SUM(F561:L561)</f>
        <v>4955791481</v>
      </c>
      <c r="N561" s="21"/>
      <c r="O561" s="59"/>
      <c r="P561" s="21"/>
      <c r="Q561" s="59">
        <f>3924978757+85000000+33828579</f>
        <v>4043807336</v>
      </c>
      <c r="R561" s="21">
        <v>299002538</v>
      </c>
      <c r="S561" s="21">
        <f>306188879+299002538</f>
        <v>605191417</v>
      </c>
      <c r="T561" s="59"/>
      <c r="U561" s="60">
        <f t="shared" si="74"/>
        <v>9903792772</v>
      </c>
      <c r="V561" s="60"/>
      <c r="W561" s="60"/>
      <c r="X561" s="60"/>
      <c r="Y561" s="60">
        <v>6024188508</v>
      </c>
      <c r="Z561" s="60">
        <v>357979822</v>
      </c>
      <c r="AA561" s="60">
        <v>678638333</v>
      </c>
      <c r="AB561" s="60"/>
      <c r="AC561" s="60">
        <f t="shared" si="81"/>
        <v>16964599435</v>
      </c>
      <c r="AD561" s="60"/>
      <c r="AE561" s="60"/>
      <c r="AF561" s="60"/>
      <c r="AG561" s="60"/>
      <c r="AH561" s="60">
        <v>4185681064</v>
      </c>
      <c r="AI561" s="60">
        <v>466416359</v>
      </c>
      <c r="AJ561" s="60">
        <v>301438444</v>
      </c>
      <c r="AK561" s="60">
        <v>761056664</v>
      </c>
      <c r="AL561" s="60"/>
      <c r="AM561" s="60">
        <v>1973699512</v>
      </c>
      <c r="AN561" s="60">
        <f>SUBTOTAL(9,AC561:AM561)</f>
        <v>24652891478</v>
      </c>
      <c r="AO561" s="60"/>
      <c r="AP561" s="60"/>
      <c r="AQ561" s="60">
        <v>1138612905</v>
      </c>
      <c r="AR561" s="60"/>
      <c r="AS561" s="60"/>
      <c r="AT561" s="60">
        <v>4185681064</v>
      </c>
      <c r="AU561" s="60">
        <v>280000000</v>
      </c>
      <c r="AV561" s="60">
        <v>301438444</v>
      </c>
      <c r="AW561" s="60">
        <v>515715238</v>
      </c>
      <c r="AX561" s="60"/>
      <c r="AY561" s="60"/>
      <c r="AZ561" s="60">
        <v>375956829</v>
      </c>
      <c r="BA561" s="60">
        <f>VLOOKUP(B561,[2]Hoja3!J$3:K$674,2,0)</f>
        <v>292791519</v>
      </c>
      <c r="BB561" s="60">
        <f>VLOOKUP(B561,'[3]anuladas en mayo gratuidad}'!K$2:L$55,2,0)</f>
        <v>243386506</v>
      </c>
      <c r="BC561" s="61">
        <f t="shared" si="75"/>
        <v>31499700971</v>
      </c>
      <c r="BD561" s="60"/>
      <c r="BE561" s="60"/>
      <c r="BF561" s="60">
        <v>227722581</v>
      </c>
      <c r="BG561" s="60"/>
      <c r="BH561" s="60"/>
      <c r="BI561" s="60">
        <v>4196897342</v>
      </c>
      <c r="BJ561" s="60">
        <v>130431048</v>
      </c>
      <c r="BK561" s="60">
        <v>260795699</v>
      </c>
      <c r="BL561" s="60">
        <v>811830647</v>
      </c>
      <c r="BM561" s="60"/>
      <c r="BN561" s="60"/>
      <c r="BO561" s="60">
        <v>55212611</v>
      </c>
      <c r="BP561" s="61">
        <v>37182590899</v>
      </c>
      <c r="BQ561" s="61"/>
      <c r="BR561" s="61"/>
      <c r="BS561" s="61">
        <v>227722581</v>
      </c>
      <c r="BT561" s="61"/>
      <c r="BU561" s="61"/>
      <c r="BV561" s="61"/>
      <c r="BW561" s="61">
        <v>4240509762</v>
      </c>
      <c r="BX561" s="61"/>
      <c r="BY561" s="61">
        <v>2130600335</v>
      </c>
      <c r="BZ561" s="61">
        <v>307748911</v>
      </c>
      <c r="CA561" s="61">
        <v>813951447</v>
      </c>
      <c r="CB561" s="61"/>
      <c r="CC561" s="61"/>
      <c r="CD561" s="61"/>
      <c r="CE561" s="61"/>
      <c r="CF561" s="61"/>
      <c r="CG561" s="61">
        <f t="shared" si="76"/>
        <v>44903123935</v>
      </c>
      <c r="CH561" s="62">
        <f>VLOOKUP(B561,[1]RPTNCT049_ConsultaSaldosContabl!I$4:K$7987,3,0)</f>
        <v>42824806799</v>
      </c>
      <c r="CI561" s="62">
        <f t="shared" si="77"/>
        <v>2078317136</v>
      </c>
      <c r="CJ561" s="63">
        <f t="shared" si="78"/>
        <v>44903123935</v>
      </c>
      <c r="CK561" s="64">
        <f t="shared" si="79"/>
        <v>0</v>
      </c>
      <c r="CL561" s="16"/>
      <c r="CM561" s="16"/>
      <c r="CN561" s="16"/>
    </row>
    <row r="562" spans="1:96" ht="15" customHeight="1" x14ac:dyDescent="0.2">
      <c r="A562" s="1">
        <v>8000991061</v>
      </c>
      <c r="B562" s="1">
        <v>800099106</v>
      </c>
      <c r="C562" s="9">
        <v>212752427</v>
      </c>
      <c r="D562" s="10" t="s">
        <v>725</v>
      </c>
      <c r="E562" s="52" t="s">
        <v>1747</v>
      </c>
      <c r="F562" s="21"/>
      <c r="G562" s="59"/>
      <c r="H562" s="21"/>
      <c r="I562" s="59"/>
      <c r="J562" s="21"/>
      <c r="K562" s="21"/>
      <c r="L562" s="59"/>
      <c r="M562" s="60"/>
      <c r="N562" s="21"/>
      <c r="O562" s="59"/>
      <c r="P562" s="21"/>
      <c r="Q562" s="59"/>
      <c r="R562" s="21"/>
      <c r="S562" s="21"/>
      <c r="T562" s="59"/>
      <c r="U562" s="60">
        <f t="shared" si="74"/>
        <v>0</v>
      </c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>
        <v>202671495</v>
      </c>
      <c r="AZ562" s="60"/>
      <c r="BA562" s="60">
        <f>VLOOKUP(B562,[2]Hoja3!J$3:K$674,2,0)</f>
        <v>197263000</v>
      </c>
      <c r="BB562" s="60"/>
      <c r="BC562" s="61">
        <f t="shared" si="75"/>
        <v>399934495</v>
      </c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>
        <v>40534299</v>
      </c>
      <c r="BO562" s="60"/>
      <c r="BP562" s="61">
        <v>440468794</v>
      </c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  <c r="CA562" s="61"/>
      <c r="CB562" s="61"/>
      <c r="CC562" s="61">
        <v>40534299</v>
      </c>
      <c r="CD562" s="61"/>
      <c r="CE562" s="61"/>
      <c r="CF562" s="61"/>
      <c r="CG562" s="61">
        <f t="shared" si="76"/>
        <v>481003093</v>
      </c>
      <c r="CH562" s="62">
        <f>VLOOKUP(B562,[1]RPTNCT049_ConsultaSaldosContabl!I$4:K$7987,3,0)</f>
        <v>283740093</v>
      </c>
      <c r="CI562" s="62">
        <f t="shared" si="77"/>
        <v>197263000</v>
      </c>
      <c r="CJ562" s="63">
        <f t="shared" si="78"/>
        <v>481003093</v>
      </c>
      <c r="CK562" s="64">
        <f t="shared" si="79"/>
        <v>0</v>
      </c>
      <c r="CL562" s="16"/>
      <c r="CM562" s="16"/>
      <c r="CN562" s="16"/>
    </row>
    <row r="563" spans="1:96" ht="15" customHeight="1" x14ac:dyDescent="0.2">
      <c r="A563" s="1">
        <v>8000955143</v>
      </c>
      <c r="B563" s="1">
        <v>800095514</v>
      </c>
      <c r="C563" s="9">
        <v>213313433</v>
      </c>
      <c r="D563" s="10" t="s">
        <v>194</v>
      </c>
      <c r="E563" s="52" t="s">
        <v>1225</v>
      </c>
      <c r="F563" s="21"/>
      <c r="G563" s="59"/>
      <c r="H563" s="21"/>
      <c r="I563" s="59"/>
      <c r="J563" s="21"/>
      <c r="K563" s="21"/>
      <c r="L563" s="59"/>
      <c r="M563" s="60"/>
      <c r="N563" s="21"/>
      <c r="O563" s="59"/>
      <c r="P563" s="21"/>
      <c r="Q563" s="59"/>
      <c r="R563" s="21"/>
      <c r="S563" s="21"/>
      <c r="T563" s="59"/>
      <c r="U563" s="60">
        <f t="shared" si="74"/>
        <v>0</v>
      </c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>
        <v>216511617</v>
      </c>
      <c r="AN563" s="60">
        <f>SUBTOTAL(9,AC563:AM563)</f>
        <v>216511617</v>
      </c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>
        <v>247606205</v>
      </c>
      <c r="AZ563" s="60"/>
      <c r="BA563" s="60">
        <f>VLOOKUP(B563,[2]Hoja3!J$3:K$674,2,0)</f>
        <v>285140227</v>
      </c>
      <c r="BB563" s="60"/>
      <c r="BC563" s="61">
        <f t="shared" si="75"/>
        <v>749258049</v>
      </c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>
        <v>49521241</v>
      </c>
      <c r="BO563" s="60"/>
      <c r="BP563" s="61">
        <v>798779290</v>
      </c>
      <c r="BQ563" s="61"/>
      <c r="BR563" s="61"/>
      <c r="BS563" s="61"/>
      <c r="BT563" s="61"/>
      <c r="BU563" s="61"/>
      <c r="BV563" s="61"/>
      <c r="BW563" s="61"/>
      <c r="BX563" s="61"/>
      <c r="BY563" s="61"/>
      <c r="BZ563" s="61"/>
      <c r="CA563" s="61"/>
      <c r="CB563" s="61"/>
      <c r="CC563" s="61">
        <v>49521241</v>
      </c>
      <c r="CD563" s="61"/>
      <c r="CE563" s="61"/>
      <c r="CF563" s="61"/>
      <c r="CG563" s="61">
        <f t="shared" si="76"/>
        <v>848300531</v>
      </c>
      <c r="CH563" s="62">
        <f>VLOOKUP(B563,[1]RPTNCT049_ConsultaSaldosContabl!I$4:K$7987,3,0)</f>
        <v>346648687</v>
      </c>
      <c r="CI563" s="62">
        <f t="shared" si="77"/>
        <v>501651844</v>
      </c>
      <c r="CJ563" s="63">
        <f t="shared" si="78"/>
        <v>848300531</v>
      </c>
      <c r="CK563" s="64">
        <f t="shared" si="79"/>
        <v>0</v>
      </c>
      <c r="CL563" s="16"/>
      <c r="CM563" s="8"/>
      <c r="CN563" s="8"/>
      <c r="CO563" s="8"/>
      <c r="CP563" s="8"/>
      <c r="CQ563" s="8"/>
      <c r="CR563" s="8"/>
    </row>
    <row r="564" spans="1:96" ht="15" customHeight="1" x14ac:dyDescent="0.2">
      <c r="A564" s="1">
        <v>8921200209</v>
      </c>
      <c r="B564" s="1">
        <v>892120020</v>
      </c>
      <c r="C564" s="9">
        <v>213044430</v>
      </c>
      <c r="D564" s="10" t="s">
        <v>2172</v>
      </c>
      <c r="E564" s="53" t="s">
        <v>2078</v>
      </c>
      <c r="F564" s="21"/>
      <c r="G564" s="59"/>
      <c r="H564" s="21"/>
      <c r="I564" s="66">
        <f>4518334807+78051480</f>
        <v>4596386287</v>
      </c>
      <c r="J564" s="21">
        <v>349527651</v>
      </c>
      <c r="K564" s="21">
        <v>699651122</v>
      </c>
      <c r="L564" s="59"/>
      <c r="M564" s="61">
        <f>SUM(F564:L564)</f>
        <v>5645565060</v>
      </c>
      <c r="N564" s="21"/>
      <c r="O564" s="59"/>
      <c r="P564" s="21"/>
      <c r="Q564" s="59">
        <f>4495545519+116592370</f>
        <v>4612137889</v>
      </c>
      <c r="R564" s="21">
        <v>349527651</v>
      </c>
      <c r="S564" s="21">
        <f>350123471+349527651</f>
        <v>699651122</v>
      </c>
      <c r="T564" s="59"/>
      <c r="U564" s="60">
        <f t="shared" si="74"/>
        <v>11306881722</v>
      </c>
      <c r="V564" s="60"/>
      <c r="W564" s="60"/>
      <c r="X564" s="60"/>
      <c r="Y564" s="60">
        <v>8638960785</v>
      </c>
      <c r="Z564" s="60">
        <v>285718569</v>
      </c>
      <c r="AA564" s="60">
        <v>672358433</v>
      </c>
      <c r="AB564" s="60"/>
      <c r="AC564" s="60">
        <f t="shared" si="81"/>
        <v>20903919509</v>
      </c>
      <c r="AD564" s="60"/>
      <c r="AE564" s="60"/>
      <c r="AF564" s="60"/>
      <c r="AG564" s="60"/>
      <c r="AH564" s="60">
        <v>4609065076</v>
      </c>
      <c r="AI564" s="60">
        <v>3179997224</v>
      </c>
      <c r="AJ564" s="60">
        <v>334286516</v>
      </c>
      <c r="AK564" s="60">
        <v>847501086</v>
      </c>
      <c r="AL564" s="60"/>
      <c r="AM564" s="60">
        <v>261527125</v>
      </c>
      <c r="AN564" s="60">
        <f>SUBTOTAL(9,AC564:AM564)</f>
        <v>30136296536</v>
      </c>
      <c r="AO564" s="60"/>
      <c r="AP564" s="60"/>
      <c r="AQ564" s="60">
        <v>1964242775</v>
      </c>
      <c r="AR564" s="60"/>
      <c r="AS564" s="60"/>
      <c r="AT564" s="60">
        <v>4959065076</v>
      </c>
      <c r="AU564" s="60">
        <v>1222559983</v>
      </c>
      <c r="AV564" s="60">
        <v>334286516</v>
      </c>
      <c r="AW564" s="60">
        <v>575326998</v>
      </c>
      <c r="AX564" s="60"/>
      <c r="AY564" s="60"/>
      <c r="AZ564" s="60">
        <v>539718656</v>
      </c>
      <c r="BA564" s="60">
        <f>VLOOKUP(B564,[2]Hoja3!J$3:K$674,2,0)</f>
        <v>3045881574</v>
      </c>
      <c r="BB564" s="60"/>
      <c r="BC564" s="61">
        <f t="shared" si="75"/>
        <v>42777378114</v>
      </c>
      <c r="BD564" s="60"/>
      <c r="BE564" s="60"/>
      <c r="BF564" s="60">
        <v>392848555</v>
      </c>
      <c r="BG564" s="60"/>
      <c r="BH564" s="60"/>
      <c r="BI564" s="60">
        <v>5041457144</v>
      </c>
      <c r="BJ564" s="60">
        <v>344358312</v>
      </c>
      <c r="BK564" s="60">
        <v>333103882</v>
      </c>
      <c r="BL564" s="60">
        <v>870463521</v>
      </c>
      <c r="BM564" s="60"/>
      <c r="BN564" s="60"/>
      <c r="BO564" s="60"/>
      <c r="BP564" s="61">
        <v>49759609528</v>
      </c>
      <c r="BQ564" s="61"/>
      <c r="BR564" s="61"/>
      <c r="BS564" s="61">
        <v>392848555</v>
      </c>
      <c r="BT564" s="61"/>
      <c r="BU564" s="61"/>
      <c r="BV564" s="61"/>
      <c r="BW564" s="61">
        <v>4843403808</v>
      </c>
      <c r="BX564" s="61">
        <v>1786713170</v>
      </c>
      <c r="BY564" s="61">
        <v>2113992193</v>
      </c>
      <c r="BZ564" s="61">
        <v>360428738</v>
      </c>
      <c r="CA564" s="61">
        <v>931221024</v>
      </c>
      <c r="CB564" s="61"/>
      <c r="CC564" s="61"/>
      <c r="CD564" s="61"/>
      <c r="CE564" s="61"/>
      <c r="CF564" s="61"/>
      <c r="CG564" s="61">
        <f t="shared" si="76"/>
        <v>60188217016</v>
      </c>
      <c r="CH564" s="62">
        <f>VLOOKUP(B564,[1]RPTNCT049_ConsultaSaldosContabl!I$4:K$7987,3,0)</f>
        <v>56880808317</v>
      </c>
      <c r="CI564" s="62">
        <f t="shared" si="77"/>
        <v>3307408699</v>
      </c>
      <c r="CJ564" s="63">
        <f t="shared" si="78"/>
        <v>60188217016</v>
      </c>
      <c r="CK564" s="64">
        <f t="shared" si="79"/>
        <v>0</v>
      </c>
      <c r="CL564" s="16"/>
      <c r="CM564" s="16"/>
      <c r="CN564" s="16"/>
    </row>
    <row r="565" spans="1:96" ht="15" customHeight="1" x14ac:dyDescent="0.2">
      <c r="A565" s="1">
        <v>8922800576</v>
      </c>
      <c r="B565" s="1">
        <v>892280057</v>
      </c>
      <c r="C565" s="9">
        <v>212970429</v>
      </c>
      <c r="D565" s="10" t="s">
        <v>901</v>
      </c>
      <c r="E565" s="52" t="s">
        <v>1914</v>
      </c>
      <c r="F565" s="21"/>
      <c r="G565" s="59"/>
      <c r="H565" s="21"/>
      <c r="I565" s="59"/>
      <c r="J565" s="21"/>
      <c r="K565" s="21"/>
      <c r="L565" s="59"/>
      <c r="M565" s="60"/>
      <c r="N565" s="21"/>
      <c r="O565" s="59"/>
      <c r="P565" s="21"/>
      <c r="Q565" s="59"/>
      <c r="R565" s="21"/>
      <c r="S565" s="21"/>
      <c r="T565" s="59"/>
      <c r="U565" s="60">
        <f t="shared" si="74"/>
        <v>0</v>
      </c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>
        <f>VLOOKUP(B565,[2]Hoja3!J$3:K$674,2,0)</f>
        <v>789972744</v>
      </c>
      <c r="BB565" s="60"/>
      <c r="BC565" s="61">
        <f t="shared" si="75"/>
        <v>789972744</v>
      </c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>
        <v>0</v>
      </c>
      <c r="BO565" s="60"/>
      <c r="BP565" s="61">
        <v>789972744</v>
      </c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  <c r="CA565" s="61"/>
      <c r="CB565" s="61"/>
      <c r="CC565" s="61">
        <v>761177711</v>
      </c>
      <c r="CD565" s="61"/>
      <c r="CE565" s="61"/>
      <c r="CF565" s="61"/>
      <c r="CG565" s="61">
        <f t="shared" si="76"/>
        <v>1551150455</v>
      </c>
      <c r="CH565" s="62">
        <f>VLOOKUP(B565,[1]RPTNCT049_ConsultaSaldosContabl!I$4:K$7987,3,0)</f>
        <v>761177711</v>
      </c>
      <c r="CI565" s="62">
        <f t="shared" si="77"/>
        <v>789972744</v>
      </c>
      <c r="CJ565" s="63">
        <f t="shared" si="78"/>
        <v>1551150455</v>
      </c>
      <c r="CK565" s="64">
        <f t="shared" si="79"/>
        <v>0</v>
      </c>
      <c r="CL565" s="16"/>
      <c r="CM565" s="16"/>
      <c r="CN565" s="16"/>
    </row>
    <row r="566" spans="1:96" ht="15" customHeight="1" x14ac:dyDescent="0.2">
      <c r="A566" s="1">
        <v>8902052291</v>
      </c>
      <c r="B566" s="1">
        <v>890205229</v>
      </c>
      <c r="C566" s="9">
        <v>213268432</v>
      </c>
      <c r="D566" s="10" t="s">
        <v>856</v>
      </c>
      <c r="E566" s="52" t="s">
        <v>1870</v>
      </c>
      <c r="F566" s="21"/>
      <c r="G566" s="59"/>
      <c r="H566" s="21"/>
      <c r="I566" s="59"/>
      <c r="J566" s="21"/>
      <c r="K566" s="21"/>
      <c r="L566" s="59"/>
      <c r="M566" s="60"/>
      <c r="N566" s="21"/>
      <c r="O566" s="59"/>
      <c r="P566" s="21"/>
      <c r="Q566" s="59"/>
      <c r="R566" s="21"/>
      <c r="S566" s="21"/>
      <c r="T566" s="59"/>
      <c r="U566" s="60">
        <f t="shared" si="74"/>
        <v>0</v>
      </c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>
        <v>348479926</v>
      </c>
      <c r="AN566" s="60">
        <f>SUBTOTAL(9,AC566:AM566)</f>
        <v>348479926</v>
      </c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>
        <v>148558975</v>
      </c>
      <c r="AZ566" s="60"/>
      <c r="BA566" s="60"/>
      <c r="BB566" s="60"/>
      <c r="BC566" s="61">
        <f t="shared" si="75"/>
        <v>497038901</v>
      </c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>
        <v>29711795</v>
      </c>
      <c r="BO566" s="60"/>
      <c r="BP566" s="61">
        <v>526750696</v>
      </c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  <c r="CA566" s="61"/>
      <c r="CB566" s="61"/>
      <c r="CC566" s="61">
        <v>29711795</v>
      </c>
      <c r="CD566" s="61"/>
      <c r="CE566" s="61"/>
      <c r="CF566" s="61"/>
      <c r="CG566" s="61">
        <f t="shared" si="76"/>
        <v>556462491</v>
      </c>
      <c r="CH566" s="62">
        <f>VLOOKUP(B566,[1]RPTNCT049_ConsultaSaldosContabl!I$4:K$7987,3,0)</f>
        <v>207982565</v>
      </c>
      <c r="CI566" s="62">
        <f t="shared" si="77"/>
        <v>348479926</v>
      </c>
      <c r="CJ566" s="63">
        <f t="shared" si="78"/>
        <v>556462491</v>
      </c>
      <c r="CK566" s="64">
        <f t="shared" si="79"/>
        <v>0</v>
      </c>
      <c r="CL566" s="16"/>
      <c r="CM566" s="16"/>
      <c r="CN566" s="16"/>
    </row>
    <row r="567" spans="1:96" ht="15" customHeight="1" x14ac:dyDescent="0.2">
      <c r="A567" s="1">
        <v>8901143351</v>
      </c>
      <c r="B567" s="1">
        <v>890114335</v>
      </c>
      <c r="C567" s="9">
        <v>213308433</v>
      </c>
      <c r="D567" s="10" t="s">
        <v>167</v>
      </c>
      <c r="E567" s="53" t="s">
        <v>1195</v>
      </c>
      <c r="F567" s="21"/>
      <c r="G567" s="59"/>
      <c r="H567" s="21"/>
      <c r="I567" s="59">
        <v>1997191500</v>
      </c>
      <c r="J567" s="21">
        <v>137424659</v>
      </c>
      <c r="K567" s="21">
        <v>273453360</v>
      </c>
      <c r="L567" s="59"/>
      <c r="M567" s="61">
        <f>SUM(F567:L567)</f>
        <v>2408069519</v>
      </c>
      <c r="N567" s="21"/>
      <c r="O567" s="59"/>
      <c r="P567" s="21"/>
      <c r="Q567" s="59">
        <f>1825234134+173000000+1486902902</f>
        <v>3485137036</v>
      </c>
      <c r="R567" s="21">
        <v>137769813</v>
      </c>
      <c r="S567" s="21">
        <f>136028701+137769813</f>
        <v>273798514</v>
      </c>
      <c r="T567" s="59"/>
      <c r="U567" s="60">
        <f t="shared" si="74"/>
        <v>6304774882</v>
      </c>
      <c r="V567" s="60"/>
      <c r="W567" s="60"/>
      <c r="X567" s="60"/>
      <c r="Y567" s="60">
        <v>4757019418</v>
      </c>
      <c r="Z567" s="60">
        <v>160111081</v>
      </c>
      <c r="AA567" s="60">
        <v>316168453</v>
      </c>
      <c r="AB567" s="60"/>
      <c r="AC567" s="60">
        <f t="shared" si="81"/>
        <v>11538073834</v>
      </c>
      <c r="AD567" s="60"/>
      <c r="AE567" s="60"/>
      <c r="AF567" s="60"/>
      <c r="AG567" s="60"/>
      <c r="AH567" s="60">
        <v>1966997994</v>
      </c>
      <c r="AI567" s="60">
        <v>428785384</v>
      </c>
      <c r="AJ567" s="60">
        <v>136574172</v>
      </c>
      <c r="AK567" s="60">
        <v>353788347</v>
      </c>
      <c r="AL567" s="60"/>
      <c r="AM567" s="60">
        <v>1052264357</v>
      </c>
      <c r="AN567" s="60">
        <f>SUBTOTAL(9,AC567:AM567)</f>
        <v>15476484088</v>
      </c>
      <c r="AO567" s="60"/>
      <c r="AP567" s="60"/>
      <c r="AQ567" s="60">
        <v>492308305</v>
      </c>
      <c r="AR567" s="60"/>
      <c r="AS567" s="60"/>
      <c r="AT567" s="60">
        <v>1966997994</v>
      </c>
      <c r="AU567" s="60">
        <v>167707361</v>
      </c>
      <c r="AV567" s="60">
        <v>136574172</v>
      </c>
      <c r="AW567" s="60">
        <v>239722817</v>
      </c>
      <c r="AX567" s="60"/>
      <c r="AY567" s="60"/>
      <c r="AZ567" s="60">
        <v>152036280</v>
      </c>
      <c r="BA567" s="60"/>
      <c r="BB567" s="60"/>
      <c r="BC567" s="61">
        <f t="shared" si="75"/>
        <v>18631831017</v>
      </c>
      <c r="BD567" s="60"/>
      <c r="BE567" s="60"/>
      <c r="BF567" s="60">
        <v>98461661</v>
      </c>
      <c r="BG567" s="60"/>
      <c r="BH567" s="60"/>
      <c r="BI567" s="60">
        <v>2006063128</v>
      </c>
      <c r="BJ567" s="60">
        <v>203178508</v>
      </c>
      <c r="BK567" s="60">
        <v>123189347</v>
      </c>
      <c r="BL567" s="60">
        <v>335039645</v>
      </c>
      <c r="BM567" s="60"/>
      <c r="BN567" s="60"/>
      <c r="BO567" s="60"/>
      <c r="BP567" s="61">
        <v>21397763306</v>
      </c>
      <c r="BQ567" s="61"/>
      <c r="BR567" s="61"/>
      <c r="BS567" s="61">
        <v>98461661</v>
      </c>
      <c r="BT567" s="61"/>
      <c r="BU567" s="61"/>
      <c r="BV567" s="74">
        <v>1500000000</v>
      </c>
      <c r="BW567" s="61">
        <v>2036056713</v>
      </c>
      <c r="BX567" s="61"/>
      <c r="BY567" s="61">
        <v>932783584</v>
      </c>
      <c r="BZ567" s="61">
        <v>146770271</v>
      </c>
      <c r="CA567" s="61">
        <v>378599531</v>
      </c>
      <c r="CB567" s="61"/>
      <c r="CC567" s="61"/>
      <c r="CD567" s="61"/>
      <c r="CE567" s="61"/>
      <c r="CF567" s="61"/>
      <c r="CG567" s="61">
        <f t="shared" si="76"/>
        <v>26490435066</v>
      </c>
      <c r="CH567" s="62">
        <f>VLOOKUP(B567,[1]RPTNCT049_ConsultaSaldosContabl!I$4:K$7987,3,0)</f>
        <v>25438170709</v>
      </c>
      <c r="CI567" s="62">
        <f t="shared" si="77"/>
        <v>1052264357</v>
      </c>
      <c r="CJ567" s="63">
        <f t="shared" si="78"/>
        <v>26490435066</v>
      </c>
      <c r="CK567" s="64">
        <f t="shared" si="79"/>
        <v>0</v>
      </c>
      <c r="CL567" s="16"/>
      <c r="CM567" s="16"/>
      <c r="CN567" s="16"/>
    </row>
    <row r="568" spans="1:96" ht="15" customHeight="1" x14ac:dyDescent="0.2">
      <c r="A568" s="1">
        <v>8000991084</v>
      </c>
      <c r="B568" s="1">
        <v>800099108</v>
      </c>
      <c r="C568" s="9">
        <v>213552435</v>
      </c>
      <c r="D568" s="10" t="s">
        <v>726</v>
      </c>
      <c r="E568" s="52" t="s">
        <v>1748</v>
      </c>
      <c r="F568" s="21"/>
      <c r="G568" s="59"/>
      <c r="H568" s="21"/>
      <c r="I568" s="59"/>
      <c r="J568" s="21"/>
      <c r="K568" s="21"/>
      <c r="L568" s="59"/>
      <c r="M568" s="60"/>
      <c r="N568" s="21"/>
      <c r="O568" s="59"/>
      <c r="P568" s="21"/>
      <c r="Q568" s="59"/>
      <c r="R568" s="21"/>
      <c r="S568" s="21"/>
      <c r="T568" s="59"/>
      <c r="U568" s="60">
        <f t="shared" si="74"/>
        <v>0</v>
      </c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>
        <f>VLOOKUP(B568,[2]Hoja3!J$3:K$674,2,0)</f>
        <v>127259237</v>
      </c>
      <c r="BB568" s="60"/>
      <c r="BC568" s="61">
        <f t="shared" si="75"/>
        <v>127259237</v>
      </c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>
        <v>12477261</v>
      </c>
      <c r="BO568" s="60"/>
      <c r="BP568" s="61">
        <v>139736498</v>
      </c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  <c r="CA568" s="61"/>
      <c r="CB568" s="61"/>
      <c r="CC568" s="61">
        <v>12477261</v>
      </c>
      <c r="CD568" s="61">
        <v>62386305</v>
      </c>
      <c r="CE568" s="61"/>
      <c r="CF568" s="61"/>
      <c r="CG568" s="61">
        <f t="shared" si="76"/>
        <v>214600064</v>
      </c>
      <c r="CH568" s="62">
        <f>VLOOKUP(B568,[1]RPTNCT049_ConsultaSaldosContabl!I$4:K$7987,3,0)</f>
        <v>87340827</v>
      </c>
      <c r="CI568" s="62">
        <f t="shared" si="77"/>
        <v>127259237</v>
      </c>
      <c r="CJ568" s="63">
        <f t="shared" si="78"/>
        <v>214600064</v>
      </c>
      <c r="CK568" s="64">
        <f t="shared" si="79"/>
        <v>0</v>
      </c>
      <c r="CL568" s="16"/>
      <c r="CM568" s="16"/>
      <c r="CN568" s="16"/>
    </row>
    <row r="569" spans="1:96" ht="15" customHeight="1" x14ac:dyDescent="0.2">
      <c r="A569" s="1">
        <v>8000192184</v>
      </c>
      <c r="B569" s="1">
        <v>800019218</v>
      </c>
      <c r="C569" s="9">
        <v>213608436</v>
      </c>
      <c r="D569" s="10" t="s">
        <v>168</v>
      </c>
      <c r="E569" s="52" t="s">
        <v>1196</v>
      </c>
      <c r="F569" s="21"/>
      <c r="G569" s="59"/>
      <c r="H569" s="21"/>
      <c r="I569" s="59"/>
      <c r="J569" s="21"/>
      <c r="K569" s="21"/>
      <c r="L569" s="59"/>
      <c r="M569" s="60"/>
      <c r="N569" s="21"/>
      <c r="O569" s="59"/>
      <c r="P569" s="21"/>
      <c r="Q569" s="59"/>
      <c r="R569" s="21"/>
      <c r="S569" s="21"/>
      <c r="T569" s="59"/>
      <c r="U569" s="60">
        <f t="shared" si="74"/>
        <v>0</v>
      </c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>
        <v>25960156</v>
      </c>
      <c r="AN569" s="60">
        <f>SUBTOTAL(9,AC569:AM569)</f>
        <v>25960156</v>
      </c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>
        <f>VLOOKUP(B569,[2]Hoja3!J$3:K$674,2,0)</f>
        <v>279141244</v>
      </c>
      <c r="BB569" s="60"/>
      <c r="BC569" s="61">
        <f t="shared" si="75"/>
        <v>305101400</v>
      </c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>
        <v>0</v>
      </c>
      <c r="BO569" s="60"/>
      <c r="BP569" s="61">
        <v>305101400</v>
      </c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  <c r="CA569" s="61"/>
      <c r="CB569" s="61"/>
      <c r="CC569" s="61">
        <v>0</v>
      </c>
      <c r="CD569" s="61"/>
      <c r="CE569" s="61"/>
      <c r="CF569" s="61"/>
      <c r="CG569" s="61">
        <f t="shared" si="76"/>
        <v>305101400</v>
      </c>
      <c r="CH569" s="62"/>
      <c r="CI569" s="62">
        <f t="shared" si="77"/>
        <v>305101400</v>
      </c>
      <c r="CJ569" s="63">
        <f t="shared" si="78"/>
        <v>305101400</v>
      </c>
      <c r="CK569" s="64">
        <f t="shared" si="79"/>
        <v>0</v>
      </c>
      <c r="CL569" s="16"/>
      <c r="CM569" s="16"/>
      <c r="CN569" s="16"/>
    </row>
    <row r="570" spans="1:96" ht="15" customHeight="1" x14ac:dyDescent="0.2">
      <c r="A570" s="1">
        <v>8923017615</v>
      </c>
      <c r="B570" s="1">
        <v>892301761</v>
      </c>
      <c r="C570" s="9">
        <v>214320443</v>
      </c>
      <c r="D570" s="10" t="s">
        <v>427</v>
      </c>
      <c r="E570" s="52" t="s">
        <v>1454</v>
      </c>
      <c r="F570" s="21"/>
      <c r="G570" s="59"/>
      <c r="H570" s="21"/>
      <c r="I570" s="59"/>
      <c r="J570" s="21"/>
      <c r="K570" s="21"/>
      <c r="L570" s="59"/>
      <c r="M570" s="60"/>
      <c r="N570" s="21"/>
      <c r="O570" s="59"/>
      <c r="P570" s="21"/>
      <c r="Q570" s="59"/>
      <c r="R570" s="21"/>
      <c r="S570" s="21"/>
      <c r="T570" s="59"/>
      <c r="U570" s="60">
        <f t="shared" si="74"/>
        <v>0</v>
      </c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>
        <v>128954314</v>
      </c>
      <c r="AN570" s="60">
        <f>SUBTOTAL(9,AC570:AM570)</f>
        <v>128954314</v>
      </c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>
        <v>105873920</v>
      </c>
      <c r="AZ570" s="60"/>
      <c r="BA570" s="60">
        <f>VLOOKUP(B570,[2]Hoja3!J$3:K$674,2,0)</f>
        <v>81151667</v>
      </c>
      <c r="BB570" s="60"/>
      <c r="BC570" s="61">
        <f t="shared" si="75"/>
        <v>315979901</v>
      </c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>
        <v>21174784</v>
      </c>
      <c r="BO570" s="60"/>
      <c r="BP570" s="61">
        <v>337154685</v>
      </c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  <c r="CA570" s="61"/>
      <c r="CB570" s="61"/>
      <c r="CC570" s="61">
        <v>21174784</v>
      </c>
      <c r="CD570" s="61"/>
      <c r="CE570" s="61"/>
      <c r="CF570" s="61"/>
      <c r="CG570" s="61">
        <f t="shared" si="76"/>
        <v>358329469</v>
      </c>
      <c r="CH570" s="62">
        <f>VLOOKUP(B570,[1]RPTNCT049_ConsultaSaldosContabl!I$4:K$7987,3,0)</f>
        <v>148223488</v>
      </c>
      <c r="CI570" s="62">
        <f t="shared" si="77"/>
        <v>210105981</v>
      </c>
      <c r="CJ570" s="63">
        <f t="shared" si="78"/>
        <v>358329469</v>
      </c>
      <c r="CK570" s="64">
        <f t="shared" si="79"/>
        <v>0</v>
      </c>
      <c r="CL570" s="16"/>
      <c r="CM570" s="16"/>
      <c r="CN570" s="16"/>
    </row>
    <row r="571" spans="1:96" ht="15" customHeight="1" x14ac:dyDescent="0.2">
      <c r="A571" s="1">
        <v>8921150248</v>
      </c>
      <c r="B571" s="1">
        <v>892115024</v>
      </c>
      <c r="C571" s="9">
        <v>216044560</v>
      </c>
      <c r="D571" s="10" t="s">
        <v>637</v>
      </c>
      <c r="E571" s="52" t="s">
        <v>1655</v>
      </c>
      <c r="F571" s="21"/>
      <c r="G571" s="59"/>
      <c r="H571" s="21"/>
      <c r="I571" s="59"/>
      <c r="J571" s="21"/>
      <c r="K571" s="21"/>
      <c r="L571" s="59"/>
      <c r="M571" s="60"/>
      <c r="N571" s="21"/>
      <c r="O571" s="59"/>
      <c r="P571" s="21"/>
      <c r="Q571" s="59"/>
      <c r="R571" s="21"/>
      <c r="S571" s="21"/>
      <c r="T571" s="59"/>
      <c r="U571" s="60">
        <f t="shared" si="74"/>
        <v>0</v>
      </c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>
        <v>1595958135</v>
      </c>
      <c r="AZ571" s="60"/>
      <c r="BA571" s="60">
        <f>VLOOKUP(B571,[2]Hoja3!J$3:K$674,2,0)</f>
        <v>178052087</v>
      </c>
      <c r="BB571" s="60"/>
      <c r="BC571" s="61">
        <f t="shared" si="75"/>
        <v>1774010222</v>
      </c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>
        <v>319191627</v>
      </c>
      <c r="BO571" s="60"/>
      <c r="BP571" s="61">
        <v>2093201849</v>
      </c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  <c r="CA571" s="61"/>
      <c r="CB571" s="61"/>
      <c r="CC571" s="61">
        <v>319191627</v>
      </c>
      <c r="CD571" s="61"/>
      <c r="CE571" s="61">
        <v>1236482552</v>
      </c>
      <c r="CF571" s="61"/>
      <c r="CG571" s="61">
        <f t="shared" si="76"/>
        <v>3648876028</v>
      </c>
      <c r="CH571" s="62">
        <f>VLOOKUP(B571,[1]RPTNCT049_ConsultaSaldosContabl!I$4:K$7987,3,0)</f>
        <v>2234341389</v>
      </c>
      <c r="CI571" s="62">
        <f t="shared" si="77"/>
        <v>1414534639</v>
      </c>
      <c r="CJ571" s="63">
        <f t="shared" si="78"/>
        <v>3648876028</v>
      </c>
      <c r="CK571" s="64">
        <f t="shared" si="79"/>
        <v>0</v>
      </c>
      <c r="CL571" s="16"/>
      <c r="CM571" s="8"/>
      <c r="CN571" s="8"/>
      <c r="CO571" s="8"/>
      <c r="CP571" s="8"/>
      <c r="CQ571" s="8"/>
      <c r="CR571" s="8"/>
    </row>
    <row r="572" spans="1:96" ht="15" customHeight="1" x14ac:dyDescent="0.2">
      <c r="A572" s="1">
        <v>8000084563</v>
      </c>
      <c r="B572" s="1">
        <v>800008456</v>
      </c>
      <c r="C572" s="9">
        <v>213985139</v>
      </c>
      <c r="D572" s="10" t="s">
        <v>960</v>
      </c>
      <c r="E572" s="52" t="s">
        <v>2020</v>
      </c>
      <c r="F572" s="21"/>
      <c r="G572" s="59"/>
      <c r="H572" s="21"/>
      <c r="I572" s="59"/>
      <c r="J572" s="21"/>
      <c r="K572" s="21"/>
      <c r="L572" s="59"/>
      <c r="M572" s="60"/>
      <c r="N572" s="21"/>
      <c r="O572" s="59"/>
      <c r="P572" s="21"/>
      <c r="Q572" s="59"/>
      <c r="R572" s="21"/>
      <c r="S572" s="21"/>
      <c r="T572" s="59"/>
      <c r="U572" s="60">
        <f t="shared" si="74"/>
        <v>0</v>
      </c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>
        <v>205953585</v>
      </c>
      <c r="AN572" s="60">
        <f t="shared" ref="AN572:AN592" si="82">SUBTOTAL(9,AC572:AM572)</f>
        <v>205953585</v>
      </c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>
        <v>92371615</v>
      </c>
      <c r="AZ572" s="60"/>
      <c r="BA572" s="60">
        <f>VLOOKUP(B572,[2]Hoja3!J$3:K$674,2,0)</f>
        <v>27116767</v>
      </c>
      <c r="BB572" s="60"/>
      <c r="BC572" s="61">
        <f t="shared" si="75"/>
        <v>325441967</v>
      </c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>
        <v>18474323</v>
      </c>
      <c r="BO572" s="60"/>
      <c r="BP572" s="61">
        <v>343916290</v>
      </c>
      <c r="BQ572" s="61"/>
      <c r="BR572" s="61"/>
      <c r="BS572" s="61"/>
      <c r="BT572" s="61"/>
      <c r="BU572" s="61"/>
      <c r="BV572" s="61"/>
      <c r="BW572" s="61"/>
      <c r="BX572" s="61"/>
      <c r="BY572" s="61"/>
      <c r="BZ572" s="61"/>
      <c r="CA572" s="61"/>
      <c r="CB572" s="61"/>
      <c r="CC572" s="61">
        <v>18474323</v>
      </c>
      <c r="CD572" s="61"/>
      <c r="CE572" s="61"/>
      <c r="CF572" s="61"/>
      <c r="CG572" s="61">
        <f t="shared" si="76"/>
        <v>362390613</v>
      </c>
      <c r="CH572" s="62">
        <f>VLOOKUP(B572,[1]RPTNCT049_ConsultaSaldosContabl!I$4:K$7987,3,0)</f>
        <v>129320261</v>
      </c>
      <c r="CI572" s="62">
        <f t="shared" si="77"/>
        <v>233070352</v>
      </c>
      <c r="CJ572" s="63">
        <f t="shared" si="78"/>
        <v>362390613</v>
      </c>
      <c r="CK572" s="64">
        <f t="shared" si="79"/>
        <v>0</v>
      </c>
      <c r="CL572" s="16"/>
      <c r="CM572" s="16"/>
      <c r="CN572" s="16"/>
    </row>
    <row r="573" spans="1:96" ht="15" customHeight="1" x14ac:dyDescent="0.2">
      <c r="A573" s="1">
        <v>8908010537</v>
      </c>
      <c r="B573" s="1">
        <v>890801053</v>
      </c>
      <c r="C573" s="9">
        <v>210117001</v>
      </c>
      <c r="D573" s="10" t="s">
        <v>2175</v>
      </c>
      <c r="E573" s="53" t="s">
        <v>1046</v>
      </c>
      <c r="F573" s="21"/>
      <c r="G573" s="59"/>
      <c r="H573" s="21"/>
      <c r="I573" s="59">
        <f>8854922806+581717664</f>
        <v>9436640470</v>
      </c>
      <c r="J573" s="21">
        <v>591030403</v>
      </c>
      <c r="K573" s="21">
        <v>1175500564</v>
      </c>
      <c r="L573" s="59"/>
      <c r="M573" s="61">
        <f>SUM(F573:L573)</f>
        <v>11203171437</v>
      </c>
      <c r="N573" s="21"/>
      <c r="O573" s="59"/>
      <c r="P573" s="21"/>
      <c r="Q573" s="59">
        <f>8442267091+264417120</f>
        <v>8706684211</v>
      </c>
      <c r="R573" s="21">
        <v>591030403</v>
      </c>
      <c r="S573" s="21">
        <f>584470161+591030403</f>
        <v>1175500564</v>
      </c>
      <c r="T573" s="59"/>
      <c r="U573" s="60">
        <f t="shared" si="74"/>
        <v>21676386615</v>
      </c>
      <c r="V573" s="60"/>
      <c r="W573" s="60"/>
      <c r="X573" s="60"/>
      <c r="Y573" s="60">
        <v>11703310196</v>
      </c>
      <c r="Z573" s="60">
        <v>566614985</v>
      </c>
      <c r="AA573" s="60">
        <v>1313393489</v>
      </c>
      <c r="AB573" s="60"/>
      <c r="AC573" s="60">
        <f t="shared" si="81"/>
        <v>35259705285</v>
      </c>
      <c r="AD573" s="60"/>
      <c r="AE573" s="60"/>
      <c r="AF573" s="60"/>
      <c r="AG573" s="60"/>
      <c r="AH573" s="60">
        <v>8375723877</v>
      </c>
      <c r="AI573" s="60">
        <v>2069497966</v>
      </c>
      <c r="AJ573" s="60">
        <v>604754298</v>
      </c>
      <c r="AK573" s="60">
        <v>1523658643</v>
      </c>
      <c r="AL573" s="60"/>
      <c r="AM573" s="60">
        <v>3247620774</v>
      </c>
      <c r="AN573" s="60">
        <f t="shared" si="82"/>
        <v>51080960843</v>
      </c>
      <c r="AO573" s="60"/>
      <c r="AP573" s="60"/>
      <c r="AQ573" s="60">
        <v>1337192500</v>
      </c>
      <c r="AR573" s="60"/>
      <c r="AS573" s="60"/>
      <c r="AT573" s="60">
        <v>8375723877</v>
      </c>
      <c r="AU573" s="60"/>
      <c r="AV573" s="60">
        <v>604754298</v>
      </c>
      <c r="AW573" s="60">
        <v>1031898297</v>
      </c>
      <c r="AX573" s="60"/>
      <c r="AY573" s="60"/>
      <c r="AZ573" s="60"/>
      <c r="BA573" s="60"/>
      <c r="BB573" s="60"/>
      <c r="BC573" s="61">
        <f t="shared" si="75"/>
        <v>62430529815</v>
      </c>
      <c r="BD573" s="60"/>
      <c r="BE573" s="60"/>
      <c r="BF573" s="60">
        <v>267438500</v>
      </c>
      <c r="BG573" s="60"/>
      <c r="BH573" s="60"/>
      <c r="BI573" s="60">
        <v>8481552663</v>
      </c>
      <c r="BJ573" s="60">
        <v>392168312</v>
      </c>
      <c r="BK573" s="60">
        <v>509017827</v>
      </c>
      <c r="BL573" s="60">
        <v>1102026575</v>
      </c>
      <c r="BM573" s="60"/>
      <c r="BN573" s="60"/>
      <c r="BO573" s="60"/>
      <c r="BP573" s="61">
        <v>73182733692</v>
      </c>
      <c r="BQ573" s="61"/>
      <c r="BR573" s="61"/>
      <c r="BS573" s="61">
        <v>267438500</v>
      </c>
      <c r="BT573" s="61"/>
      <c r="BU573" s="61"/>
      <c r="BV573" s="61"/>
      <c r="BW573" s="61">
        <v>8450479267</v>
      </c>
      <c r="BX573" s="61"/>
      <c r="BY573" s="61">
        <v>3745677300</v>
      </c>
      <c r="BZ573" s="61">
        <v>595512270</v>
      </c>
      <c r="CA573" s="61">
        <v>1553557383</v>
      </c>
      <c r="CB573" s="61"/>
      <c r="CC573" s="61"/>
      <c r="CD573" s="61"/>
      <c r="CE573" s="61"/>
      <c r="CF573" s="61"/>
      <c r="CG573" s="61">
        <f t="shared" si="76"/>
        <v>87795398412</v>
      </c>
      <c r="CH573" s="62">
        <f>VLOOKUP(B573,[1]RPTNCT049_ConsultaSaldosContabl!I$4:K$7987,3,0)</f>
        <v>84547777638</v>
      </c>
      <c r="CI573" s="62">
        <f t="shared" si="77"/>
        <v>3247620774</v>
      </c>
      <c r="CJ573" s="63">
        <f t="shared" si="78"/>
        <v>87795398412</v>
      </c>
      <c r="CK573" s="64">
        <f t="shared" si="79"/>
        <v>0</v>
      </c>
      <c r="CL573" s="16"/>
      <c r="CM573" s="16"/>
      <c r="CN573" s="16"/>
    </row>
    <row r="574" spans="1:96" ht="15" customHeight="1" x14ac:dyDescent="0.2">
      <c r="A574" s="1">
        <v>8000947113</v>
      </c>
      <c r="B574" s="1">
        <v>800094711</v>
      </c>
      <c r="C574" s="9">
        <v>213625436</v>
      </c>
      <c r="D574" s="10" t="s">
        <v>512</v>
      </c>
      <c r="E574" s="52" t="s">
        <v>1537</v>
      </c>
      <c r="F574" s="21"/>
      <c r="G574" s="59"/>
      <c r="H574" s="21"/>
      <c r="I574" s="59"/>
      <c r="J574" s="21"/>
      <c r="K574" s="21"/>
      <c r="L574" s="59"/>
      <c r="M574" s="60"/>
      <c r="N574" s="21"/>
      <c r="O574" s="59"/>
      <c r="P574" s="21"/>
      <c r="Q574" s="59"/>
      <c r="R574" s="21"/>
      <c r="S574" s="21"/>
      <c r="T574" s="59"/>
      <c r="U574" s="60">
        <f t="shared" si="74"/>
        <v>0</v>
      </c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>
        <v>47234207</v>
      </c>
      <c r="AN574" s="60">
        <f t="shared" si="82"/>
        <v>47234207</v>
      </c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>
        <v>26860705</v>
      </c>
      <c r="AZ574" s="60"/>
      <c r="BA574" s="60"/>
      <c r="BB574" s="60"/>
      <c r="BC574" s="61">
        <f t="shared" si="75"/>
        <v>74094912</v>
      </c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>
        <v>5372141</v>
      </c>
      <c r="BO574" s="60"/>
      <c r="BP574" s="61">
        <v>79467053</v>
      </c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>
        <v>5372141</v>
      </c>
      <c r="CD574" s="61"/>
      <c r="CE574" s="61"/>
      <c r="CF574" s="61"/>
      <c r="CG574" s="61">
        <f t="shared" si="76"/>
        <v>84839194</v>
      </c>
      <c r="CH574" s="62">
        <f>VLOOKUP(B574,[1]RPTNCT049_ConsultaSaldosContabl!I$4:K$7987,3,0)</f>
        <v>37604987</v>
      </c>
      <c r="CI574" s="62">
        <f t="shared" si="77"/>
        <v>47234207</v>
      </c>
      <c r="CJ574" s="63">
        <f t="shared" si="78"/>
        <v>84839194</v>
      </c>
      <c r="CK574" s="64">
        <f t="shared" si="79"/>
        <v>0</v>
      </c>
      <c r="CL574" s="16"/>
      <c r="CM574" s="16"/>
      <c r="CN574" s="16"/>
    </row>
    <row r="575" spans="1:96" ht="15" customHeight="1" x14ac:dyDescent="0.2">
      <c r="A575" s="1">
        <v>8908025059</v>
      </c>
      <c r="B575" s="1">
        <v>890802505</v>
      </c>
      <c r="C575" s="9">
        <v>213317433</v>
      </c>
      <c r="D575" s="10" t="s">
        <v>344</v>
      </c>
      <c r="E575" s="52" t="s">
        <v>1374</v>
      </c>
      <c r="F575" s="21"/>
      <c r="G575" s="59"/>
      <c r="H575" s="21"/>
      <c r="I575" s="59"/>
      <c r="J575" s="21"/>
      <c r="K575" s="21"/>
      <c r="L575" s="59"/>
      <c r="M575" s="60"/>
      <c r="N575" s="21"/>
      <c r="O575" s="59"/>
      <c r="P575" s="21"/>
      <c r="Q575" s="59"/>
      <c r="R575" s="21"/>
      <c r="S575" s="21"/>
      <c r="T575" s="59"/>
      <c r="U575" s="60">
        <f t="shared" si="74"/>
        <v>0</v>
      </c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>
        <v>249610082</v>
      </c>
      <c r="AN575" s="60">
        <f t="shared" si="82"/>
        <v>249610082</v>
      </c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>
        <v>124887705</v>
      </c>
      <c r="AZ575" s="60"/>
      <c r="BA575" s="60"/>
      <c r="BB575" s="60"/>
      <c r="BC575" s="61">
        <f t="shared" si="75"/>
        <v>374497787</v>
      </c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>
        <v>24977541</v>
      </c>
      <c r="BO575" s="60"/>
      <c r="BP575" s="61">
        <v>399475328</v>
      </c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>
        <v>24977541</v>
      </c>
      <c r="CD575" s="61"/>
      <c r="CE575" s="61"/>
      <c r="CF575" s="61"/>
      <c r="CG575" s="61">
        <f t="shared" si="76"/>
        <v>424452869</v>
      </c>
      <c r="CH575" s="62">
        <f>VLOOKUP(B575,[1]RPTNCT049_ConsultaSaldosContabl!I$4:K$7987,3,0)</f>
        <v>174842787</v>
      </c>
      <c r="CI575" s="62">
        <f t="shared" si="77"/>
        <v>249610082</v>
      </c>
      <c r="CJ575" s="63">
        <f t="shared" si="78"/>
        <v>424452869</v>
      </c>
      <c r="CK575" s="64">
        <f t="shared" si="79"/>
        <v>0</v>
      </c>
      <c r="CL575" s="16"/>
      <c r="CM575" s="16"/>
      <c r="CN575" s="16"/>
    </row>
    <row r="576" spans="1:96" ht="15" customHeight="1" x14ac:dyDescent="0.2">
      <c r="A576" s="1">
        <v>8001364586</v>
      </c>
      <c r="B576" s="1">
        <v>800136458</v>
      </c>
      <c r="C576" s="9">
        <v>212550325</v>
      </c>
      <c r="D576" s="10" t="s">
        <v>677</v>
      </c>
      <c r="E576" s="52" t="s">
        <v>1698</v>
      </c>
      <c r="F576" s="21"/>
      <c r="G576" s="59"/>
      <c r="H576" s="21"/>
      <c r="I576" s="59"/>
      <c r="J576" s="21"/>
      <c r="K576" s="21"/>
      <c r="L576" s="59"/>
      <c r="M576" s="60"/>
      <c r="N576" s="21"/>
      <c r="O576" s="59"/>
      <c r="P576" s="21"/>
      <c r="Q576" s="59"/>
      <c r="R576" s="21"/>
      <c r="S576" s="21"/>
      <c r="T576" s="59"/>
      <c r="U576" s="60">
        <f t="shared" si="74"/>
        <v>0</v>
      </c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>
        <v>71410449</v>
      </c>
      <c r="AN576" s="60">
        <f t="shared" si="82"/>
        <v>71410449</v>
      </c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1">
        <f t="shared" si="75"/>
        <v>71410449</v>
      </c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>
        <v>0</v>
      </c>
      <c r="BO576" s="60"/>
      <c r="BP576" s="61">
        <v>71410449</v>
      </c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  <c r="CA576" s="61"/>
      <c r="CB576" s="61"/>
      <c r="CC576" s="61">
        <v>0</v>
      </c>
      <c r="CD576" s="61"/>
      <c r="CE576" s="61"/>
      <c r="CF576" s="61"/>
      <c r="CG576" s="61">
        <f t="shared" si="76"/>
        <v>71410449</v>
      </c>
      <c r="CH576" s="62"/>
      <c r="CI576" s="62">
        <f t="shared" si="77"/>
        <v>71410449</v>
      </c>
      <c r="CJ576" s="63">
        <f t="shared" si="78"/>
        <v>71410449</v>
      </c>
      <c r="CK576" s="64">
        <f t="shared" si="79"/>
        <v>0</v>
      </c>
      <c r="CL576" s="16"/>
      <c r="CM576" s="16"/>
      <c r="CN576" s="16"/>
    </row>
    <row r="577" spans="1:96" ht="15" customHeight="1" x14ac:dyDescent="0.2">
      <c r="A577" s="1">
        <v>8000955111</v>
      </c>
      <c r="B577" s="1">
        <v>800095511</v>
      </c>
      <c r="C577" s="9">
        <v>214013440</v>
      </c>
      <c r="D577" s="10" t="s">
        <v>195</v>
      </c>
      <c r="E577" s="52" t="s">
        <v>1226</v>
      </c>
      <c r="F577" s="21"/>
      <c r="G577" s="59"/>
      <c r="H577" s="21"/>
      <c r="I577" s="59"/>
      <c r="J577" s="21"/>
      <c r="K577" s="21"/>
      <c r="L577" s="59"/>
      <c r="M577" s="60"/>
      <c r="N577" s="21"/>
      <c r="O577" s="59"/>
      <c r="P577" s="21"/>
      <c r="Q577" s="59"/>
      <c r="R577" s="21"/>
      <c r="S577" s="21"/>
      <c r="T577" s="59"/>
      <c r="U577" s="60">
        <f t="shared" si="74"/>
        <v>0</v>
      </c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>
        <v>193007181</v>
      </c>
      <c r="AN577" s="60">
        <f t="shared" si="82"/>
        <v>193007181</v>
      </c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1">
        <f t="shared" si="75"/>
        <v>193007181</v>
      </c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>
        <v>0</v>
      </c>
      <c r="BO577" s="60"/>
      <c r="BP577" s="61">
        <v>193007181</v>
      </c>
      <c r="BQ577" s="61"/>
      <c r="BR577" s="61"/>
      <c r="BS577" s="61"/>
      <c r="BT577" s="61"/>
      <c r="BU577" s="61"/>
      <c r="BV577" s="61"/>
      <c r="BW577" s="61"/>
      <c r="BX577" s="61"/>
      <c r="BY577" s="61"/>
      <c r="BZ577" s="61"/>
      <c r="CA577" s="61"/>
      <c r="CB577" s="61"/>
      <c r="CC577" s="61">
        <v>172208729</v>
      </c>
      <c r="CD577" s="61"/>
      <c r="CE577" s="61"/>
      <c r="CF577" s="61"/>
      <c r="CG577" s="61">
        <f t="shared" si="76"/>
        <v>365215910</v>
      </c>
      <c r="CH577" s="62">
        <f>VLOOKUP(B577,[1]RPTNCT049_ConsultaSaldosContabl!I$4:K$7987,3,0)</f>
        <v>172208729</v>
      </c>
      <c r="CI577" s="62">
        <f t="shared" si="77"/>
        <v>193007181</v>
      </c>
      <c r="CJ577" s="63">
        <f t="shared" si="78"/>
        <v>365215910</v>
      </c>
      <c r="CK577" s="64">
        <f t="shared" si="79"/>
        <v>0</v>
      </c>
      <c r="CL577" s="16"/>
      <c r="CM577" s="8"/>
      <c r="CN577" s="8"/>
      <c r="CO577" s="8"/>
      <c r="CP577" s="8"/>
      <c r="CQ577" s="8"/>
      <c r="CR577" s="8"/>
    </row>
    <row r="578" spans="1:96" ht="15" customHeight="1" x14ac:dyDescent="0.2">
      <c r="A578" s="1">
        <v>8000954668</v>
      </c>
      <c r="B578" s="1">
        <v>800095466</v>
      </c>
      <c r="C578" s="9">
        <v>214213442</v>
      </c>
      <c r="D578" s="10" t="s">
        <v>196</v>
      </c>
      <c r="E578" s="52" t="s">
        <v>1227</v>
      </c>
      <c r="F578" s="21"/>
      <c r="G578" s="59"/>
      <c r="H578" s="21"/>
      <c r="I578" s="59"/>
      <c r="J578" s="21"/>
      <c r="K578" s="21"/>
      <c r="L578" s="59"/>
      <c r="M578" s="60"/>
      <c r="N578" s="21"/>
      <c r="O578" s="59"/>
      <c r="P578" s="21"/>
      <c r="Q578" s="59"/>
      <c r="R578" s="21"/>
      <c r="S578" s="21"/>
      <c r="T578" s="59"/>
      <c r="U578" s="60">
        <f t="shared" si="74"/>
        <v>0</v>
      </c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>
        <v>129763423</v>
      </c>
      <c r="AN578" s="60">
        <f t="shared" si="82"/>
        <v>129763423</v>
      </c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>
        <f>VLOOKUP(B578,[2]Hoja3!J$3:K$674,2,0)</f>
        <v>839982284</v>
      </c>
      <c r="BB578" s="60"/>
      <c r="BC578" s="61">
        <f t="shared" si="75"/>
        <v>969745707</v>
      </c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>
        <v>0</v>
      </c>
      <c r="BO578" s="60"/>
      <c r="BP578" s="61">
        <v>969745707</v>
      </c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>
        <v>723534028</v>
      </c>
      <c r="CD578" s="61"/>
      <c r="CE578" s="61"/>
      <c r="CF578" s="61"/>
      <c r="CG578" s="61">
        <f t="shared" si="76"/>
        <v>1693279735</v>
      </c>
      <c r="CH578" s="62">
        <f>VLOOKUP(B578,[1]RPTNCT049_ConsultaSaldosContabl!I$4:K$7987,3,0)</f>
        <v>723534028</v>
      </c>
      <c r="CI578" s="62">
        <f t="shared" si="77"/>
        <v>969745707</v>
      </c>
      <c r="CJ578" s="63">
        <f t="shared" si="78"/>
        <v>1693279735</v>
      </c>
      <c r="CK578" s="64">
        <f t="shared" si="79"/>
        <v>0</v>
      </c>
      <c r="CL578" s="16"/>
      <c r="CM578" s="8"/>
      <c r="CN578" s="8"/>
      <c r="CO578" s="8"/>
      <c r="CP578" s="8"/>
      <c r="CQ578" s="8"/>
      <c r="CR578" s="8"/>
    </row>
    <row r="579" spans="1:96" ht="15" customHeight="1" x14ac:dyDescent="0.2">
      <c r="A579" s="1">
        <v>8909837161</v>
      </c>
      <c r="B579" s="1">
        <v>890983716</v>
      </c>
      <c r="C579" s="9">
        <v>214005440</v>
      </c>
      <c r="D579" s="10" t="s">
        <v>107</v>
      </c>
      <c r="E579" s="52" t="s">
        <v>1138</v>
      </c>
      <c r="F579" s="21"/>
      <c r="G579" s="59"/>
      <c r="H579" s="21"/>
      <c r="I579" s="59"/>
      <c r="J579" s="21"/>
      <c r="K579" s="21"/>
      <c r="L579" s="59"/>
      <c r="M579" s="60"/>
      <c r="N579" s="21"/>
      <c r="O579" s="59"/>
      <c r="P579" s="21"/>
      <c r="Q579" s="59"/>
      <c r="R579" s="21"/>
      <c r="S579" s="21"/>
      <c r="T579" s="59"/>
      <c r="U579" s="60">
        <f t="shared" ref="U579:U642" si="83">SUM(M579:T579)</f>
        <v>0</v>
      </c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>
        <v>453616591</v>
      </c>
      <c r="AN579" s="60">
        <f t="shared" si="82"/>
        <v>453616591</v>
      </c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>
        <v>292874615</v>
      </c>
      <c r="AZ579" s="60"/>
      <c r="BA579" s="60">
        <f>VLOOKUP(B579,[2]Hoja3!J$3:K$674,2,0)</f>
        <v>261253989</v>
      </c>
      <c r="BB579" s="60"/>
      <c r="BC579" s="61">
        <f t="shared" si="75"/>
        <v>1007745195</v>
      </c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>
        <v>58574923</v>
      </c>
      <c r="BO579" s="60"/>
      <c r="BP579" s="61">
        <v>1066320118</v>
      </c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>
        <v>58574923</v>
      </c>
      <c r="CD579" s="61"/>
      <c r="CE579" s="61"/>
      <c r="CF579" s="61"/>
      <c r="CG579" s="61">
        <f t="shared" si="76"/>
        <v>1124895041</v>
      </c>
      <c r="CH579" s="62">
        <f>VLOOKUP(B579,[1]RPTNCT049_ConsultaSaldosContabl!I$4:K$7987,3,0)</f>
        <v>410024461</v>
      </c>
      <c r="CI579" s="62">
        <f t="shared" si="77"/>
        <v>714870580</v>
      </c>
      <c r="CJ579" s="63">
        <f t="shared" si="78"/>
        <v>1124895041</v>
      </c>
      <c r="CK579" s="64">
        <f t="shared" si="79"/>
        <v>0</v>
      </c>
      <c r="CL579" s="16"/>
      <c r="CM579" s="16"/>
      <c r="CN579" s="16"/>
    </row>
    <row r="580" spans="1:96" ht="15" customHeight="1" x14ac:dyDescent="0.2">
      <c r="A580" s="1">
        <v>8000247898</v>
      </c>
      <c r="B580" s="1">
        <v>800024789</v>
      </c>
      <c r="C580" s="9">
        <v>214215442</v>
      </c>
      <c r="D580" s="10" t="s">
        <v>267</v>
      </c>
      <c r="E580" s="52" t="s">
        <v>1301</v>
      </c>
      <c r="F580" s="21"/>
      <c r="G580" s="59"/>
      <c r="H580" s="21"/>
      <c r="I580" s="59"/>
      <c r="J580" s="21"/>
      <c r="K580" s="21"/>
      <c r="L580" s="59"/>
      <c r="M580" s="60"/>
      <c r="N580" s="21"/>
      <c r="O580" s="59"/>
      <c r="P580" s="21"/>
      <c r="Q580" s="59"/>
      <c r="R580" s="21"/>
      <c r="S580" s="21"/>
      <c r="T580" s="59"/>
      <c r="U580" s="60">
        <f t="shared" si="83"/>
        <v>0</v>
      </c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>
        <v>76197174</v>
      </c>
      <c r="AN580" s="60">
        <f t="shared" si="82"/>
        <v>76197174</v>
      </c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>
        <v>64060420</v>
      </c>
      <c r="AZ580" s="60"/>
      <c r="BA580" s="60">
        <f>VLOOKUP(B580,[2]Hoja3!J$3:K$674,2,0)</f>
        <v>19570531</v>
      </c>
      <c r="BB580" s="60"/>
      <c r="BC580" s="61">
        <f t="shared" ref="BC580:BC643" si="84">SUM(AN580:BA580)-BB580</f>
        <v>159828125</v>
      </c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>
        <v>12812084</v>
      </c>
      <c r="BO580" s="60"/>
      <c r="BP580" s="61">
        <v>172640209</v>
      </c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  <c r="CA580" s="61"/>
      <c r="CB580" s="61"/>
      <c r="CC580" s="61">
        <v>12812084</v>
      </c>
      <c r="CD580" s="61"/>
      <c r="CE580" s="61"/>
      <c r="CF580" s="61"/>
      <c r="CG580" s="61">
        <f t="shared" ref="CG580:CG643" si="85">SUM(BP580:CF580)</f>
        <v>185452293</v>
      </c>
      <c r="CH580" s="62">
        <f>VLOOKUP(B580,[1]RPTNCT049_ConsultaSaldosContabl!I$4:K$7987,3,0)</f>
        <v>89684588</v>
      </c>
      <c r="CI580" s="62">
        <f t="shared" ref="CI580:CI643" si="86">+AM580+BA580-BB580+BO580+CE580+CF580</f>
        <v>95767705</v>
      </c>
      <c r="CJ580" s="63">
        <f t="shared" ref="CJ580:CJ643" si="87">+CH580+CI580</f>
        <v>185452293</v>
      </c>
      <c r="CK580" s="64">
        <f t="shared" ref="CK580:CK643" si="88">+CG580-CJ580</f>
        <v>0</v>
      </c>
      <c r="CL580" s="16"/>
      <c r="CM580" s="8"/>
      <c r="CN580" s="8"/>
      <c r="CO580" s="8"/>
      <c r="CP580" s="8"/>
      <c r="CQ580" s="8"/>
      <c r="CR580" s="8"/>
    </row>
    <row r="581" spans="1:96" ht="15" customHeight="1" x14ac:dyDescent="0.2">
      <c r="A581" s="1">
        <v>8907013421</v>
      </c>
      <c r="B581" s="1">
        <v>890701342</v>
      </c>
      <c r="C581" s="9">
        <v>214373443</v>
      </c>
      <c r="D581" s="10" t="s">
        <v>2225</v>
      </c>
      <c r="E581" s="52" t="s">
        <v>1951</v>
      </c>
      <c r="F581" s="21"/>
      <c r="G581" s="59"/>
      <c r="H581" s="21"/>
      <c r="I581" s="59"/>
      <c r="J581" s="21"/>
      <c r="K581" s="21"/>
      <c r="L581" s="59"/>
      <c r="M581" s="60"/>
      <c r="N581" s="21"/>
      <c r="O581" s="59"/>
      <c r="P581" s="21"/>
      <c r="Q581" s="59"/>
      <c r="R581" s="21"/>
      <c r="S581" s="21"/>
      <c r="T581" s="59"/>
      <c r="U581" s="60">
        <f t="shared" si="83"/>
        <v>0</v>
      </c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>
        <v>479305094</v>
      </c>
      <c r="AN581" s="60">
        <f t="shared" si="82"/>
        <v>479305094</v>
      </c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>
        <v>213538310</v>
      </c>
      <c r="AZ581" s="60"/>
      <c r="BA581" s="60"/>
      <c r="BB581" s="60"/>
      <c r="BC581" s="61">
        <f t="shared" si="84"/>
        <v>692843404</v>
      </c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>
        <v>42707662</v>
      </c>
      <c r="BO581" s="60"/>
      <c r="BP581" s="61">
        <v>735551066</v>
      </c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  <c r="CA581" s="61"/>
      <c r="CB581" s="61"/>
      <c r="CC581" s="61">
        <v>42707662</v>
      </c>
      <c r="CD581" s="61"/>
      <c r="CE581" s="61"/>
      <c r="CF581" s="61"/>
      <c r="CG581" s="61">
        <f t="shared" si="85"/>
        <v>778258728</v>
      </c>
      <c r="CH581" s="62">
        <f>VLOOKUP(B581,[1]RPTNCT049_ConsultaSaldosContabl!I$4:K$7987,3,0)</f>
        <v>298953634</v>
      </c>
      <c r="CI581" s="62">
        <f t="shared" si="86"/>
        <v>479305094</v>
      </c>
      <c r="CJ581" s="63">
        <f t="shared" si="87"/>
        <v>778258728</v>
      </c>
      <c r="CK581" s="64">
        <f t="shared" si="88"/>
        <v>0</v>
      </c>
      <c r="CL581" s="16"/>
      <c r="CM581" s="16"/>
      <c r="CN581" s="16"/>
    </row>
    <row r="582" spans="1:96" ht="15" customHeight="1" x14ac:dyDescent="0.2">
      <c r="A582" s="1">
        <v>8908011456</v>
      </c>
      <c r="B582" s="1">
        <v>890801145</v>
      </c>
      <c r="C582" s="9">
        <v>214217442</v>
      </c>
      <c r="D582" s="10" t="s">
        <v>345</v>
      </c>
      <c r="E582" s="52" t="s">
        <v>1375</v>
      </c>
      <c r="F582" s="21"/>
      <c r="G582" s="59"/>
      <c r="H582" s="21"/>
      <c r="I582" s="59"/>
      <c r="J582" s="21"/>
      <c r="K582" s="21"/>
      <c r="L582" s="59"/>
      <c r="M582" s="60"/>
      <c r="N582" s="21"/>
      <c r="O582" s="59"/>
      <c r="P582" s="21"/>
      <c r="Q582" s="59"/>
      <c r="R582" s="21"/>
      <c r="S582" s="21"/>
      <c r="T582" s="59"/>
      <c r="U582" s="60">
        <f t="shared" si="83"/>
        <v>0</v>
      </c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>
        <v>159443469</v>
      </c>
      <c r="AN582" s="60">
        <f t="shared" si="82"/>
        <v>159443469</v>
      </c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>
        <v>64787540</v>
      </c>
      <c r="AZ582" s="60"/>
      <c r="BA582" s="60"/>
      <c r="BB582" s="60"/>
      <c r="BC582" s="61">
        <f t="shared" si="84"/>
        <v>224231009</v>
      </c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>
        <v>12957508</v>
      </c>
      <c r="BO582" s="60"/>
      <c r="BP582" s="61">
        <v>237188517</v>
      </c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>
        <v>12957508</v>
      </c>
      <c r="CD582" s="61"/>
      <c r="CE582" s="61"/>
      <c r="CF582" s="61"/>
      <c r="CG582" s="61">
        <f t="shared" si="85"/>
        <v>250146025</v>
      </c>
      <c r="CH582" s="62">
        <f>VLOOKUP(B582,[1]RPTNCT049_ConsultaSaldosContabl!I$4:K$7987,3,0)</f>
        <v>90702556</v>
      </c>
      <c r="CI582" s="62">
        <f t="shared" si="86"/>
        <v>159443469</v>
      </c>
      <c r="CJ582" s="63">
        <f t="shared" si="87"/>
        <v>250146025</v>
      </c>
      <c r="CK582" s="64">
        <f t="shared" si="88"/>
        <v>0</v>
      </c>
      <c r="CL582" s="16"/>
      <c r="CM582" s="16"/>
      <c r="CN582" s="16"/>
    </row>
    <row r="583" spans="1:96" ht="15" customHeight="1" x14ac:dyDescent="0.2">
      <c r="A583" s="1">
        <v>8908011470</v>
      </c>
      <c r="B583" s="1">
        <v>890801147</v>
      </c>
      <c r="C583" s="9">
        <v>214417444</v>
      </c>
      <c r="D583" s="10" t="s">
        <v>346</v>
      </c>
      <c r="E583" s="52" t="s">
        <v>1376</v>
      </c>
      <c r="F583" s="21"/>
      <c r="G583" s="59"/>
      <c r="H583" s="21"/>
      <c r="I583" s="59"/>
      <c r="J583" s="21"/>
      <c r="K583" s="21"/>
      <c r="L583" s="59"/>
      <c r="M583" s="60"/>
      <c r="N583" s="21"/>
      <c r="O583" s="59"/>
      <c r="P583" s="21"/>
      <c r="Q583" s="59"/>
      <c r="R583" s="21"/>
      <c r="S583" s="21"/>
      <c r="T583" s="59"/>
      <c r="U583" s="60">
        <f t="shared" si="83"/>
        <v>0</v>
      </c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>
        <v>222130363</v>
      </c>
      <c r="AN583" s="60">
        <f t="shared" si="82"/>
        <v>222130363</v>
      </c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>
        <v>95582505</v>
      </c>
      <c r="AZ583" s="60"/>
      <c r="BA583" s="60"/>
      <c r="BB583" s="60"/>
      <c r="BC583" s="61">
        <f t="shared" si="84"/>
        <v>317712868</v>
      </c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>
        <v>19116501</v>
      </c>
      <c r="BO583" s="60"/>
      <c r="BP583" s="61">
        <v>336829369</v>
      </c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>
        <v>19116501</v>
      </c>
      <c r="CD583" s="61"/>
      <c r="CE583" s="61"/>
      <c r="CF583" s="61"/>
      <c r="CG583" s="61">
        <f t="shared" si="85"/>
        <v>355945870</v>
      </c>
      <c r="CH583" s="62">
        <f>VLOOKUP(B583,[1]RPTNCT049_ConsultaSaldosContabl!I$4:K$7987,3,0)</f>
        <v>133815507</v>
      </c>
      <c r="CI583" s="62">
        <f t="shared" si="86"/>
        <v>222130363</v>
      </c>
      <c r="CJ583" s="63">
        <f t="shared" si="87"/>
        <v>355945870</v>
      </c>
      <c r="CK583" s="64">
        <f t="shared" si="88"/>
        <v>0</v>
      </c>
      <c r="CL583" s="16"/>
      <c r="CM583" s="16"/>
      <c r="CN583" s="16"/>
    </row>
    <row r="584" spans="1:96" ht="15" customHeight="1" x14ac:dyDescent="0.2">
      <c r="A584" s="1">
        <v>8000993177</v>
      </c>
      <c r="B584" s="1">
        <v>800099317</v>
      </c>
      <c r="C584" s="9">
        <v>214066440</v>
      </c>
      <c r="D584" s="10" t="s">
        <v>806</v>
      </c>
      <c r="E584" s="52" t="s">
        <v>1823</v>
      </c>
      <c r="F584" s="21"/>
      <c r="G584" s="59"/>
      <c r="H584" s="21"/>
      <c r="I584" s="59"/>
      <c r="J584" s="21"/>
      <c r="K584" s="21"/>
      <c r="L584" s="59"/>
      <c r="M584" s="60"/>
      <c r="N584" s="21"/>
      <c r="O584" s="59"/>
      <c r="P584" s="21"/>
      <c r="Q584" s="59"/>
      <c r="R584" s="21"/>
      <c r="S584" s="21"/>
      <c r="T584" s="59"/>
      <c r="U584" s="60">
        <f t="shared" si="83"/>
        <v>0</v>
      </c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>
        <v>222570447</v>
      </c>
      <c r="AN584" s="60">
        <f t="shared" si="82"/>
        <v>222570447</v>
      </c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>
        <v>131393565</v>
      </c>
      <c r="AZ584" s="60"/>
      <c r="BA584" s="60"/>
      <c r="BB584" s="60"/>
      <c r="BC584" s="61">
        <f t="shared" si="84"/>
        <v>353964012</v>
      </c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>
        <v>26278713</v>
      </c>
      <c r="BO584" s="60"/>
      <c r="BP584" s="61">
        <v>380242725</v>
      </c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  <c r="CA584" s="61"/>
      <c r="CB584" s="61"/>
      <c r="CC584" s="61">
        <v>26278713</v>
      </c>
      <c r="CD584" s="61"/>
      <c r="CE584" s="61"/>
      <c r="CF584" s="61"/>
      <c r="CG584" s="61">
        <f t="shared" si="85"/>
        <v>406521438</v>
      </c>
      <c r="CH584" s="62">
        <f>VLOOKUP(B584,[1]RPTNCT049_ConsultaSaldosContabl!I$4:K$7987,3,0)</f>
        <v>183950991</v>
      </c>
      <c r="CI584" s="62">
        <f t="shared" si="86"/>
        <v>222570447</v>
      </c>
      <c r="CJ584" s="63">
        <f t="shared" si="87"/>
        <v>406521438</v>
      </c>
      <c r="CK584" s="64">
        <f t="shared" si="88"/>
        <v>0</v>
      </c>
      <c r="CL584" s="16"/>
      <c r="CM584" s="16"/>
      <c r="CN584" s="16"/>
    </row>
    <row r="585" spans="1:96" ht="15" customHeight="1" x14ac:dyDescent="0.2">
      <c r="A585" s="1">
        <v>8908011463</v>
      </c>
      <c r="B585" s="1">
        <v>890801146</v>
      </c>
      <c r="C585" s="9">
        <v>214617446</v>
      </c>
      <c r="D585" s="10" t="s">
        <v>347</v>
      </c>
      <c r="E585" s="52" t="s">
        <v>1377</v>
      </c>
      <c r="F585" s="21"/>
      <c r="G585" s="59"/>
      <c r="H585" s="21"/>
      <c r="I585" s="59"/>
      <c r="J585" s="21"/>
      <c r="K585" s="21"/>
      <c r="L585" s="59"/>
      <c r="M585" s="60"/>
      <c r="N585" s="21"/>
      <c r="O585" s="59"/>
      <c r="P585" s="21"/>
      <c r="Q585" s="59"/>
      <c r="R585" s="21"/>
      <c r="S585" s="21"/>
      <c r="T585" s="59"/>
      <c r="U585" s="60">
        <f t="shared" si="83"/>
        <v>0</v>
      </c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>
        <v>31618715</v>
      </c>
      <c r="AN585" s="60">
        <f t="shared" si="82"/>
        <v>31618715</v>
      </c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>
        <v>17267855</v>
      </c>
      <c r="AZ585" s="60"/>
      <c r="BA585" s="60"/>
      <c r="BB585" s="60"/>
      <c r="BC585" s="61">
        <f t="shared" si="84"/>
        <v>48886570</v>
      </c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>
        <v>3453571</v>
      </c>
      <c r="BO585" s="60"/>
      <c r="BP585" s="61">
        <v>52340141</v>
      </c>
      <c r="BQ585" s="61"/>
      <c r="BR585" s="61"/>
      <c r="BS585" s="61"/>
      <c r="BT585" s="61"/>
      <c r="BU585" s="61"/>
      <c r="BV585" s="61"/>
      <c r="BW585" s="61"/>
      <c r="BX585" s="61"/>
      <c r="BY585" s="61"/>
      <c r="BZ585" s="61"/>
      <c r="CA585" s="61"/>
      <c r="CB585" s="61"/>
      <c r="CC585" s="61">
        <v>3453571</v>
      </c>
      <c r="CD585" s="61"/>
      <c r="CE585" s="61"/>
      <c r="CF585" s="61"/>
      <c r="CG585" s="61">
        <f t="shared" si="85"/>
        <v>55793712</v>
      </c>
      <c r="CH585" s="62">
        <f>VLOOKUP(B585,[1]RPTNCT049_ConsultaSaldosContabl!I$4:K$7987,3,0)</f>
        <v>24174997</v>
      </c>
      <c r="CI585" s="62">
        <f t="shared" si="86"/>
        <v>31618715</v>
      </c>
      <c r="CJ585" s="63">
        <f t="shared" si="87"/>
        <v>55793712</v>
      </c>
      <c r="CK585" s="64">
        <f t="shared" si="88"/>
        <v>0</v>
      </c>
      <c r="CL585" s="16"/>
      <c r="CM585" s="16"/>
      <c r="CN585" s="16"/>
    </row>
    <row r="586" spans="1:96" ht="15" customHeight="1" x14ac:dyDescent="0.2">
      <c r="A586" s="1">
        <v>8902066960</v>
      </c>
      <c r="B586" s="1">
        <v>890206696</v>
      </c>
      <c r="C586" s="9">
        <v>214468444</v>
      </c>
      <c r="D586" s="10" t="s">
        <v>857</v>
      </c>
      <c r="E586" s="52" t="s">
        <v>1871</v>
      </c>
      <c r="F586" s="21"/>
      <c r="G586" s="59"/>
      <c r="H586" s="21"/>
      <c r="I586" s="59"/>
      <c r="J586" s="21"/>
      <c r="K586" s="21"/>
      <c r="L586" s="59"/>
      <c r="M586" s="60"/>
      <c r="N586" s="21"/>
      <c r="O586" s="59"/>
      <c r="P586" s="21"/>
      <c r="Q586" s="59"/>
      <c r="R586" s="21"/>
      <c r="S586" s="21"/>
      <c r="T586" s="59"/>
      <c r="U586" s="60">
        <f t="shared" si="83"/>
        <v>0</v>
      </c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>
        <v>99874527</v>
      </c>
      <c r="AN586" s="60">
        <f t="shared" si="82"/>
        <v>99874527</v>
      </c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>
        <v>38445835</v>
      </c>
      <c r="AZ586" s="60"/>
      <c r="BA586" s="60"/>
      <c r="BB586" s="60"/>
      <c r="BC586" s="61">
        <f t="shared" si="84"/>
        <v>138320362</v>
      </c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>
        <v>7689167</v>
      </c>
      <c r="BO586" s="60"/>
      <c r="BP586" s="61">
        <v>146009529</v>
      </c>
      <c r="BQ586" s="61"/>
      <c r="BR586" s="61"/>
      <c r="BS586" s="61"/>
      <c r="BT586" s="61"/>
      <c r="BU586" s="61"/>
      <c r="BV586" s="61"/>
      <c r="BW586" s="61"/>
      <c r="BX586" s="61"/>
      <c r="BY586" s="61"/>
      <c r="BZ586" s="61"/>
      <c r="CA586" s="61"/>
      <c r="CB586" s="61"/>
      <c r="CC586" s="61">
        <v>7689167</v>
      </c>
      <c r="CD586" s="61"/>
      <c r="CE586" s="61"/>
      <c r="CF586" s="61"/>
      <c r="CG586" s="61">
        <f t="shared" si="85"/>
        <v>153698696</v>
      </c>
      <c r="CH586" s="62">
        <f>VLOOKUP(B586,[1]RPTNCT049_ConsultaSaldosContabl!I$4:K$7987,3,0)</f>
        <v>53824169</v>
      </c>
      <c r="CI586" s="62">
        <f t="shared" si="86"/>
        <v>99874527</v>
      </c>
      <c r="CJ586" s="63">
        <f t="shared" si="87"/>
        <v>153698696</v>
      </c>
      <c r="CK586" s="64">
        <f t="shared" si="88"/>
        <v>0</v>
      </c>
      <c r="CL586" s="16"/>
      <c r="CM586" s="16"/>
      <c r="CN586" s="16"/>
    </row>
    <row r="587" spans="1:96" ht="15" customHeight="1" x14ac:dyDescent="0.2">
      <c r="A587" s="1">
        <v>8909052111</v>
      </c>
      <c r="B587" s="29">
        <v>890905211</v>
      </c>
      <c r="C587" s="9">
        <v>210105001</v>
      </c>
      <c r="D587" s="10" t="s">
        <v>2176</v>
      </c>
      <c r="E587" s="53" t="s">
        <v>1048</v>
      </c>
      <c r="F587" s="21"/>
      <c r="G587" s="59"/>
      <c r="H587" s="21"/>
      <c r="I587" s="59">
        <f>35446426353+1171423528</f>
        <v>36617849881</v>
      </c>
      <c r="J587" s="21">
        <v>2748036229</v>
      </c>
      <c r="K587" s="21">
        <v>5448049864</v>
      </c>
      <c r="L587" s="59"/>
      <c r="M587" s="61">
        <f>SUM(F587:L587)</f>
        <v>44813935974</v>
      </c>
      <c r="N587" s="21"/>
      <c r="O587" s="59"/>
      <c r="P587" s="21"/>
      <c r="Q587" s="59">
        <f>36003255646+1500000000+16901180685</f>
        <v>54404436331</v>
      </c>
      <c r="R587" s="21">
        <v>2812540824</v>
      </c>
      <c r="S587" s="21">
        <f>2700013635+2812540824</f>
        <v>5512554459</v>
      </c>
      <c r="T587" s="59"/>
      <c r="U587" s="60">
        <f t="shared" si="83"/>
        <v>107543467588</v>
      </c>
      <c r="V587" s="60"/>
      <c r="W587" s="60"/>
      <c r="X587" s="60"/>
      <c r="Y587" s="60">
        <v>50856858717</v>
      </c>
      <c r="Z587" s="60">
        <v>2599758872</v>
      </c>
      <c r="AA587" s="60">
        <v>6149590243</v>
      </c>
      <c r="AB587" s="60"/>
      <c r="AC587" s="60">
        <f t="shared" ref="AC580:AC643" si="89">SUM(U587:AB587)</f>
        <v>167149675420</v>
      </c>
      <c r="AD587" s="60"/>
      <c r="AE587" s="60"/>
      <c r="AF587" s="60"/>
      <c r="AG587" s="60"/>
      <c r="AH587" s="60">
        <v>47156255545</v>
      </c>
      <c r="AI587" s="60">
        <v>8614375850</v>
      </c>
      <c r="AJ587" s="60">
        <v>2833440365</v>
      </c>
      <c r="AK587" s="60">
        <v>7139307707</v>
      </c>
      <c r="AL587" s="60"/>
      <c r="AM587" s="60">
        <v>20597854925</v>
      </c>
      <c r="AN587" s="60">
        <f t="shared" si="82"/>
        <v>253490909812</v>
      </c>
      <c r="AO587" s="60"/>
      <c r="AP587" s="60"/>
      <c r="AQ587" s="60">
        <v>6664199410</v>
      </c>
      <c r="AR587" s="60"/>
      <c r="AS587" s="60"/>
      <c r="AT587" s="60">
        <v>40156255545</v>
      </c>
      <c r="AU587" s="60"/>
      <c r="AV587" s="60">
        <v>2833440365</v>
      </c>
      <c r="AW587" s="60">
        <v>4836223217</v>
      </c>
      <c r="AX587" s="60"/>
      <c r="AY587" s="60"/>
      <c r="AZ587" s="60">
        <v>10144224482</v>
      </c>
      <c r="BA587" s="60">
        <f>VLOOKUP(B587,[2]Hoja3!J$3:K$674,2,0)</f>
        <v>482470383</v>
      </c>
      <c r="BB587" s="60">
        <f>VLOOKUP(B587,'[3]anuladas en mayo gratuidad}'!K$2:L$55,2,0)</f>
        <v>543195966</v>
      </c>
      <c r="BC587" s="61">
        <f t="shared" si="84"/>
        <v>318064527248</v>
      </c>
      <c r="BD587" s="60"/>
      <c r="BE587" s="60"/>
      <c r="BF587" s="60">
        <v>1332839882</v>
      </c>
      <c r="BG587" s="60"/>
      <c r="BH587" s="60"/>
      <c r="BI587" s="60">
        <v>38028000198</v>
      </c>
      <c r="BJ587" s="60">
        <v>669364062</v>
      </c>
      <c r="BK587" s="60">
        <v>1856164311</v>
      </c>
      <c r="BL587" s="60">
        <v>3903191973</v>
      </c>
      <c r="BM587" s="60"/>
      <c r="BN587" s="60"/>
      <c r="BO587" s="60"/>
      <c r="BP587" s="61">
        <v>363854087674</v>
      </c>
      <c r="BQ587" s="61"/>
      <c r="BR587" s="61"/>
      <c r="BS587" s="61">
        <v>1332839882</v>
      </c>
      <c r="BT587" s="61"/>
      <c r="BU587" s="61"/>
      <c r="BV587" s="61"/>
      <c r="BW587" s="61">
        <v>36748552994</v>
      </c>
      <c r="BX587" s="61">
        <v>6760332503</v>
      </c>
      <c r="BY587" s="61">
        <v>17569249898</v>
      </c>
      <c r="BZ587" s="61">
        <v>3357419344</v>
      </c>
      <c r="CA587" s="61">
        <v>7904297820</v>
      </c>
      <c r="CB587" s="61"/>
      <c r="CC587" s="61"/>
      <c r="CD587" s="61"/>
      <c r="CE587" s="61">
        <v>689439285</v>
      </c>
      <c r="CF587" s="61"/>
      <c r="CG587" s="61">
        <f t="shared" si="85"/>
        <v>438216219400</v>
      </c>
      <c r="CH587" s="62">
        <f>VLOOKUP(B587,[1]RPTNCT049_ConsultaSaldosContabl!I$4:K$7987,3,0)</f>
        <v>416989650773</v>
      </c>
      <c r="CI587" s="62">
        <f t="shared" si="86"/>
        <v>21226568627</v>
      </c>
      <c r="CJ587" s="63">
        <f t="shared" si="87"/>
        <v>438216219400</v>
      </c>
      <c r="CK587" s="64">
        <f t="shared" si="88"/>
        <v>0</v>
      </c>
      <c r="CL587" s="16"/>
      <c r="CM587" s="16"/>
      <c r="CN587" s="16"/>
    </row>
    <row r="588" spans="1:96" ht="15" customHeight="1" x14ac:dyDescent="0.2">
      <c r="A588" s="1">
        <v>8999994708</v>
      </c>
      <c r="B588" s="1">
        <v>899999470</v>
      </c>
      <c r="C588" s="9">
        <v>213825438</v>
      </c>
      <c r="D588" s="10" t="s">
        <v>513</v>
      </c>
      <c r="E588" s="52" t="s">
        <v>1538</v>
      </c>
      <c r="F588" s="21"/>
      <c r="G588" s="59"/>
      <c r="H588" s="21"/>
      <c r="I588" s="59"/>
      <c r="J588" s="21"/>
      <c r="K588" s="21"/>
      <c r="L588" s="59"/>
      <c r="M588" s="60"/>
      <c r="N588" s="21"/>
      <c r="O588" s="59"/>
      <c r="P588" s="21"/>
      <c r="Q588" s="59"/>
      <c r="R588" s="21"/>
      <c r="S588" s="21"/>
      <c r="T588" s="59"/>
      <c r="U588" s="60">
        <f t="shared" si="83"/>
        <v>0</v>
      </c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>
        <v>136899585</v>
      </c>
      <c r="AN588" s="60">
        <f t="shared" si="82"/>
        <v>136899585</v>
      </c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>
        <v>65618770</v>
      </c>
      <c r="AZ588" s="60"/>
      <c r="BA588" s="60"/>
      <c r="BB588" s="60"/>
      <c r="BC588" s="61">
        <f t="shared" si="84"/>
        <v>202518355</v>
      </c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>
        <v>13123754</v>
      </c>
      <c r="BO588" s="60"/>
      <c r="BP588" s="61">
        <v>215642109</v>
      </c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>
        <v>13123754</v>
      </c>
      <c r="CD588" s="61"/>
      <c r="CE588" s="61"/>
      <c r="CF588" s="61"/>
      <c r="CG588" s="61">
        <f t="shared" si="85"/>
        <v>228765863</v>
      </c>
      <c r="CH588" s="62">
        <f>VLOOKUP(B588,[1]RPTNCT049_ConsultaSaldosContabl!I$4:K$7987,3,0)</f>
        <v>91866278</v>
      </c>
      <c r="CI588" s="62">
        <f t="shared" si="86"/>
        <v>136899585</v>
      </c>
      <c r="CJ588" s="63">
        <f t="shared" si="87"/>
        <v>228765863</v>
      </c>
      <c r="CK588" s="64">
        <f t="shared" si="88"/>
        <v>0</v>
      </c>
      <c r="CL588" s="16"/>
      <c r="CM588" s="16"/>
      <c r="CN588" s="16"/>
    </row>
    <row r="589" spans="1:96" ht="15" customHeight="1" x14ac:dyDescent="0.2">
      <c r="A589" s="1">
        <v>8180009413</v>
      </c>
      <c r="B589" s="1">
        <v>818000941</v>
      </c>
      <c r="C589" s="9">
        <v>212527425</v>
      </c>
      <c r="D589" s="10" t="s">
        <v>582</v>
      </c>
      <c r="E589" s="52" t="s">
        <v>1603</v>
      </c>
      <c r="F589" s="21"/>
      <c r="G589" s="59"/>
      <c r="H589" s="21"/>
      <c r="I589" s="59"/>
      <c r="J589" s="21"/>
      <c r="K589" s="21"/>
      <c r="L589" s="59"/>
      <c r="M589" s="60"/>
      <c r="N589" s="21"/>
      <c r="O589" s="59"/>
      <c r="P589" s="21"/>
      <c r="Q589" s="59"/>
      <c r="R589" s="21"/>
      <c r="S589" s="21"/>
      <c r="T589" s="59"/>
      <c r="U589" s="60">
        <f t="shared" si="83"/>
        <v>0</v>
      </c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>
        <v>90603830</v>
      </c>
      <c r="AN589" s="60">
        <f t="shared" si="82"/>
        <v>90603830</v>
      </c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>
        <v>134078970</v>
      </c>
      <c r="AZ589" s="60"/>
      <c r="BA589" s="60"/>
      <c r="BB589" s="60"/>
      <c r="BC589" s="61">
        <f t="shared" si="84"/>
        <v>224682800</v>
      </c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>
        <v>26815794</v>
      </c>
      <c r="BO589" s="60"/>
      <c r="BP589" s="61">
        <v>251498594</v>
      </c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>
        <v>26815794</v>
      </c>
      <c r="CD589" s="61"/>
      <c r="CE589" s="61"/>
      <c r="CF589" s="61"/>
      <c r="CG589" s="61">
        <f t="shared" si="85"/>
        <v>278314388</v>
      </c>
      <c r="CH589" s="62">
        <f>VLOOKUP(B589,[1]RPTNCT049_ConsultaSaldosContabl!I$4:K$7987,3,0)</f>
        <v>187710558</v>
      </c>
      <c r="CI589" s="62">
        <f t="shared" si="86"/>
        <v>90603830</v>
      </c>
      <c r="CJ589" s="63">
        <f t="shared" si="87"/>
        <v>278314388</v>
      </c>
      <c r="CK589" s="64">
        <f t="shared" si="88"/>
        <v>0</v>
      </c>
      <c r="CL589" s="16"/>
      <c r="CM589" s="16"/>
      <c r="CN589" s="16"/>
    </row>
    <row r="590" spans="1:96" ht="15" customHeight="1" x14ac:dyDescent="0.2">
      <c r="A590" s="1">
        <v>8180009072</v>
      </c>
      <c r="B590" s="1">
        <v>818000907</v>
      </c>
      <c r="C590" s="9">
        <v>213027430</v>
      </c>
      <c r="D590" s="10" t="s">
        <v>583</v>
      </c>
      <c r="E590" s="52" t="s">
        <v>1604</v>
      </c>
      <c r="F590" s="21"/>
      <c r="G590" s="59"/>
      <c r="H590" s="21"/>
      <c r="I590" s="59"/>
      <c r="J590" s="21"/>
      <c r="K590" s="21"/>
      <c r="L590" s="59"/>
      <c r="M590" s="60"/>
      <c r="N590" s="21"/>
      <c r="O590" s="59"/>
      <c r="P590" s="21"/>
      <c r="Q590" s="59"/>
      <c r="R590" s="21"/>
      <c r="S590" s="21"/>
      <c r="T590" s="59"/>
      <c r="U590" s="60">
        <f t="shared" si="83"/>
        <v>0</v>
      </c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>
        <v>171257044</v>
      </c>
      <c r="AN590" s="60">
        <f t="shared" si="82"/>
        <v>171257044</v>
      </c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>
        <v>206851540</v>
      </c>
      <c r="AZ590" s="60"/>
      <c r="BA590" s="60"/>
      <c r="BB590" s="60"/>
      <c r="BC590" s="61">
        <f t="shared" si="84"/>
        <v>378108584</v>
      </c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>
        <v>41370308</v>
      </c>
      <c r="BO590" s="60"/>
      <c r="BP590" s="61">
        <v>419478892</v>
      </c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  <c r="CA590" s="61"/>
      <c r="CB590" s="61"/>
      <c r="CC590" s="61">
        <v>41370308</v>
      </c>
      <c r="CD590" s="61"/>
      <c r="CE590" s="61"/>
      <c r="CF590" s="61"/>
      <c r="CG590" s="61">
        <f t="shared" si="85"/>
        <v>460849200</v>
      </c>
      <c r="CH590" s="62">
        <f>VLOOKUP(B590,[1]RPTNCT049_ConsultaSaldosContabl!I$4:K$7987,3,0)</f>
        <v>289592156</v>
      </c>
      <c r="CI590" s="62">
        <f t="shared" si="86"/>
        <v>171257044</v>
      </c>
      <c r="CJ590" s="63">
        <f t="shared" si="87"/>
        <v>460849200</v>
      </c>
      <c r="CK590" s="64">
        <f t="shared" si="88"/>
        <v>0</v>
      </c>
      <c r="CL590" s="16"/>
      <c r="CM590" s="16"/>
      <c r="CN590" s="16"/>
    </row>
    <row r="591" spans="1:96" ht="15" customHeight="1" x14ac:dyDescent="0.2">
      <c r="A591" s="1">
        <v>8180012062</v>
      </c>
      <c r="B591" s="1">
        <v>818001206</v>
      </c>
      <c r="C591" s="9">
        <v>215027450</v>
      </c>
      <c r="D591" s="10" t="s">
        <v>584</v>
      </c>
      <c r="E591" s="52" t="s">
        <v>1605</v>
      </c>
      <c r="F591" s="21"/>
      <c r="G591" s="59"/>
      <c r="H591" s="21"/>
      <c r="I591" s="59"/>
      <c r="J591" s="21"/>
      <c r="K591" s="21"/>
      <c r="L591" s="59"/>
      <c r="M591" s="60"/>
      <c r="N591" s="21"/>
      <c r="O591" s="59"/>
      <c r="P591" s="21"/>
      <c r="Q591" s="59"/>
      <c r="R591" s="21"/>
      <c r="S591" s="21"/>
      <c r="T591" s="59"/>
      <c r="U591" s="60">
        <f t="shared" si="83"/>
        <v>0</v>
      </c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>
        <v>175974659</v>
      </c>
      <c r="AN591" s="60">
        <f t="shared" si="82"/>
        <v>175974659</v>
      </c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>
        <v>106901645</v>
      </c>
      <c r="AZ591" s="60"/>
      <c r="BA591" s="60"/>
      <c r="BB591" s="60"/>
      <c r="BC591" s="61">
        <f t="shared" si="84"/>
        <v>282876304</v>
      </c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>
        <v>21380329</v>
      </c>
      <c r="BO591" s="60"/>
      <c r="BP591" s="61">
        <v>304256633</v>
      </c>
      <c r="BQ591" s="61"/>
      <c r="BR591" s="61"/>
      <c r="BS591" s="61"/>
      <c r="BT591" s="61"/>
      <c r="BU591" s="61"/>
      <c r="BV591" s="61"/>
      <c r="BW591" s="61"/>
      <c r="BX591" s="61"/>
      <c r="BY591" s="61"/>
      <c r="BZ591" s="61"/>
      <c r="CA591" s="61"/>
      <c r="CB591" s="61"/>
      <c r="CC591" s="61">
        <v>21380329</v>
      </c>
      <c r="CD591" s="61"/>
      <c r="CE591" s="61"/>
      <c r="CF591" s="61"/>
      <c r="CG591" s="61">
        <f t="shared" si="85"/>
        <v>325636962</v>
      </c>
      <c r="CH591" s="62">
        <f>VLOOKUP(B591,[1]RPTNCT049_ConsultaSaldosContabl!I$4:K$7987,3,0)</f>
        <v>149662303</v>
      </c>
      <c r="CI591" s="62">
        <f t="shared" si="86"/>
        <v>175974659</v>
      </c>
      <c r="CJ591" s="63">
        <f t="shared" si="87"/>
        <v>325636962</v>
      </c>
      <c r="CK591" s="64">
        <f t="shared" si="88"/>
        <v>0</v>
      </c>
      <c r="CL591" s="16"/>
      <c r="CM591" s="16"/>
      <c r="CN591" s="16"/>
    </row>
    <row r="592" spans="1:96" ht="15" customHeight="1" x14ac:dyDescent="0.2">
      <c r="A592" s="1">
        <v>8907019334</v>
      </c>
      <c r="B592" s="1">
        <v>890701933</v>
      </c>
      <c r="C592" s="9">
        <v>214973449</v>
      </c>
      <c r="D592" s="10" t="s">
        <v>2226</v>
      </c>
      <c r="E592" s="52" t="s">
        <v>1952</v>
      </c>
      <c r="F592" s="21"/>
      <c r="G592" s="59"/>
      <c r="H592" s="21"/>
      <c r="I592" s="59"/>
      <c r="J592" s="21"/>
      <c r="K592" s="21"/>
      <c r="L592" s="59"/>
      <c r="M592" s="60"/>
      <c r="N592" s="21"/>
      <c r="O592" s="59"/>
      <c r="P592" s="21"/>
      <c r="Q592" s="59"/>
      <c r="R592" s="21"/>
      <c r="S592" s="21"/>
      <c r="T592" s="59"/>
      <c r="U592" s="60">
        <f t="shared" si="83"/>
        <v>0</v>
      </c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>
        <v>508005552</v>
      </c>
      <c r="AN592" s="60">
        <f t="shared" si="82"/>
        <v>508005552</v>
      </c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>
        <v>224532155</v>
      </c>
      <c r="AZ592" s="60"/>
      <c r="BA592" s="60"/>
      <c r="BB592" s="60"/>
      <c r="BC592" s="61">
        <f t="shared" si="84"/>
        <v>732537707</v>
      </c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>
        <v>44906431</v>
      </c>
      <c r="BO592" s="60"/>
      <c r="BP592" s="61">
        <v>777444138</v>
      </c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  <c r="CA592" s="61"/>
      <c r="CB592" s="61"/>
      <c r="CC592" s="61">
        <v>44906431</v>
      </c>
      <c r="CD592" s="61"/>
      <c r="CE592" s="61"/>
      <c r="CF592" s="61"/>
      <c r="CG592" s="61">
        <f t="shared" si="85"/>
        <v>822350569</v>
      </c>
      <c r="CH592" s="62">
        <f>VLOOKUP(B592,[1]RPTNCT049_ConsultaSaldosContabl!I$4:K$7987,3,0)</f>
        <v>314345017</v>
      </c>
      <c r="CI592" s="62">
        <f t="shared" si="86"/>
        <v>508005552</v>
      </c>
      <c r="CJ592" s="63">
        <f t="shared" si="87"/>
        <v>822350569</v>
      </c>
      <c r="CK592" s="64">
        <f t="shared" si="88"/>
        <v>0</v>
      </c>
      <c r="CL592" s="16"/>
      <c r="CM592" s="16"/>
      <c r="CN592" s="16"/>
    </row>
    <row r="593" spans="1:96" ht="15" customHeight="1" x14ac:dyDescent="0.2">
      <c r="A593" s="1">
        <v>8915023976</v>
      </c>
      <c r="B593" s="1">
        <v>891502397</v>
      </c>
      <c r="C593" s="9">
        <v>215019450</v>
      </c>
      <c r="D593" s="10" t="s">
        <v>391</v>
      </c>
      <c r="E593" s="52" t="s">
        <v>1420</v>
      </c>
      <c r="F593" s="21"/>
      <c r="G593" s="59"/>
      <c r="H593" s="21"/>
      <c r="I593" s="59"/>
      <c r="J593" s="21"/>
      <c r="K593" s="21"/>
      <c r="L593" s="59"/>
      <c r="M593" s="60"/>
      <c r="N593" s="21"/>
      <c r="O593" s="59"/>
      <c r="P593" s="21"/>
      <c r="Q593" s="59"/>
      <c r="R593" s="21"/>
      <c r="S593" s="21"/>
      <c r="T593" s="59"/>
      <c r="U593" s="60">
        <f t="shared" si="83"/>
        <v>0</v>
      </c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>
        <f>VLOOKUP(B593,[2]Hoja3!J$3:K$674,2,0)</f>
        <v>233432446</v>
      </c>
      <c r="BB593" s="60"/>
      <c r="BC593" s="61">
        <f t="shared" si="84"/>
        <v>233432446</v>
      </c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>
        <v>0</v>
      </c>
      <c r="BO593" s="60"/>
      <c r="BP593" s="61">
        <v>233432446</v>
      </c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  <c r="CA593" s="61"/>
      <c r="CB593" s="61"/>
      <c r="CC593" s="61">
        <v>215256363</v>
      </c>
      <c r="CD593" s="61"/>
      <c r="CE593" s="61">
        <v>9198313</v>
      </c>
      <c r="CF593" s="61"/>
      <c r="CG593" s="61">
        <f t="shared" si="85"/>
        <v>457887122</v>
      </c>
      <c r="CH593" s="62">
        <f>VLOOKUP(B593,[1]RPTNCT049_ConsultaSaldosContabl!I$4:K$7987,3,0)</f>
        <v>215256363</v>
      </c>
      <c r="CI593" s="62">
        <f t="shared" si="86"/>
        <v>242630759</v>
      </c>
      <c r="CJ593" s="63">
        <f t="shared" si="87"/>
        <v>457887122</v>
      </c>
      <c r="CK593" s="64">
        <f t="shared" si="88"/>
        <v>0</v>
      </c>
      <c r="CL593" s="16"/>
      <c r="CM593" s="16"/>
      <c r="CN593" s="16"/>
    </row>
    <row r="594" spans="1:96" ht="15" customHeight="1" x14ac:dyDescent="0.2">
      <c r="A594" s="1">
        <v>8920993171</v>
      </c>
      <c r="B594" s="1">
        <v>892099317</v>
      </c>
      <c r="C594" s="9">
        <v>213050330</v>
      </c>
      <c r="D594" s="10" t="s">
        <v>678</v>
      </c>
      <c r="E594" s="52" t="s">
        <v>1699</v>
      </c>
      <c r="F594" s="21"/>
      <c r="G594" s="59"/>
      <c r="H594" s="21"/>
      <c r="I594" s="59"/>
      <c r="J594" s="21"/>
      <c r="K594" s="21"/>
      <c r="L594" s="59"/>
      <c r="M594" s="60"/>
      <c r="N594" s="21"/>
      <c r="O594" s="59"/>
      <c r="P594" s="21"/>
      <c r="Q594" s="59"/>
      <c r="R594" s="21"/>
      <c r="S594" s="21"/>
      <c r="T594" s="59"/>
      <c r="U594" s="60">
        <f t="shared" si="83"/>
        <v>0</v>
      </c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>
        <v>57205069</v>
      </c>
      <c r="AN594" s="60">
        <f>SUBTOTAL(9,AC594:AM594)</f>
        <v>57205069</v>
      </c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>
        <f>VLOOKUP(B594,[2]Hoja3!J$3:K$674,2,0)</f>
        <v>75514790</v>
      </c>
      <c r="BB594" s="60"/>
      <c r="BC594" s="61">
        <f t="shared" si="84"/>
        <v>132719859</v>
      </c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>
        <v>0</v>
      </c>
      <c r="BO594" s="60"/>
      <c r="BP594" s="61">
        <v>132719859</v>
      </c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  <c r="CA594" s="61"/>
      <c r="CB594" s="61"/>
      <c r="CC594" s="61">
        <v>182574441</v>
      </c>
      <c r="CD594" s="61"/>
      <c r="CE594" s="61"/>
      <c r="CF594" s="61"/>
      <c r="CG594" s="61">
        <f t="shared" si="85"/>
        <v>315294300</v>
      </c>
      <c r="CH594" s="62">
        <f>VLOOKUP(B594,[1]RPTNCT049_ConsultaSaldosContabl!I$4:K$7987,3,0)</f>
        <v>182574441</v>
      </c>
      <c r="CI594" s="62">
        <f t="shared" si="86"/>
        <v>132719859</v>
      </c>
      <c r="CJ594" s="63">
        <f t="shared" si="87"/>
        <v>315294300</v>
      </c>
      <c r="CK594" s="64">
        <f t="shared" si="88"/>
        <v>0</v>
      </c>
      <c r="CL594" s="16"/>
      <c r="CM594" s="16"/>
      <c r="CN594" s="16"/>
    </row>
    <row r="595" spans="1:96" ht="15" customHeight="1" x14ac:dyDescent="0.2">
      <c r="A595" s="1">
        <v>8000674526</v>
      </c>
      <c r="B595" s="1">
        <v>800067452</v>
      </c>
      <c r="C595" s="9">
        <v>216018460</v>
      </c>
      <c r="D595" s="10" t="s">
        <v>367</v>
      </c>
      <c r="E595" s="52" t="s">
        <v>1397</v>
      </c>
      <c r="F595" s="21"/>
      <c r="G595" s="59"/>
      <c r="H595" s="21"/>
      <c r="I595" s="59"/>
      <c r="J595" s="21"/>
      <c r="K595" s="21"/>
      <c r="L595" s="59"/>
      <c r="M595" s="60"/>
      <c r="N595" s="21"/>
      <c r="O595" s="59"/>
      <c r="P595" s="21"/>
      <c r="Q595" s="59"/>
      <c r="R595" s="21"/>
      <c r="S595" s="21"/>
      <c r="T595" s="59"/>
      <c r="U595" s="60">
        <f t="shared" si="83"/>
        <v>0</v>
      </c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>
        <v>221468191</v>
      </c>
      <c r="AN595" s="60">
        <f>SUBTOTAL(9,AC595:AM595)</f>
        <v>221468191</v>
      </c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1">
        <f t="shared" si="84"/>
        <v>221468191</v>
      </c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>
        <v>0</v>
      </c>
      <c r="BO595" s="60"/>
      <c r="BP595" s="61">
        <v>221468191</v>
      </c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  <c r="CA595" s="61"/>
      <c r="CB595" s="61"/>
      <c r="CC595" s="61">
        <v>192687971</v>
      </c>
      <c r="CD595" s="61"/>
      <c r="CE595" s="61"/>
      <c r="CF595" s="61"/>
      <c r="CG595" s="61">
        <f t="shared" si="85"/>
        <v>414156162</v>
      </c>
      <c r="CH595" s="62">
        <f>VLOOKUP(B595,[1]RPTNCT049_ConsultaSaldosContabl!I$4:K$7987,3,0)</f>
        <v>192687971</v>
      </c>
      <c r="CI595" s="62">
        <f t="shared" si="86"/>
        <v>221468191</v>
      </c>
      <c r="CJ595" s="63">
        <f t="shared" si="87"/>
        <v>414156162</v>
      </c>
      <c r="CK595" s="64">
        <f t="shared" si="88"/>
        <v>0</v>
      </c>
      <c r="CL595" s="16"/>
      <c r="CM595" s="16"/>
      <c r="CN595" s="16"/>
    </row>
    <row r="596" spans="1:96" ht="15" customHeight="1" x14ac:dyDescent="0.2">
      <c r="A596" s="1">
        <v>8000296601</v>
      </c>
      <c r="B596" s="1">
        <v>800029660</v>
      </c>
      <c r="C596" s="9">
        <v>215515455</v>
      </c>
      <c r="D596" s="10" t="s">
        <v>268</v>
      </c>
      <c r="E596" s="52" t="s">
        <v>1302</v>
      </c>
      <c r="F596" s="21"/>
      <c r="G596" s="59"/>
      <c r="H596" s="21"/>
      <c r="I596" s="59"/>
      <c r="J596" s="21"/>
      <c r="K596" s="21"/>
      <c r="L596" s="59"/>
      <c r="M596" s="60"/>
      <c r="N596" s="21"/>
      <c r="O596" s="59"/>
      <c r="P596" s="21"/>
      <c r="Q596" s="59"/>
      <c r="R596" s="21"/>
      <c r="S596" s="21"/>
      <c r="T596" s="59"/>
      <c r="U596" s="60">
        <f t="shared" si="83"/>
        <v>0</v>
      </c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>
        <v>59280750</v>
      </c>
      <c r="AZ596" s="60"/>
      <c r="BA596" s="60">
        <f>VLOOKUP(B596,[2]Hoja3!J$3:K$674,2,0)</f>
        <v>108156418</v>
      </c>
      <c r="BB596" s="60"/>
      <c r="BC596" s="61">
        <f t="shared" si="84"/>
        <v>167437168</v>
      </c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>
        <v>11856150</v>
      </c>
      <c r="BO596" s="60"/>
      <c r="BP596" s="61">
        <v>179293318</v>
      </c>
      <c r="BQ596" s="61"/>
      <c r="BR596" s="61"/>
      <c r="BS596" s="61"/>
      <c r="BT596" s="61"/>
      <c r="BU596" s="61"/>
      <c r="BV596" s="61"/>
      <c r="BW596" s="61"/>
      <c r="BX596" s="61"/>
      <c r="BY596" s="61"/>
      <c r="BZ596" s="61"/>
      <c r="CA596" s="61"/>
      <c r="CB596" s="61"/>
      <c r="CC596" s="61">
        <v>11856150</v>
      </c>
      <c r="CD596" s="61"/>
      <c r="CE596" s="61"/>
      <c r="CF596" s="61"/>
      <c r="CG596" s="61">
        <f t="shared" si="85"/>
        <v>191149468</v>
      </c>
      <c r="CH596" s="62">
        <f>VLOOKUP(B596,[1]RPTNCT049_ConsultaSaldosContabl!I$4:K$7987,3,0)</f>
        <v>82993050</v>
      </c>
      <c r="CI596" s="62">
        <f t="shared" si="86"/>
        <v>108156418</v>
      </c>
      <c r="CJ596" s="63">
        <f t="shared" si="87"/>
        <v>191149468</v>
      </c>
      <c r="CK596" s="64">
        <f t="shared" si="88"/>
        <v>0</v>
      </c>
      <c r="CL596" s="16"/>
      <c r="CM596" s="16"/>
      <c r="CN596" s="16"/>
    </row>
    <row r="597" spans="1:96" ht="15" customHeight="1" x14ac:dyDescent="0.2">
      <c r="A597" s="1">
        <v>8001031984</v>
      </c>
      <c r="B597" s="1">
        <v>800103198</v>
      </c>
      <c r="C597" s="9">
        <v>210095200</v>
      </c>
      <c r="D597" s="10" t="s">
        <v>993</v>
      </c>
      <c r="E597" s="52" t="s">
        <v>2050</v>
      </c>
      <c r="F597" s="21"/>
      <c r="G597" s="59"/>
      <c r="H597" s="21"/>
      <c r="I597" s="59"/>
      <c r="J597" s="21"/>
      <c r="K597" s="21"/>
      <c r="L597" s="59"/>
      <c r="M597" s="60"/>
      <c r="N597" s="21"/>
      <c r="O597" s="59"/>
      <c r="P597" s="21"/>
      <c r="Q597" s="59"/>
      <c r="R597" s="21"/>
      <c r="S597" s="21"/>
      <c r="T597" s="59"/>
      <c r="U597" s="60">
        <f t="shared" si="83"/>
        <v>0</v>
      </c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>
        <v>56838817</v>
      </c>
      <c r="AN597" s="60">
        <f>SUBTOTAL(9,AC597:AM597)</f>
        <v>56838817</v>
      </c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>
        <v>58497005</v>
      </c>
      <c r="AZ597" s="60"/>
      <c r="BA597" s="60"/>
      <c r="BB597" s="60"/>
      <c r="BC597" s="61">
        <f t="shared" si="84"/>
        <v>115335822</v>
      </c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>
        <v>11699401</v>
      </c>
      <c r="BO597" s="60"/>
      <c r="BP597" s="61">
        <v>127035223</v>
      </c>
      <c r="BQ597" s="61"/>
      <c r="BR597" s="61"/>
      <c r="BS597" s="61"/>
      <c r="BT597" s="61"/>
      <c r="BU597" s="61"/>
      <c r="BV597" s="61"/>
      <c r="BW597" s="61"/>
      <c r="BX597" s="61"/>
      <c r="BY597" s="61"/>
      <c r="BZ597" s="61"/>
      <c r="CA597" s="61"/>
      <c r="CB597" s="61"/>
      <c r="CC597" s="61">
        <v>11699401</v>
      </c>
      <c r="CD597" s="61"/>
      <c r="CE597" s="61"/>
      <c r="CF597" s="61"/>
      <c r="CG597" s="61">
        <f t="shared" si="85"/>
        <v>138734624</v>
      </c>
      <c r="CH597" s="62">
        <f>VLOOKUP(B597,[1]RPTNCT049_ConsultaSaldosContabl!I$4:K$7987,3,0)</f>
        <v>81895807</v>
      </c>
      <c r="CI597" s="62">
        <f t="shared" si="86"/>
        <v>56838817</v>
      </c>
      <c r="CJ597" s="63">
        <f t="shared" si="87"/>
        <v>138734624</v>
      </c>
      <c r="CK597" s="64">
        <f t="shared" si="88"/>
        <v>0</v>
      </c>
      <c r="CL597" s="16"/>
      <c r="CM597" s="8"/>
      <c r="CN597" s="8"/>
      <c r="CO597" s="8"/>
      <c r="CP597" s="8"/>
      <c r="CQ597" s="8"/>
      <c r="CR597" s="8"/>
    </row>
    <row r="598" spans="1:96" ht="15" customHeight="1" x14ac:dyDescent="0.2">
      <c r="A598" s="1">
        <v>8915008416</v>
      </c>
      <c r="B598" s="1">
        <v>891500841</v>
      </c>
      <c r="C598" s="9">
        <v>215519455</v>
      </c>
      <c r="D598" s="10" t="s">
        <v>392</v>
      </c>
      <c r="E598" s="52" t="s">
        <v>1421</v>
      </c>
      <c r="F598" s="21"/>
      <c r="G598" s="59"/>
      <c r="H598" s="21"/>
      <c r="I598" s="59"/>
      <c r="J598" s="21"/>
      <c r="K598" s="21"/>
      <c r="L598" s="59"/>
      <c r="M598" s="60"/>
      <c r="N598" s="21"/>
      <c r="O598" s="59"/>
      <c r="P598" s="21"/>
      <c r="Q598" s="59"/>
      <c r="R598" s="21"/>
      <c r="S598" s="21"/>
      <c r="T598" s="59"/>
      <c r="U598" s="60">
        <f t="shared" si="83"/>
        <v>0</v>
      </c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>
        <v>323408274</v>
      </c>
      <c r="AN598" s="60">
        <f>SUBTOTAL(9,AC598:AM598)</f>
        <v>323408274</v>
      </c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>
        <v>234913255</v>
      </c>
      <c r="AZ598" s="60"/>
      <c r="BA598" s="60">
        <f>VLOOKUP(B598,[2]Hoja3!J$3:K$674,2,0)</f>
        <v>102650177</v>
      </c>
      <c r="BB598" s="60"/>
      <c r="BC598" s="61">
        <f t="shared" si="84"/>
        <v>660971706</v>
      </c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>
        <v>46982651</v>
      </c>
      <c r="BO598" s="60"/>
      <c r="BP598" s="61">
        <v>707954357</v>
      </c>
      <c r="BQ598" s="61"/>
      <c r="BR598" s="61"/>
      <c r="BS598" s="61"/>
      <c r="BT598" s="61"/>
      <c r="BU598" s="61"/>
      <c r="BV598" s="61"/>
      <c r="BW598" s="61"/>
      <c r="BX598" s="61"/>
      <c r="BY598" s="61"/>
      <c r="BZ598" s="61"/>
      <c r="CA598" s="61"/>
      <c r="CB598" s="61"/>
      <c r="CC598" s="61">
        <v>46982651</v>
      </c>
      <c r="CD598" s="61"/>
      <c r="CE598" s="61"/>
      <c r="CF598" s="61"/>
      <c r="CG598" s="61">
        <f t="shared" si="85"/>
        <v>754937008</v>
      </c>
      <c r="CH598" s="62">
        <f>VLOOKUP(B598,[1]RPTNCT049_ConsultaSaldosContabl!I$4:K$7987,3,0)</f>
        <v>328878557</v>
      </c>
      <c r="CI598" s="62">
        <f t="shared" si="86"/>
        <v>426058451</v>
      </c>
      <c r="CJ598" s="63">
        <f t="shared" si="87"/>
        <v>754937008</v>
      </c>
      <c r="CK598" s="64">
        <f t="shared" si="88"/>
        <v>0</v>
      </c>
      <c r="CL598" s="16"/>
      <c r="CM598" s="16"/>
      <c r="CN598" s="16"/>
    </row>
    <row r="599" spans="1:96" ht="15" customHeight="1" x14ac:dyDescent="0.2">
      <c r="A599" s="1">
        <v>8000310757</v>
      </c>
      <c r="B599" s="1">
        <v>800031075</v>
      </c>
      <c r="C599" s="9">
        <v>215666456</v>
      </c>
      <c r="D599" s="10" t="s">
        <v>807</v>
      </c>
      <c r="E599" s="52" t="s">
        <v>1824</v>
      </c>
      <c r="F599" s="21"/>
      <c r="G599" s="59"/>
      <c r="H599" s="21"/>
      <c r="I599" s="59"/>
      <c r="J599" s="21"/>
      <c r="K599" s="21"/>
      <c r="L599" s="59"/>
      <c r="M599" s="60"/>
      <c r="N599" s="21"/>
      <c r="O599" s="59"/>
      <c r="P599" s="21"/>
      <c r="Q599" s="59"/>
      <c r="R599" s="21"/>
      <c r="S599" s="21"/>
      <c r="T599" s="59"/>
      <c r="U599" s="60">
        <f t="shared" si="83"/>
        <v>0</v>
      </c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>
        <v>133393165</v>
      </c>
      <c r="AZ599" s="60"/>
      <c r="BA599" s="60">
        <f>VLOOKUP(B599,[2]Hoja3!J$3:K$674,2,0)</f>
        <v>279998768</v>
      </c>
      <c r="BB599" s="60"/>
      <c r="BC599" s="61">
        <f t="shared" si="84"/>
        <v>413391933</v>
      </c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>
        <v>26678633</v>
      </c>
      <c r="BO599" s="60"/>
      <c r="BP599" s="61">
        <v>440070566</v>
      </c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  <c r="CA599" s="61"/>
      <c r="CB599" s="61"/>
      <c r="CC599" s="61">
        <v>26678633</v>
      </c>
      <c r="CD599" s="61"/>
      <c r="CE599" s="61"/>
      <c r="CF599" s="61"/>
      <c r="CG599" s="61">
        <f t="shared" si="85"/>
        <v>466749199</v>
      </c>
      <c r="CH599" s="62">
        <f>VLOOKUP(B599,[1]RPTNCT049_ConsultaSaldosContabl!I$4:K$7987,3,0)</f>
        <v>186750431</v>
      </c>
      <c r="CI599" s="62">
        <f t="shared" si="86"/>
        <v>279998768</v>
      </c>
      <c r="CJ599" s="63">
        <f t="shared" si="87"/>
        <v>466749199</v>
      </c>
      <c r="CK599" s="64">
        <f t="shared" si="88"/>
        <v>0</v>
      </c>
      <c r="CL599" s="16"/>
      <c r="CM599" s="16"/>
      <c r="CN599" s="16"/>
    </row>
    <row r="600" spans="1:96" ht="15" customHeight="1" x14ac:dyDescent="0.2">
      <c r="A600" s="1">
        <v>8920992331</v>
      </c>
      <c r="B600" s="1">
        <v>892099233</v>
      </c>
      <c r="C600" s="9">
        <v>210197001</v>
      </c>
      <c r="D600" s="10" t="s">
        <v>994</v>
      </c>
      <c r="E600" s="52" t="s">
        <v>2051</v>
      </c>
      <c r="F600" s="21"/>
      <c r="G600" s="59"/>
      <c r="H600" s="21"/>
      <c r="I600" s="59"/>
      <c r="J600" s="21"/>
      <c r="K600" s="21"/>
      <c r="L600" s="59"/>
      <c r="M600" s="60"/>
      <c r="N600" s="21"/>
      <c r="O600" s="59"/>
      <c r="P600" s="21"/>
      <c r="Q600" s="59"/>
      <c r="R600" s="21"/>
      <c r="S600" s="21"/>
      <c r="T600" s="59"/>
      <c r="U600" s="60">
        <f t="shared" si="83"/>
        <v>0</v>
      </c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>
        <v>275420881</v>
      </c>
      <c r="AN600" s="60">
        <f>SUBTOTAL(9,AC600:AM600)</f>
        <v>275420881</v>
      </c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>
        <v>290343695</v>
      </c>
      <c r="AZ600" s="60"/>
      <c r="BA600" s="60"/>
      <c r="BB600" s="60"/>
      <c r="BC600" s="61">
        <f t="shared" si="84"/>
        <v>565764576</v>
      </c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>
        <v>58068739</v>
      </c>
      <c r="BO600" s="60"/>
      <c r="BP600" s="61">
        <v>623833315</v>
      </c>
      <c r="BQ600" s="61"/>
      <c r="BR600" s="61"/>
      <c r="BS600" s="61"/>
      <c r="BT600" s="61"/>
      <c r="BU600" s="61"/>
      <c r="BV600" s="61"/>
      <c r="BW600" s="61"/>
      <c r="BX600" s="61"/>
      <c r="BY600" s="61"/>
      <c r="BZ600" s="61"/>
      <c r="CA600" s="61"/>
      <c r="CB600" s="61"/>
      <c r="CC600" s="61">
        <v>58068739</v>
      </c>
      <c r="CD600" s="61"/>
      <c r="CE600" s="61"/>
      <c r="CF600" s="61"/>
      <c r="CG600" s="61">
        <f t="shared" si="85"/>
        <v>681902054</v>
      </c>
      <c r="CH600" s="62">
        <f>VLOOKUP(B600,[1]RPTNCT049_ConsultaSaldosContabl!I$4:K$7987,3,0)</f>
        <v>406481173</v>
      </c>
      <c r="CI600" s="62">
        <f t="shared" si="86"/>
        <v>275420881</v>
      </c>
      <c r="CJ600" s="63">
        <f t="shared" si="87"/>
        <v>681902054</v>
      </c>
      <c r="CK600" s="64">
        <f t="shared" si="88"/>
        <v>0</v>
      </c>
      <c r="CL600" s="16"/>
      <c r="CM600" s="16"/>
      <c r="CN600" s="16"/>
    </row>
    <row r="601" spans="1:96" ht="15" customHeight="1" x14ac:dyDescent="0.2">
      <c r="A601" s="1">
        <v>8001028916</v>
      </c>
      <c r="B601" s="1">
        <v>800102891</v>
      </c>
      <c r="C601" s="9">
        <v>210186001</v>
      </c>
      <c r="D601" s="10" t="s">
        <v>974</v>
      </c>
      <c r="E601" s="52" t="s">
        <v>2033</v>
      </c>
      <c r="F601" s="21"/>
      <c r="G601" s="59"/>
      <c r="H601" s="21"/>
      <c r="I601" s="59"/>
      <c r="J601" s="21"/>
      <c r="K601" s="21"/>
      <c r="L601" s="59"/>
      <c r="M601" s="60"/>
      <c r="N601" s="21"/>
      <c r="O601" s="59"/>
      <c r="P601" s="21"/>
      <c r="Q601" s="59"/>
      <c r="R601" s="21"/>
      <c r="S601" s="21"/>
      <c r="T601" s="59"/>
      <c r="U601" s="60">
        <f t="shared" si="83"/>
        <v>0</v>
      </c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>
        <v>619543596</v>
      </c>
      <c r="AN601" s="60">
        <f>SUBTOTAL(9,AC601:AM601)</f>
        <v>619543596</v>
      </c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>
        <v>280060440</v>
      </c>
      <c r="AZ601" s="60"/>
      <c r="BA601" s="60">
        <f>VLOOKUP(B601,[2]Hoja3!J$3:K$674,2,0)</f>
        <v>155493061</v>
      </c>
      <c r="BB601" s="60"/>
      <c r="BC601" s="61">
        <f t="shared" si="84"/>
        <v>1055097097</v>
      </c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>
        <v>56012088</v>
      </c>
      <c r="BO601" s="60"/>
      <c r="BP601" s="61">
        <v>1111109185</v>
      </c>
      <c r="BQ601" s="61"/>
      <c r="BR601" s="61"/>
      <c r="BS601" s="61"/>
      <c r="BT601" s="61"/>
      <c r="BU601" s="61"/>
      <c r="BV601" s="61"/>
      <c r="BW601" s="61"/>
      <c r="BX601" s="61"/>
      <c r="BY601" s="61"/>
      <c r="BZ601" s="61"/>
      <c r="CA601" s="61"/>
      <c r="CB601" s="61"/>
      <c r="CC601" s="61">
        <v>56012088</v>
      </c>
      <c r="CD601" s="61"/>
      <c r="CE601" s="61"/>
      <c r="CF601" s="61"/>
      <c r="CG601" s="61">
        <f t="shared" si="85"/>
        <v>1167121273</v>
      </c>
      <c r="CH601" s="62">
        <f>VLOOKUP(B601,[1]RPTNCT049_ConsultaSaldosContabl!I$4:K$7987,3,0)</f>
        <v>392084616</v>
      </c>
      <c r="CI601" s="62">
        <f t="shared" si="86"/>
        <v>775036657</v>
      </c>
      <c r="CJ601" s="63">
        <f t="shared" si="87"/>
        <v>1167121273</v>
      </c>
      <c r="CK601" s="64">
        <f t="shared" si="88"/>
        <v>0</v>
      </c>
      <c r="CL601" s="16"/>
      <c r="CM601" s="16"/>
      <c r="CN601" s="16"/>
    </row>
    <row r="602" spans="1:96" ht="15" customHeight="1" x14ac:dyDescent="0.2">
      <c r="A602" s="1">
        <v>8902056325</v>
      </c>
      <c r="B602" s="1">
        <v>890205632</v>
      </c>
      <c r="C602" s="9">
        <v>216468464</v>
      </c>
      <c r="D602" s="10" t="s">
        <v>858</v>
      </c>
      <c r="E602" s="52" t="s">
        <v>1872</v>
      </c>
      <c r="F602" s="21"/>
      <c r="G602" s="59"/>
      <c r="H602" s="21"/>
      <c r="I602" s="59"/>
      <c r="J602" s="21"/>
      <c r="K602" s="21"/>
      <c r="L602" s="59"/>
      <c r="M602" s="60"/>
      <c r="N602" s="21"/>
      <c r="O602" s="59"/>
      <c r="P602" s="21"/>
      <c r="Q602" s="59"/>
      <c r="R602" s="21"/>
      <c r="S602" s="21"/>
      <c r="T602" s="59"/>
      <c r="U602" s="60">
        <f t="shared" si="83"/>
        <v>0</v>
      </c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>
        <v>85683590</v>
      </c>
      <c r="AZ602" s="60"/>
      <c r="BA602" s="60">
        <f>VLOOKUP(B602,[2]Hoja3!J$3:K$674,2,0)</f>
        <v>174003120</v>
      </c>
      <c r="BB602" s="60"/>
      <c r="BC602" s="61">
        <f t="shared" si="84"/>
        <v>259686710</v>
      </c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>
        <v>17136718</v>
      </c>
      <c r="BO602" s="60"/>
      <c r="BP602" s="61">
        <v>276823428</v>
      </c>
      <c r="BQ602" s="61"/>
      <c r="BR602" s="61"/>
      <c r="BS602" s="61"/>
      <c r="BT602" s="61"/>
      <c r="BU602" s="61"/>
      <c r="BV602" s="61"/>
      <c r="BW602" s="61"/>
      <c r="BX602" s="61"/>
      <c r="BY602" s="61"/>
      <c r="BZ602" s="61"/>
      <c r="CA602" s="61"/>
      <c r="CB602" s="61"/>
      <c r="CC602" s="61">
        <v>17136718</v>
      </c>
      <c r="CD602" s="61"/>
      <c r="CE602" s="61"/>
      <c r="CF602" s="61"/>
      <c r="CG602" s="61">
        <f t="shared" si="85"/>
        <v>293960146</v>
      </c>
      <c r="CH602" s="62">
        <f>VLOOKUP(B602,[1]RPTNCT049_ConsultaSaldosContabl!I$4:K$7987,3,0)</f>
        <v>119957026</v>
      </c>
      <c r="CI602" s="62">
        <f t="shared" si="86"/>
        <v>174003120</v>
      </c>
      <c r="CJ602" s="63">
        <f t="shared" si="87"/>
        <v>293960146</v>
      </c>
      <c r="CK602" s="64">
        <f t="shared" si="88"/>
        <v>0</v>
      </c>
      <c r="CL602" s="16"/>
      <c r="CM602" s="16"/>
      <c r="CN602" s="16"/>
    </row>
    <row r="603" spans="1:96" ht="15" customHeight="1" x14ac:dyDescent="0.2">
      <c r="A603" s="1">
        <v>8902053266</v>
      </c>
      <c r="B603" s="1">
        <v>890205326</v>
      </c>
      <c r="C603" s="9">
        <v>216868468</v>
      </c>
      <c r="D603" s="10" t="s">
        <v>859</v>
      </c>
      <c r="E603" s="52" t="s">
        <v>2086</v>
      </c>
      <c r="F603" s="21"/>
      <c r="G603" s="59"/>
      <c r="H603" s="21"/>
      <c r="I603" s="59"/>
      <c r="J603" s="21"/>
      <c r="K603" s="21"/>
      <c r="L603" s="59"/>
      <c r="M603" s="60"/>
      <c r="N603" s="21"/>
      <c r="O603" s="59"/>
      <c r="P603" s="21"/>
      <c r="Q603" s="59"/>
      <c r="R603" s="21"/>
      <c r="S603" s="21"/>
      <c r="T603" s="59"/>
      <c r="U603" s="60">
        <f t="shared" si="83"/>
        <v>0</v>
      </c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>
        <v>33956926</v>
      </c>
      <c r="AN603" s="60">
        <f>SUBTOTAL(9,AC603:AM603)</f>
        <v>33956926</v>
      </c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>
        <v>27520835</v>
      </c>
      <c r="AZ603" s="60"/>
      <c r="BA603" s="60">
        <f>VLOOKUP(B603,[2]Hoja3!J$3:K$674,2,0)</f>
        <v>29358957</v>
      </c>
      <c r="BB603" s="60"/>
      <c r="BC603" s="61">
        <f t="shared" si="84"/>
        <v>90836718</v>
      </c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>
        <v>5504167</v>
      </c>
      <c r="BO603" s="60"/>
      <c r="BP603" s="61">
        <v>96340885</v>
      </c>
      <c r="BQ603" s="61"/>
      <c r="BR603" s="61"/>
      <c r="BS603" s="61"/>
      <c r="BT603" s="61"/>
      <c r="BU603" s="61"/>
      <c r="BV603" s="61"/>
      <c r="BW603" s="61"/>
      <c r="BX603" s="61"/>
      <c r="BY603" s="61"/>
      <c r="BZ603" s="61"/>
      <c r="CA603" s="61"/>
      <c r="CB603" s="61"/>
      <c r="CC603" s="61">
        <v>5504167</v>
      </c>
      <c r="CD603" s="61"/>
      <c r="CE603" s="61"/>
      <c r="CF603" s="61"/>
      <c r="CG603" s="61">
        <f t="shared" si="85"/>
        <v>101845052</v>
      </c>
      <c r="CH603" s="62">
        <f>VLOOKUP(B603,[1]RPTNCT049_ConsultaSaldosContabl!I$4:K$7987,3,0)</f>
        <v>38529169</v>
      </c>
      <c r="CI603" s="62">
        <f t="shared" si="86"/>
        <v>63315883</v>
      </c>
      <c r="CJ603" s="63">
        <f t="shared" si="87"/>
        <v>101845052</v>
      </c>
      <c r="CK603" s="64">
        <f t="shared" si="88"/>
        <v>0</v>
      </c>
      <c r="CL603" s="16"/>
      <c r="CM603" s="16"/>
      <c r="CN603" s="16"/>
    </row>
    <row r="604" spans="1:96" ht="15" customHeight="1" x14ac:dyDescent="0.2">
      <c r="A604" s="1">
        <v>8000967628</v>
      </c>
      <c r="B604" s="1">
        <v>800096762</v>
      </c>
      <c r="C604" s="9">
        <v>216423464</v>
      </c>
      <c r="D604" s="10" t="s">
        <v>447</v>
      </c>
      <c r="E604" s="52" t="s">
        <v>1474</v>
      </c>
      <c r="F604" s="21"/>
      <c r="G604" s="59"/>
      <c r="H604" s="21"/>
      <c r="I604" s="59"/>
      <c r="J604" s="21"/>
      <c r="K604" s="21"/>
      <c r="L604" s="59"/>
      <c r="M604" s="60"/>
      <c r="N604" s="21"/>
      <c r="O604" s="59"/>
      <c r="P604" s="21"/>
      <c r="Q604" s="59"/>
      <c r="R604" s="21"/>
      <c r="S604" s="21"/>
      <c r="T604" s="59"/>
      <c r="U604" s="60">
        <f t="shared" si="83"/>
        <v>0</v>
      </c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>
        <v>227193014</v>
      </c>
      <c r="AN604" s="60">
        <f>SUBTOTAL(9,AC604:AM604)</f>
        <v>227193014</v>
      </c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>
        <v>174161355</v>
      </c>
      <c r="AZ604" s="60"/>
      <c r="BA604" s="60"/>
      <c r="BB604" s="60"/>
      <c r="BC604" s="61">
        <f t="shared" si="84"/>
        <v>401354369</v>
      </c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>
        <v>34832271</v>
      </c>
      <c r="BO604" s="60"/>
      <c r="BP604" s="61">
        <v>436186640</v>
      </c>
      <c r="BQ604" s="61"/>
      <c r="BR604" s="61"/>
      <c r="BS604" s="61"/>
      <c r="BT604" s="61"/>
      <c r="BU604" s="61"/>
      <c r="BV604" s="61"/>
      <c r="BW604" s="61"/>
      <c r="BX604" s="61"/>
      <c r="BY604" s="61"/>
      <c r="BZ604" s="61"/>
      <c r="CA604" s="61"/>
      <c r="CB604" s="61"/>
      <c r="CC604" s="61">
        <v>34832271</v>
      </c>
      <c r="CD604" s="61"/>
      <c r="CE604" s="61"/>
      <c r="CF604" s="61"/>
      <c r="CG604" s="61">
        <f t="shared" si="85"/>
        <v>471018911</v>
      </c>
      <c r="CH604" s="62">
        <f>VLOOKUP(B604,[1]RPTNCT049_ConsultaSaldosContabl!I$4:K$7987,3,0)</f>
        <v>243825897</v>
      </c>
      <c r="CI604" s="62">
        <f t="shared" si="86"/>
        <v>227193014</v>
      </c>
      <c r="CJ604" s="63">
        <f t="shared" si="87"/>
        <v>471018911</v>
      </c>
      <c r="CK604" s="64">
        <f t="shared" si="88"/>
        <v>0</v>
      </c>
      <c r="CL604" s="16"/>
      <c r="CM604" s="16"/>
      <c r="CN604" s="16"/>
    </row>
    <row r="605" spans="1:96" ht="15" customHeight="1" x14ac:dyDescent="0.2">
      <c r="A605" s="1">
        <v>8904806433</v>
      </c>
      <c r="B605" s="1">
        <v>890480643</v>
      </c>
      <c r="C605" s="9">
        <v>216813468</v>
      </c>
      <c r="D605" s="10" t="s">
        <v>198</v>
      </c>
      <c r="E605" s="52" t="s">
        <v>1229</v>
      </c>
      <c r="F605" s="21"/>
      <c r="G605" s="59"/>
      <c r="H605" s="21"/>
      <c r="I605" s="59"/>
      <c r="J605" s="21"/>
      <c r="K605" s="21"/>
      <c r="L605" s="59"/>
      <c r="M605" s="60"/>
      <c r="N605" s="21"/>
      <c r="O605" s="59"/>
      <c r="P605" s="21"/>
      <c r="Q605" s="59"/>
      <c r="R605" s="21"/>
      <c r="S605" s="21"/>
      <c r="T605" s="59"/>
      <c r="U605" s="60">
        <f t="shared" si="83"/>
        <v>0</v>
      </c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>
        <v>744438989</v>
      </c>
      <c r="AN605" s="60">
        <f>SUBTOTAL(9,AC605:AM605)</f>
        <v>744438989</v>
      </c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>
        <f>VLOOKUP(B605,[2]Hoja3!J$3:K$674,2,0)</f>
        <v>118392616</v>
      </c>
      <c r="BB605" s="60">
        <f>VLOOKUP(B605,'[3]anuladas en mayo gratuidad}'!K$2:L$55,2,0)</f>
        <v>73892793</v>
      </c>
      <c r="BC605" s="61">
        <f t="shared" si="84"/>
        <v>788938812</v>
      </c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>
        <v>0</v>
      </c>
      <c r="BO605" s="60">
        <v>73892793</v>
      </c>
      <c r="BP605" s="61">
        <v>862831605</v>
      </c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  <c r="CA605" s="61"/>
      <c r="CB605" s="61"/>
      <c r="CC605" s="61">
        <v>588425593</v>
      </c>
      <c r="CD605" s="61"/>
      <c r="CE605" s="61"/>
      <c r="CF605" s="61"/>
      <c r="CG605" s="61">
        <f t="shared" si="85"/>
        <v>1451257198</v>
      </c>
      <c r="CH605" s="62">
        <f>VLOOKUP(B605,[1]RPTNCT049_ConsultaSaldosContabl!I$4:K$7987,3,0)</f>
        <v>588425593</v>
      </c>
      <c r="CI605" s="62">
        <f t="shared" si="86"/>
        <v>862831605</v>
      </c>
      <c r="CJ605" s="63">
        <f t="shared" si="87"/>
        <v>1451257198</v>
      </c>
      <c r="CK605" s="64">
        <f t="shared" si="88"/>
        <v>0</v>
      </c>
      <c r="CL605" s="16"/>
      <c r="CM605" s="8"/>
      <c r="CN605" s="8"/>
      <c r="CO605" s="8"/>
      <c r="CP605" s="8"/>
      <c r="CQ605" s="8"/>
      <c r="CR605" s="8"/>
    </row>
    <row r="606" spans="1:96" ht="15" customHeight="1" x14ac:dyDescent="0.2">
      <c r="A606" s="1">
        <v>8918557357</v>
      </c>
      <c r="B606" s="1">
        <v>891855735</v>
      </c>
      <c r="C606" s="9">
        <v>216415464</v>
      </c>
      <c r="D606" s="10" t="s">
        <v>269</v>
      </c>
      <c r="E606" s="52" t="s">
        <v>1303</v>
      </c>
      <c r="F606" s="21"/>
      <c r="G606" s="59"/>
      <c r="H606" s="21"/>
      <c r="I606" s="59"/>
      <c r="J606" s="21"/>
      <c r="K606" s="21"/>
      <c r="L606" s="59"/>
      <c r="M606" s="60"/>
      <c r="N606" s="21"/>
      <c r="O606" s="59"/>
      <c r="P606" s="21"/>
      <c r="Q606" s="59"/>
      <c r="R606" s="21"/>
      <c r="S606" s="21"/>
      <c r="T606" s="59"/>
      <c r="U606" s="60">
        <f t="shared" si="83"/>
        <v>0</v>
      </c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>
        <v>34646055</v>
      </c>
      <c r="AZ606" s="60"/>
      <c r="BA606" s="60">
        <f>VLOOKUP(B606,[2]Hoja3!J$3:K$674,2,0)</f>
        <v>71127074</v>
      </c>
      <c r="BB606" s="60"/>
      <c r="BC606" s="61">
        <f t="shared" si="84"/>
        <v>105773129</v>
      </c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>
        <v>6929211</v>
      </c>
      <c r="BO606" s="60"/>
      <c r="BP606" s="61">
        <v>112702340</v>
      </c>
      <c r="BQ606" s="61"/>
      <c r="BR606" s="61"/>
      <c r="BS606" s="61"/>
      <c r="BT606" s="61"/>
      <c r="BU606" s="61"/>
      <c r="BV606" s="61"/>
      <c r="BW606" s="61"/>
      <c r="BX606" s="61"/>
      <c r="BY606" s="61"/>
      <c r="BZ606" s="61"/>
      <c r="CA606" s="61"/>
      <c r="CB606" s="61"/>
      <c r="CC606" s="61">
        <v>6929211</v>
      </c>
      <c r="CD606" s="61"/>
      <c r="CE606" s="61"/>
      <c r="CF606" s="61"/>
      <c r="CG606" s="61">
        <f t="shared" si="85"/>
        <v>119631551</v>
      </c>
      <c r="CH606" s="62">
        <f>VLOOKUP(B606,[1]RPTNCT049_ConsultaSaldosContabl!I$4:K$7987,3,0)</f>
        <v>48504477</v>
      </c>
      <c r="CI606" s="62">
        <f t="shared" si="86"/>
        <v>71127074</v>
      </c>
      <c r="CJ606" s="63">
        <f t="shared" si="87"/>
        <v>119631551</v>
      </c>
      <c r="CK606" s="64">
        <f t="shared" si="88"/>
        <v>0</v>
      </c>
      <c r="CL606" s="16"/>
      <c r="CM606" s="8"/>
      <c r="CN606" s="8"/>
      <c r="CO606" s="8"/>
      <c r="CP606" s="8"/>
      <c r="CQ606" s="8"/>
      <c r="CR606" s="8"/>
    </row>
    <row r="607" spans="1:96" ht="15" customHeight="1" x14ac:dyDescent="0.2">
      <c r="A607" s="1">
        <v>8918565552</v>
      </c>
      <c r="B607" s="1">
        <v>891856555</v>
      </c>
      <c r="C607" s="9">
        <v>216615466</v>
      </c>
      <c r="D607" s="10" t="s">
        <v>270</v>
      </c>
      <c r="E607" s="52" t="s">
        <v>1304</v>
      </c>
      <c r="F607" s="21"/>
      <c r="G607" s="59"/>
      <c r="H607" s="21"/>
      <c r="I607" s="59"/>
      <c r="J607" s="21"/>
      <c r="K607" s="21"/>
      <c r="L607" s="59"/>
      <c r="M607" s="60"/>
      <c r="N607" s="21"/>
      <c r="O607" s="59"/>
      <c r="P607" s="21"/>
      <c r="Q607" s="59"/>
      <c r="R607" s="21"/>
      <c r="S607" s="21"/>
      <c r="T607" s="59"/>
      <c r="U607" s="60">
        <f t="shared" si="83"/>
        <v>0</v>
      </c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>
        <v>27460881</v>
      </c>
      <c r="AN607" s="60">
        <f>SUBTOTAL(9,AC607:AM607)</f>
        <v>27460881</v>
      </c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>
        <v>38207910</v>
      </c>
      <c r="AZ607" s="60"/>
      <c r="BA607" s="60">
        <f>VLOOKUP(B607,[2]Hoja3!J$3:K$674,2,0)</f>
        <v>43384002</v>
      </c>
      <c r="BB607" s="60"/>
      <c r="BC607" s="61">
        <f t="shared" si="84"/>
        <v>109052793</v>
      </c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>
        <v>7641582</v>
      </c>
      <c r="BO607" s="60"/>
      <c r="BP607" s="61">
        <v>116694375</v>
      </c>
      <c r="BQ607" s="61"/>
      <c r="BR607" s="61"/>
      <c r="BS607" s="61"/>
      <c r="BT607" s="61"/>
      <c r="BU607" s="61"/>
      <c r="BV607" s="61"/>
      <c r="BW607" s="61"/>
      <c r="BX607" s="61"/>
      <c r="BY607" s="61"/>
      <c r="BZ607" s="61"/>
      <c r="CA607" s="61"/>
      <c r="CB607" s="61"/>
      <c r="CC607" s="61">
        <v>7641582</v>
      </c>
      <c r="CD607" s="61"/>
      <c r="CE607" s="61"/>
      <c r="CF607" s="61"/>
      <c r="CG607" s="61">
        <f t="shared" si="85"/>
        <v>124335957</v>
      </c>
      <c r="CH607" s="62">
        <f>VLOOKUP(B607,[1]RPTNCT049_ConsultaSaldosContabl!I$4:K$7987,3,0)</f>
        <v>53491074</v>
      </c>
      <c r="CI607" s="62">
        <f t="shared" si="86"/>
        <v>70844883</v>
      </c>
      <c r="CJ607" s="63">
        <f t="shared" si="87"/>
        <v>124335957</v>
      </c>
      <c r="CK607" s="64">
        <f t="shared" si="88"/>
        <v>0</v>
      </c>
      <c r="CL607" s="16"/>
      <c r="CM607" s="8"/>
      <c r="CN607" s="8"/>
      <c r="CO607" s="8"/>
      <c r="CP607" s="8"/>
      <c r="CQ607" s="8"/>
      <c r="CR607" s="8"/>
    </row>
    <row r="608" spans="1:96" ht="15" customHeight="1" x14ac:dyDescent="0.2">
      <c r="A608" s="1">
        <v>8000996623</v>
      </c>
      <c r="B608" s="1">
        <v>800099662</v>
      </c>
      <c r="C608" s="9">
        <v>216915469</v>
      </c>
      <c r="D608" s="10" t="s">
        <v>271</v>
      </c>
      <c r="E608" s="52" t="s">
        <v>1305</v>
      </c>
      <c r="F608" s="21"/>
      <c r="G608" s="59"/>
      <c r="H608" s="21"/>
      <c r="I608" s="59"/>
      <c r="J608" s="21"/>
      <c r="K608" s="21"/>
      <c r="L608" s="59"/>
      <c r="M608" s="60"/>
      <c r="N608" s="21"/>
      <c r="O608" s="59"/>
      <c r="P608" s="21"/>
      <c r="Q608" s="59"/>
      <c r="R608" s="21"/>
      <c r="S608" s="21"/>
      <c r="T608" s="59"/>
      <c r="U608" s="60">
        <f t="shared" si="83"/>
        <v>0</v>
      </c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>
        <v>26072407</v>
      </c>
      <c r="AN608" s="60">
        <f>SUBTOTAL(9,AC608:AM608)</f>
        <v>26072407</v>
      </c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>
        <v>152485565</v>
      </c>
      <c r="AZ608" s="60"/>
      <c r="BA608" s="60">
        <f>VLOOKUP(B608,[2]Hoja3!J$3:K$674,2,0)</f>
        <v>333082281</v>
      </c>
      <c r="BB608" s="60"/>
      <c r="BC608" s="61">
        <f t="shared" si="84"/>
        <v>511640253</v>
      </c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>
        <v>30497113</v>
      </c>
      <c r="BO608" s="60"/>
      <c r="BP608" s="61">
        <v>542137366</v>
      </c>
      <c r="BQ608" s="61"/>
      <c r="BR608" s="61"/>
      <c r="BS608" s="61"/>
      <c r="BT608" s="61"/>
      <c r="BU608" s="61"/>
      <c r="BV608" s="61"/>
      <c r="BW608" s="61"/>
      <c r="BX608" s="61"/>
      <c r="BY608" s="61"/>
      <c r="BZ608" s="61"/>
      <c r="CA608" s="61"/>
      <c r="CB608" s="61"/>
      <c r="CC608" s="61">
        <v>30497113</v>
      </c>
      <c r="CD608" s="61"/>
      <c r="CE608" s="61"/>
      <c r="CF608" s="61"/>
      <c r="CG608" s="61">
        <f t="shared" si="85"/>
        <v>572634479</v>
      </c>
      <c r="CH608" s="62">
        <f>VLOOKUP(B608,[1]RPTNCT049_ConsultaSaldosContabl!I$4:K$7987,3,0)</f>
        <v>213479791</v>
      </c>
      <c r="CI608" s="62">
        <f t="shared" si="86"/>
        <v>359154688</v>
      </c>
      <c r="CJ608" s="63">
        <f t="shared" si="87"/>
        <v>572634479</v>
      </c>
      <c r="CK608" s="64">
        <f t="shared" si="88"/>
        <v>0</v>
      </c>
      <c r="CL608" s="16"/>
      <c r="CM608" s="8"/>
      <c r="CN608" s="8"/>
      <c r="CO608" s="8"/>
      <c r="CP608" s="8"/>
      <c r="CQ608" s="8"/>
      <c r="CR608" s="8"/>
    </row>
    <row r="609" spans="1:96" ht="15" customHeight="1" x14ac:dyDescent="0.2">
      <c r="A609" s="1">
        <v>8909811156</v>
      </c>
      <c r="B609" s="1">
        <v>890981115</v>
      </c>
      <c r="C609" s="9">
        <v>216705467</v>
      </c>
      <c r="D609" s="10" t="s">
        <v>108</v>
      </c>
      <c r="E609" s="52" t="s">
        <v>1139</v>
      </c>
      <c r="F609" s="21"/>
      <c r="G609" s="59"/>
      <c r="H609" s="21"/>
      <c r="I609" s="59"/>
      <c r="J609" s="21"/>
      <c r="K609" s="21"/>
      <c r="L609" s="59"/>
      <c r="M609" s="60"/>
      <c r="N609" s="21"/>
      <c r="O609" s="59"/>
      <c r="P609" s="21"/>
      <c r="Q609" s="59"/>
      <c r="R609" s="21"/>
      <c r="S609" s="21"/>
      <c r="T609" s="59"/>
      <c r="U609" s="60">
        <f t="shared" si="83"/>
        <v>0</v>
      </c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>
        <v>36411565</v>
      </c>
      <c r="AZ609" s="60"/>
      <c r="BA609" s="60">
        <f>VLOOKUP(B609,[2]Hoja3!J$3:K$674,2,0)</f>
        <v>75997856</v>
      </c>
      <c r="BB609" s="60"/>
      <c r="BC609" s="61">
        <f t="shared" si="84"/>
        <v>112409421</v>
      </c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>
        <v>7282313</v>
      </c>
      <c r="BO609" s="60"/>
      <c r="BP609" s="61">
        <v>119691734</v>
      </c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  <c r="CA609" s="61"/>
      <c r="CB609" s="61"/>
      <c r="CC609" s="61">
        <v>7282313</v>
      </c>
      <c r="CD609" s="61"/>
      <c r="CE609" s="61"/>
      <c r="CF609" s="61"/>
      <c r="CG609" s="61">
        <f t="shared" si="85"/>
        <v>126974047</v>
      </c>
      <c r="CH609" s="62">
        <f>VLOOKUP(B609,[1]RPTNCT049_ConsultaSaldosContabl!I$4:K$7987,3,0)</f>
        <v>50976191</v>
      </c>
      <c r="CI609" s="62">
        <f t="shared" si="86"/>
        <v>75997856</v>
      </c>
      <c r="CJ609" s="63">
        <f t="shared" si="87"/>
        <v>126974047</v>
      </c>
      <c r="CK609" s="64">
        <f t="shared" si="88"/>
        <v>0</v>
      </c>
      <c r="CL609" s="16"/>
      <c r="CM609" s="16"/>
      <c r="CN609" s="16"/>
    </row>
    <row r="610" spans="1:96" ht="15" customHeight="1" x14ac:dyDescent="0.2">
      <c r="A610" s="1">
        <v>8002547221</v>
      </c>
      <c r="B610" s="1">
        <v>800254722</v>
      </c>
      <c r="C610" s="9">
        <v>215813458</v>
      </c>
      <c r="D610" s="10" t="s">
        <v>197</v>
      </c>
      <c r="E610" s="52" t="s">
        <v>1228</v>
      </c>
      <c r="F610" s="21"/>
      <c r="G610" s="59"/>
      <c r="H610" s="21"/>
      <c r="I610" s="59"/>
      <c r="J610" s="21"/>
      <c r="K610" s="21"/>
      <c r="L610" s="59"/>
      <c r="M610" s="60"/>
      <c r="N610" s="21"/>
      <c r="O610" s="59"/>
      <c r="P610" s="21"/>
      <c r="Q610" s="59"/>
      <c r="R610" s="21"/>
      <c r="S610" s="21"/>
      <c r="T610" s="59"/>
      <c r="U610" s="60">
        <f t="shared" si="83"/>
        <v>0</v>
      </c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1">
        <f t="shared" si="84"/>
        <v>0</v>
      </c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>
        <v>0</v>
      </c>
      <c r="BO610" s="60"/>
      <c r="BP610" s="60">
        <v>0</v>
      </c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  <c r="CA610" s="61"/>
      <c r="CB610" s="61"/>
      <c r="CC610" s="61">
        <v>0</v>
      </c>
      <c r="CD610" s="61"/>
      <c r="CE610" s="61"/>
      <c r="CF610" s="61"/>
      <c r="CG610" s="61">
        <f t="shared" si="85"/>
        <v>0</v>
      </c>
      <c r="CH610" s="62"/>
      <c r="CI610" s="62">
        <f t="shared" si="86"/>
        <v>0</v>
      </c>
      <c r="CJ610" s="63">
        <f t="shared" si="87"/>
        <v>0</v>
      </c>
      <c r="CK610" s="64">
        <f t="shared" si="88"/>
        <v>0</v>
      </c>
      <c r="CL610" s="16"/>
      <c r="CM610" s="8"/>
      <c r="CN610" s="8"/>
      <c r="CO610" s="8"/>
      <c r="CP610" s="8"/>
      <c r="CQ610" s="8"/>
      <c r="CR610" s="8"/>
    </row>
    <row r="611" spans="1:96" ht="15" customHeight="1" x14ac:dyDescent="0.2">
      <c r="A611" s="1">
        <v>8000967635</v>
      </c>
      <c r="B611" s="1">
        <v>800096763</v>
      </c>
      <c r="C611" s="9">
        <v>216623466</v>
      </c>
      <c r="D611" s="10" t="s">
        <v>448</v>
      </c>
      <c r="E611" s="52" t="s">
        <v>1475</v>
      </c>
      <c r="F611" s="21"/>
      <c r="G611" s="59"/>
      <c r="H611" s="21"/>
      <c r="I611" s="59"/>
      <c r="J611" s="21"/>
      <c r="K611" s="21"/>
      <c r="L611" s="59"/>
      <c r="M611" s="60"/>
      <c r="N611" s="21"/>
      <c r="O611" s="59"/>
      <c r="P611" s="21"/>
      <c r="Q611" s="59"/>
      <c r="R611" s="21"/>
      <c r="S611" s="21"/>
      <c r="T611" s="59"/>
      <c r="U611" s="60">
        <f t="shared" si="83"/>
        <v>0</v>
      </c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>
        <v>1247020128</v>
      </c>
      <c r="AN611" s="60">
        <f t="shared" ref="AN611:AN624" si="90">SUBTOTAL(9,AC611:AM611)</f>
        <v>1247020128</v>
      </c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>
        <v>650999660</v>
      </c>
      <c r="AZ611" s="60"/>
      <c r="BA611" s="60"/>
      <c r="BB611" s="60"/>
      <c r="BC611" s="61">
        <f t="shared" si="84"/>
        <v>1898019788</v>
      </c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>
        <v>130199932</v>
      </c>
      <c r="BO611" s="60"/>
      <c r="BP611" s="61">
        <v>2028219720</v>
      </c>
      <c r="BQ611" s="61"/>
      <c r="BR611" s="61"/>
      <c r="BS611" s="61"/>
      <c r="BT611" s="61"/>
      <c r="BU611" s="61"/>
      <c r="BV611" s="61"/>
      <c r="BW611" s="61"/>
      <c r="BX611" s="61"/>
      <c r="BY611" s="61"/>
      <c r="BZ611" s="61"/>
      <c r="CA611" s="61"/>
      <c r="CB611" s="61"/>
      <c r="CC611" s="61">
        <v>130199932</v>
      </c>
      <c r="CD611" s="61"/>
      <c r="CE611" s="61"/>
      <c r="CF611" s="61"/>
      <c r="CG611" s="61">
        <f t="shared" si="85"/>
        <v>2158419652</v>
      </c>
      <c r="CH611" s="62">
        <f>VLOOKUP(B611,[1]RPTNCT049_ConsultaSaldosContabl!I$4:K$7987,3,0)</f>
        <v>911399524</v>
      </c>
      <c r="CI611" s="62">
        <f t="shared" si="86"/>
        <v>1247020128</v>
      </c>
      <c r="CJ611" s="63">
        <f t="shared" si="87"/>
        <v>2158419652</v>
      </c>
      <c r="CK611" s="64">
        <f t="shared" si="88"/>
        <v>0</v>
      </c>
      <c r="CL611" s="16"/>
      <c r="CM611" s="16"/>
      <c r="CN611" s="16"/>
    </row>
    <row r="612" spans="1:96" ht="15" customHeight="1" x14ac:dyDescent="0.2">
      <c r="A612" s="1">
        <v>8900008581</v>
      </c>
      <c r="B612" s="1">
        <v>890000858</v>
      </c>
      <c r="C612" s="9">
        <v>217063470</v>
      </c>
      <c r="D612" s="10" t="s">
        <v>796</v>
      </c>
      <c r="E612" s="52" t="s">
        <v>1813</v>
      </c>
      <c r="F612" s="21"/>
      <c r="G612" s="59"/>
      <c r="H612" s="21"/>
      <c r="I612" s="59"/>
      <c r="J612" s="21"/>
      <c r="K612" s="21"/>
      <c r="L612" s="59"/>
      <c r="M612" s="60"/>
      <c r="N612" s="21"/>
      <c r="O612" s="59"/>
      <c r="P612" s="21"/>
      <c r="Q612" s="59"/>
      <c r="R612" s="21"/>
      <c r="S612" s="21"/>
      <c r="T612" s="59"/>
      <c r="U612" s="60">
        <f t="shared" si="83"/>
        <v>0</v>
      </c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>
        <v>372650340</v>
      </c>
      <c r="AN612" s="60">
        <f t="shared" si="90"/>
        <v>372650340</v>
      </c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>
        <v>275087290</v>
      </c>
      <c r="AZ612" s="60"/>
      <c r="BA612" s="60">
        <f>VLOOKUP(B612,[2]Hoja3!J$3:K$674,2,0)</f>
        <v>68765582</v>
      </c>
      <c r="BB612" s="60"/>
      <c r="BC612" s="61">
        <f t="shared" si="84"/>
        <v>716503212</v>
      </c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>
        <v>55017458</v>
      </c>
      <c r="BO612" s="60"/>
      <c r="BP612" s="61">
        <v>771520670</v>
      </c>
      <c r="BQ612" s="61"/>
      <c r="BR612" s="61"/>
      <c r="BS612" s="61"/>
      <c r="BT612" s="61"/>
      <c r="BU612" s="61"/>
      <c r="BV612" s="61"/>
      <c r="BW612" s="61"/>
      <c r="BX612" s="61"/>
      <c r="BY612" s="61"/>
      <c r="BZ612" s="61"/>
      <c r="CA612" s="61"/>
      <c r="CB612" s="61"/>
      <c r="CC612" s="61">
        <v>55017458</v>
      </c>
      <c r="CD612" s="61"/>
      <c r="CE612" s="61">
        <v>54234017</v>
      </c>
      <c r="CF612" s="61"/>
      <c r="CG612" s="61">
        <f t="shared" si="85"/>
        <v>880772145</v>
      </c>
      <c r="CH612" s="62">
        <f>VLOOKUP(B612,[1]RPTNCT049_ConsultaSaldosContabl!I$4:K$7987,3,0)</f>
        <v>385122206</v>
      </c>
      <c r="CI612" s="62">
        <f t="shared" si="86"/>
        <v>495649939</v>
      </c>
      <c r="CJ612" s="63">
        <f t="shared" si="87"/>
        <v>880772145</v>
      </c>
      <c r="CK612" s="64">
        <f t="shared" si="88"/>
        <v>0</v>
      </c>
      <c r="CL612" s="16"/>
      <c r="CM612" s="16"/>
      <c r="CN612" s="16"/>
    </row>
    <row r="613" spans="1:96" ht="15" customHeight="1" x14ac:dyDescent="0.2">
      <c r="A613" s="1">
        <v>8000967341</v>
      </c>
      <c r="B613" s="1">
        <v>800096734</v>
      </c>
      <c r="C613" s="9">
        <v>210123001</v>
      </c>
      <c r="D613" s="10" t="s">
        <v>2177</v>
      </c>
      <c r="E613" s="53" t="s">
        <v>1016</v>
      </c>
      <c r="F613" s="21"/>
      <c r="G613" s="59"/>
      <c r="H613" s="21"/>
      <c r="I613" s="59">
        <f>12579899415+171766845</f>
        <v>12751666260</v>
      </c>
      <c r="J613" s="21">
        <v>826381946</v>
      </c>
      <c r="K613" s="21">
        <v>1654542213</v>
      </c>
      <c r="L613" s="59"/>
      <c r="M613" s="61">
        <f>SUM(F613:L613)</f>
        <v>15232590419</v>
      </c>
      <c r="N613" s="21"/>
      <c r="O613" s="59"/>
      <c r="P613" s="21"/>
      <c r="Q613" s="59">
        <f>12199472458+78075839</f>
        <v>12277548297</v>
      </c>
      <c r="R613" s="21">
        <v>826560355</v>
      </c>
      <c r="S613" s="21">
        <f>828160267+826560355</f>
        <v>1654720622</v>
      </c>
      <c r="T613" s="59"/>
      <c r="U613" s="60">
        <f t="shared" si="83"/>
        <v>29991419693</v>
      </c>
      <c r="V613" s="60"/>
      <c r="W613" s="60"/>
      <c r="X613" s="60"/>
      <c r="Y613" s="60">
        <v>16775162672</v>
      </c>
      <c r="Z613" s="60">
        <v>815761674</v>
      </c>
      <c r="AA613" s="60">
        <v>1868474453</v>
      </c>
      <c r="AB613" s="60"/>
      <c r="AC613" s="60">
        <f t="shared" si="89"/>
        <v>49450818492</v>
      </c>
      <c r="AD613" s="60"/>
      <c r="AE613" s="60"/>
      <c r="AF613" s="60"/>
      <c r="AG613" s="60"/>
      <c r="AH613" s="60">
        <v>12877717594</v>
      </c>
      <c r="AI613" s="60">
        <v>946278468</v>
      </c>
      <c r="AJ613" s="60">
        <v>837748323</v>
      </c>
      <c r="AK613" s="60">
        <v>2113801992</v>
      </c>
      <c r="AL613" s="60"/>
      <c r="AM613" s="60">
        <v>6149683028</v>
      </c>
      <c r="AN613" s="60">
        <f t="shared" si="90"/>
        <v>72376047897</v>
      </c>
      <c r="AO613" s="60"/>
      <c r="AP613" s="60"/>
      <c r="AQ613" s="60">
        <v>2812537655</v>
      </c>
      <c r="AR613" s="60"/>
      <c r="AS613" s="60"/>
      <c r="AT613" s="60">
        <v>12877717594</v>
      </c>
      <c r="AU613" s="60"/>
      <c r="AV613" s="60">
        <v>837748323</v>
      </c>
      <c r="AW613" s="60">
        <v>1431969292</v>
      </c>
      <c r="AX613" s="60"/>
      <c r="AY613" s="60"/>
      <c r="AZ613" s="60"/>
      <c r="BA613" s="60"/>
      <c r="BB613" s="60">
        <f>VLOOKUP(B613,'[3]anuladas en mayo gratuidad}'!K$2:L$55,2,0)</f>
        <v>117926112</v>
      </c>
      <c r="BC613" s="61">
        <f t="shared" si="84"/>
        <v>90218094649</v>
      </c>
      <c r="BD613" s="60"/>
      <c r="BE613" s="60"/>
      <c r="BF613" s="60">
        <v>562507531</v>
      </c>
      <c r="BG613" s="60"/>
      <c r="BH613" s="60"/>
      <c r="BI613" s="60">
        <v>13152541143</v>
      </c>
      <c r="BJ613" s="60">
        <v>1245172683</v>
      </c>
      <c r="BK613" s="60">
        <v>919787679</v>
      </c>
      <c r="BL613" s="60">
        <v>2577891568</v>
      </c>
      <c r="BM613" s="60"/>
      <c r="BN613" s="60"/>
      <c r="BO613" s="60"/>
      <c r="BP613" s="61">
        <v>108675995253</v>
      </c>
      <c r="BQ613" s="61"/>
      <c r="BR613" s="61"/>
      <c r="BS613" s="61">
        <v>562507531</v>
      </c>
      <c r="BT613" s="61"/>
      <c r="BU613" s="61"/>
      <c r="BV613" s="61"/>
      <c r="BW613" s="61">
        <v>13160579926</v>
      </c>
      <c r="BX613" s="61">
        <v>1200000000</v>
      </c>
      <c r="BY613" s="61">
        <v>5610656322</v>
      </c>
      <c r="BZ613" s="61">
        <v>851673128</v>
      </c>
      <c r="CA613" s="61">
        <v>2263495469</v>
      </c>
      <c r="CB613" s="61"/>
      <c r="CC613" s="61"/>
      <c r="CD613" s="61"/>
      <c r="CE613" s="61">
        <v>117926112</v>
      </c>
      <c r="CF613" s="61"/>
      <c r="CG613" s="61">
        <f t="shared" si="85"/>
        <v>132442833741</v>
      </c>
      <c r="CH613" s="62">
        <f>VLOOKUP(B613,[1]RPTNCT049_ConsultaSaldosContabl!I$4:K$7987,3,0)</f>
        <v>126293150713</v>
      </c>
      <c r="CI613" s="62">
        <f t="shared" si="86"/>
        <v>6149683028</v>
      </c>
      <c r="CJ613" s="63">
        <f t="shared" si="87"/>
        <v>132442833741</v>
      </c>
      <c r="CK613" s="64">
        <f t="shared" si="88"/>
        <v>0</v>
      </c>
      <c r="CL613" s="16"/>
      <c r="CM613" s="16"/>
      <c r="CN613" s="16"/>
    </row>
    <row r="614" spans="1:96" ht="15" customHeight="1" x14ac:dyDescent="0.2">
      <c r="A614" s="1">
        <v>8918578243</v>
      </c>
      <c r="B614" s="1">
        <v>891857824</v>
      </c>
      <c r="C614" s="9">
        <v>216285162</v>
      </c>
      <c r="D614" s="10" t="s">
        <v>961</v>
      </c>
      <c r="E614" s="52" t="s">
        <v>2021</v>
      </c>
      <c r="F614" s="21"/>
      <c r="G614" s="59"/>
      <c r="H614" s="21"/>
      <c r="I614" s="59"/>
      <c r="J614" s="21"/>
      <c r="K614" s="21"/>
      <c r="L614" s="59"/>
      <c r="M614" s="60"/>
      <c r="N614" s="21"/>
      <c r="O614" s="59"/>
      <c r="P614" s="21"/>
      <c r="Q614" s="59"/>
      <c r="R614" s="21"/>
      <c r="S614" s="21"/>
      <c r="T614" s="59"/>
      <c r="U614" s="60">
        <f t="shared" si="83"/>
        <v>0</v>
      </c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>
        <v>248104555</v>
      </c>
      <c r="AN614" s="60">
        <f t="shared" si="90"/>
        <v>248104555</v>
      </c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>
        <v>101792455</v>
      </c>
      <c r="AZ614" s="60"/>
      <c r="BA614" s="60"/>
      <c r="BB614" s="60"/>
      <c r="BC614" s="61">
        <f t="shared" si="84"/>
        <v>349897010</v>
      </c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>
        <v>20358491</v>
      </c>
      <c r="BO614" s="60"/>
      <c r="BP614" s="61">
        <v>370255501</v>
      </c>
      <c r="BQ614" s="61"/>
      <c r="BR614" s="61"/>
      <c r="BS614" s="61"/>
      <c r="BT614" s="61"/>
      <c r="BU614" s="61"/>
      <c r="BV614" s="61"/>
      <c r="BW614" s="61"/>
      <c r="BX614" s="61"/>
      <c r="BY614" s="61"/>
      <c r="BZ614" s="61"/>
      <c r="CA614" s="61"/>
      <c r="CB614" s="61"/>
      <c r="CC614" s="61">
        <v>20358491</v>
      </c>
      <c r="CD614" s="61"/>
      <c r="CE614" s="61"/>
      <c r="CF614" s="61"/>
      <c r="CG614" s="61">
        <f t="shared" si="85"/>
        <v>390613992</v>
      </c>
      <c r="CH614" s="62">
        <f>VLOOKUP(B614,[1]RPTNCT049_ConsultaSaldosContabl!I$4:K$7987,3,0)</f>
        <v>142509437</v>
      </c>
      <c r="CI614" s="62">
        <f t="shared" si="86"/>
        <v>248104555</v>
      </c>
      <c r="CJ614" s="63">
        <f t="shared" si="87"/>
        <v>390613992</v>
      </c>
      <c r="CK614" s="64">
        <f t="shared" si="88"/>
        <v>0</v>
      </c>
      <c r="CL614" s="16"/>
      <c r="CM614" s="16"/>
      <c r="CN614" s="16"/>
    </row>
    <row r="615" spans="1:96" ht="15" customHeight="1" x14ac:dyDescent="0.2">
      <c r="A615" s="1">
        <v>8000654749</v>
      </c>
      <c r="B615" s="1">
        <v>800065474</v>
      </c>
      <c r="C615" s="9">
        <v>210023500</v>
      </c>
      <c r="D615" s="10" t="s">
        <v>449</v>
      </c>
      <c r="E615" s="52" t="s">
        <v>1476</v>
      </c>
      <c r="F615" s="21"/>
      <c r="G615" s="59"/>
      <c r="H615" s="21"/>
      <c r="I615" s="59"/>
      <c r="J615" s="21"/>
      <c r="K615" s="21"/>
      <c r="L615" s="59"/>
      <c r="M615" s="60"/>
      <c r="N615" s="21"/>
      <c r="O615" s="59"/>
      <c r="P615" s="21"/>
      <c r="Q615" s="59"/>
      <c r="R615" s="21"/>
      <c r="S615" s="21"/>
      <c r="T615" s="59"/>
      <c r="U615" s="60">
        <f t="shared" si="83"/>
        <v>0</v>
      </c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>
        <v>130666168</v>
      </c>
      <c r="AN615" s="60">
        <f t="shared" si="90"/>
        <v>130666168</v>
      </c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>
        <v>373793635</v>
      </c>
      <c r="AZ615" s="60"/>
      <c r="BA615" s="60"/>
      <c r="BB615" s="60"/>
      <c r="BC615" s="61">
        <f t="shared" si="84"/>
        <v>504459803</v>
      </c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>
        <v>74758727</v>
      </c>
      <c r="BO615" s="60"/>
      <c r="BP615" s="61">
        <v>579218530</v>
      </c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  <c r="CA615" s="61"/>
      <c r="CB615" s="61"/>
      <c r="CC615" s="61">
        <v>74758727</v>
      </c>
      <c r="CD615" s="61"/>
      <c r="CE615" s="61"/>
      <c r="CF615" s="61"/>
      <c r="CG615" s="61">
        <f t="shared" si="85"/>
        <v>653977257</v>
      </c>
      <c r="CH615" s="62">
        <f>VLOOKUP(B615,[1]RPTNCT049_ConsultaSaldosContabl!I$4:K$7987,3,0)</f>
        <v>523311089</v>
      </c>
      <c r="CI615" s="62">
        <f t="shared" si="86"/>
        <v>130666168</v>
      </c>
      <c r="CJ615" s="63">
        <f t="shared" si="87"/>
        <v>653977257</v>
      </c>
      <c r="CK615" s="64">
        <f t="shared" si="88"/>
        <v>0</v>
      </c>
      <c r="CL615" s="16"/>
      <c r="CM615" s="16"/>
      <c r="CN615" s="16"/>
    </row>
    <row r="616" spans="1:96" ht="15" customHeight="1" x14ac:dyDescent="0.2">
      <c r="A616" s="1">
        <v>8904804319</v>
      </c>
      <c r="B616" s="1">
        <v>890480431</v>
      </c>
      <c r="C616" s="9">
        <v>217313473</v>
      </c>
      <c r="D616" s="10" t="s">
        <v>199</v>
      </c>
      <c r="E616" s="52" t="s">
        <v>1230</v>
      </c>
      <c r="F616" s="21"/>
      <c r="G616" s="59"/>
      <c r="H616" s="21"/>
      <c r="I616" s="59"/>
      <c r="J616" s="21"/>
      <c r="K616" s="21"/>
      <c r="L616" s="59"/>
      <c r="M616" s="60"/>
      <c r="N616" s="21"/>
      <c r="O616" s="59"/>
      <c r="P616" s="21"/>
      <c r="Q616" s="59"/>
      <c r="R616" s="21"/>
      <c r="S616" s="21"/>
      <c r="T616" s="59"/>
      <c r="U616" s="60">
        <f t="shared" si="83"/>
        <v>0</v>
      </c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>
        <v>223009919</v>
      </c>
      <c r="AN616" s="60">
        <f t="shared" si="90"/>
        <v>223009919</v>
      </c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>
        <v>220022575</v>
      </c>
      <c r="AZ616" s="60"/>
      <c r="BA616" s="60">
        <f>VLOOKUP(B616,[2]Hoja3!J$3:K$674,2,0)</f>
        <v>78742057</v>
      </c>
      <c r="BB616" s="60"/>
      <c r="BC616" s="61">
        <f t="shared" si="84"/>
        <v>521774551</v>
      </c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>
        <v>44004515</v>
      </c>
      <c r="BO616" s="60"/>
      <c r="BP616" s="61">
        <v>565779066</v>
      </c>
      <c r="BQ616" s="61"/>
      <c r="BR616" s="61"/>
      <c r="BS616" s="61"/>
      <c r="BT616" s="61"/>
      <c r="BU616" s="61"/>
      <c r="BV616" s="61"/>
      <c r="BW616" s="61"/>
      <c r="BX616" s="61"/>
      <c r="BY616" s="61"/>
      <c r="BZ616" s="61"/>
      <c r="CA616" s="61"/>
      <c r="CB616" s="61"/>
      <c r="CC616" s="61">
        <v>44004515</v>
      </c>
      <c r="CD616" s="61"/>
      <c r="CE616" s="61">
        <v>63757936</v>
      </c>
      <c r="CF616" s="61"/>
      <c r="CG616" s="61">
        <f t="shared" si="85"/>
        <v>673541517</v>
      </c>
      <c r="CH616" s="62">
        <f>VLOOKUP(B616,[1]RPTNCT049_ConsultaSaldosContabl!I$4:K$7987,3,0)</f>
        <v>308031605</v>
      </c>
      <c r="CI616" s="62">
        <f t="shared" si="86"/>
        <v>365509912</v>
      </c>
      <c r="CJ616" s="63">
        <f t="shared" si="87"/>
        <v>673541517</v>
      </c>
      <c r="CK616" s="64">
        <f t="shared" si="88"/>
        <v>0</v>
      </c>
      <c r="CL616" s="16"/>
      <c r="CM616" s="16"/>
      <c r="CN616" s="16"/>
    </row>
    <row r="617" spans="1:96" ht="15" customHeight="1" x14ac:dyDescent="0.2">
      <c r="A617" s="1">
        <v>8915009826</v>
      </c>
      <c r="B617" s="1">
        <v>891500982</v>
      </c>
      <c r="C617" s="9">
        <v>217319473</v>
      </c>
      <c r="D617" s="10" t="s">
        <v>393</v>
      </c>
      <c r="E617" s="52" t="s">
        <v>1422</v>
      </c>
      <c r="F617" s="21"/>
      <c r="G617" s="59"/>
      <c r="H617" s="21"/>
      <c r="I617" s="59"/>
      <c r="J617" s="21"/>
      <c r="K617" s="21"/>
      <c r="L617" s="59"/>
      <c r="M617" s="60"/>
      <c r="N617" s="21"/>
      <c r="O617" s="59"/>
      <c r="P617" s="21"/>
      <c r="Q617" s="59"/>
      <c r="R617" s="21"/>
      <c r="S617" s="21"/>
      <c r="T617" s="59"/>
      <c r="U617" s="60">
        <f t="shared" si="83"/>
        <v>0</v>
      </c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>
        <v>53632555</v>
      </c>
      <c r="AN617" s="60">
        <f t="shared" si="90"/>
        <v>53632555</v>
      </c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>
        <v>326817720</v>
      </c>
      <c r="AZ617" s="60"/>
      <c r="BA617" s="60">
        <f>VLOOKUP(B617,[2]Hoja3!J$3:K$674,2,0)</f>
        <v>230559972</v>
      </c>
      <c r="BB617" s="60"/>
      <c r="BC617" s="61">
        <f t="shared" si="84"/>
        <v>611010247</v>
      </c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>
        <v>65363544</v>
      </c>
      <c r="BO617" s="60"/>
      <c r="BP617" s="61">
        <v>676373791</v>
      </c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  <c r="CA617" s="61"/>
      <c r="CB617" s="61"/>
      <c r="CC617" s="61">
        <v>65363544</v>
      </c>
      <c r="CD617" s="61"/>
      <c r="CE617" s="61"/>
      <c r="CF617" s="61"/>
      <c r="CG617" s="61">
        <f t="shared" si="85"/>
        <v>741737335</v>
      </c>
      <c r="CH617" s="62">
        <f>VLOOKUP(B617,[1]RPTNCT049_ConsultaSaldosContabl!I$4:K$7987,3,0)</f>
        <v>457544808</v>
      </c>
      <c r="CI617" s="62">
        <f t="shared" si="86"/>
        <v>284192527</v>
      </c>
      <c r="CJ617" s="63">
        <f t="shared" si="87"/>
        <v>741737335</v>
      </c>
      <c r="CK617" s="64">
        <f t="shared" si="88"/>
        <v>0</v>
      </c>
      <c r="CL617" s="16"/>
      <c r="CM617" s="8"/>
      <c r="CN617" s="8"/>
      <c r="CO617" s="8"/>
      <c r="CP617" s="8"/>
      <c r="CQ617" s="8"/>
      <c r="CR617" s="8"/>
    </row>
    <row r="618" spans="1:96" ht="15" customHeight="1" x14ac:dyDescent="0.2">
      <c r="A618" s="1">
        <v>8000957734</v>
      </c>
      <c r="B618" s="1">
        <v>800095773</v>
      </c>
      <c r="C618" s="9">
        <v>217918479</v>
      </c>
      <c r="D618" s="10" t="s">
        <v>368</v>
      </c>
      <c r="E618" s="52" t="s">
        <v>1398</v>
      </c>
      <c r="F618" s="21"/>
      <c r="G618" s="59"/>
      <c r="H618" s="21"/>
      <c r="I618" s="59"/>
      <c r="J618" s="21"/>
      <c r="K618" s="21"/>
      <c r="L618" s="59"/>
      <c r="M618" s="60"/>
      <c r="N618" s="21"/>
      <c r="O618" s="59"/>
      <c r="P618" s="21"/>
      <c r="Q618" s="59"/>
      <c r="R618" s="21"/>
      <c r="S618" s="21"/>
      <c r="T618" s="59"/>
      <c r="U618" s="60">
        <f t="shared" si="83"/>
        <v>0</v>
      </c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>
        <v>59746890</v>
      </c>
      <c r="AN618" s="60">
        <f t="shared" si="90"/>
        <v>59746890</v>
      </c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>
        <v>30294640</v>
      </c>
      <c r="AZ618" s="60"/>
      <c r="BA618" s="60"/>
      <c r="BB618" s="60"/>
      <c r="BC618" s="61">
        <f t="shared" si="84"/>
        <v>90041530</v>
      </c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>
        <v>6058928</v>
      </c>
      <c r="BO618" s="60"/>
      <c r="BP618" s="61">
        <v>96100458</v>
      </c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  <c r="CA618" s="61"/>
      <c r="CB618" s="61"/>
      <c r="CC618" s="61">
        <v>6058928</v>
      </c>
      <c r="CD618" s="61"/>
      <c r="CE618" s="61"/>
      <c r="CF618" s="61"/>
      <c r="CG618" s="61">
        <f t="shared" si="85"/>
        <v>102159386</v>
      </c>
      <c r="CH618" s="62">
        <f>VLOOKUP(B618,[1]RPTNCT049_ConsultaSaldosContabl!I$4:K$7987,3,0)</f>
        <v>42412496</v>
      </c>
      <c r="CI618" s="62">
        <f t="shared" si="86"/>
        <v>59746890</v>
      </c>
      <c r="CJ618" s="63">
        <f t="shared" si="87"/>
        <v>102159386</v>
      </c>
      <c r="CK618" s="64">
        <f t="shared" si="88"/>
        <v>0</v>
      </c>
      <c r="CL618" s="16"/>
      <c r="CM618" s="16"/>
      <c r="CN618" s="16"/>
    </row>
    <row r="619" spans="1:96" ht="15" customHeight="1" x14ac:dyDescent="0.2">
      <c r="A619" s="1">
        <v>8922012962</v>
      </c>
      <c r="B619" s="1">
        <v>892201296</v>
      </c>
      <c r="C619" s="9">
        <v>217370473</v>
      </c>
      <c r="D619" s="10" t="s">
        <v>902</v>
      </c>
      <c r="E619" s="52" t="s">
        <v>1915</v>
      </c>
      <c r="F619" s="21"/>
      <c r="G619" s="59"/>
      <c r="H619" s="21"/>
      <c r="I619" s="59"/>
      <c r="J619" s="21"/>
      <c r="K619" s="21"/>
      <c r="L619" s="59"/>
      <c r="M619" s="60"/>
      <c r="N619" s="21"/>
      <c r="O619" s="59"/>
      <c r="P619" s="21"/>
      <c r="Q619" s="59"/>
      <c r="R619" s="21"/>
      <c r="S619" s="21"/>
      <c r="T619" s="59"/>
      <c r="U619" s="60">
        <f t="shared" si="83"/>
        <v>0</v>
      </c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>
        <v>133566406</v>
      </c>
      <c r="AN619" s="60">
        <f t="shared" si="90"/>
        <v>133566406</v>
      </c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>
        <v>138318895</v>
      </c>
      <c r="AZ619" s="60"/>
      <c r="BA619" s="60">
        <f>VLOOKUP(B619,[2]Hoja3!J$3:K$674,2,0)</f>
        <v>71753842</v>
      </c>
      <c r="BB619" s="60"/>
      <c r="BC619" s="61">
        <f t="shared" si="84"/>
        <v>343639143</v>
      </c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>
        <v>27663779</v>
      </c>
      <c r="BO619" s="60"/>
      <c r="BP619" s="61">
        <v>371302922</v>
      </c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  <c r="CA619" s="61"/>
      <c r="CB619" s="61"/>
      <c r="CC619" s="61">
        <v>27663779</v>
      </c>
      <c r="CD619" s="61"/>
      <c r="CE619" s="61"/>
      <c r="CF619" s="61"/>
      <c r="CG619" s="61">
        <f t="shared" si="85"/>
        <v>398966701</v>
      </c>
      <c r="CH619" s="62">
        <f>VLOOKUP(B619,[1]RPTNCT049_ConsultaSaldosContabl!I$4:K$7987,3,0)</f>
        <v>193646453</v>
      </c>
      <c r="CI619" s="62">
        <f t="shared" si="86"/>
        <v>205320248</v>
      </c>
      <c r="CJ619" s="63">
        <f t="shared" si="87"/>
        <v>398966701</v>
      </c>
      <c r="CK619" s="64">
        <f t="shared" si="88"/>
        <v>0</v>
      </c>
      <c r="CL619" s="16"/>
      <c r="CM619" s="16"/>
      <c r="CN619" s="16"/>
    </row>
    <row r="620" spans="1:96" ht="15" customHeight="1" x14ac:dyDescent="0.2">
      <c r="A620" s="1">
        <v>8999993423</v>
      </c>
      <c r="B620" s="1">
        <v>899999342</v>
      </c>
      <c r="C620" s="9">
        <v>217325473</v>
      </c>
      <c r="D620" s="10" t="s">
        <v>514</v>
      </c>
      <c r="E620" s="53" t="s">
        <v>1539</v>
      </c>
      <c r="F620" s="21"/>
      <c r="G620" s="59"/>
      <c r="H620" s="21"/>
      <c r="I620" s="59">
        <f>1698402352+35110256</f>
        <v>1733512608</v>
      </c>
      <c r="J620" s="21">
        <v>119056077</v>
      </c>
      <c r="K620" s="21">
        <v>235883889</v>
      </c>
      <c r="L620" s="59"/>
      <c r="M620" s="61">
        <f>SUM(F620:L620)</f>
        <v>2088452574</v>
      </c>
      <c r="N620" s="21"/>
      <c r="O620" s="59"/>
      <c r="P620" s="21"/>
      <c r="Q620" s="59">
        <f>1639545890+15959207</f>
        <v>1655505097</v>
      </c>
      <c r="R620" s="21">
        <v>119056077</v>
      </c>
      <c r="S620" s="21">
        <f>116827812+119056077</f>
        <v>235883889</v>
      </c>
      <c r="T620" s="59"/>
      <c r="U620" s="60">
        <f t="shared" si="83"/>
        <v>4098897637</v>
      </c>
      <c r="V620" s="60"/>
      <c r="W620" s="60"/>
      <c r="X620" s="60"/>
      <c r="Y620" s="60">
        <v>3024474769</v>
      </c>
      <c r="Z620" s="60">
        <v>113942680</v>
      </c>
      <c r="AA620" s="60">
        <v>267948913</v>
      </c>
      <c r="AB620" s="60"/>
      <c r="AC620" s="60">
        <f t="shared" si="89"/>
        <v>7505263999</v>
      </c>
      <c r="AD620" s="60"/>
      <c r="AE620" s="60"/>
      <c r="AF620" s="60"/>
      <c r="AG620" s="60"/>
      <c r="AH620" s="60">
        <v>1648792508</v>
      </c>
      <c r="AI620" s="60">
        <v>196559603</v>
      </c>
      <c r="AJ620" s="60">
        <v>122616853</v>
      </c>
      <c r="AK620" s="60">
        <v>308694448</v>
      </c>
      <c r="AL620" s="60"/>
      <c r="AM620" s="60">
        <v>944657443</v>
      </c>
      <c r="AN620" s="60">
        <f t="shared" si="90"/>
        <v>10726584854</v>
      </c>
      <c r="AO620" s="60"/>
      <c r="AP620" s="60"/>
      <c r="AQ620" s="60">
        <v>327404655</v>
      </c>
      <c r="AR620" s="60"/>
      <c r="AS620" s="60"/>
      <c r="AT620" s="60">
        <v>1648792508</v>
      </c>
      <c r="AU620" s="60"/>
      <c r="AV620" s="60">
        <v>122616853</v>
      </c>
      <c r="AW620" s="60">
        <v>209112578</v>
      </c>
      <c r="AX620" s="60"/>
      <c r="AY620" s="60"/>
      <c r="AZ620" s="60">
        <v>136070773</v>
      </c>
      <c r="BA620" s="60">
        <f>VLOOKUP(B620,[2]Hoja3!J$3:K$674,2,0)</f>
        <v>162976906</v>
      </c>
      <c r="BB620" s="60"/>
      <c r="BC620" s="61">
        <f t="shared" si="84"/>
        <v>13333559127</v>
      </c>
      <c r="BD620" s="60"/>
      <c r="BE620" s="60"/>
      <c r="BF620" s="60">
        <v>65480931</v>
      </c>
      <c r="BG620" s="60"/>
      <c r="BH620" s="60"/>
      <c r="BI620" s="60">
        <v>1707067883</v>
      </c>
      <c r="BJ620" s="60">
        <v>126954987</v>
      </c>
      <c r="BK620" s="60">
        <v>138728154</v>
      </c>
      <c r="BL620" s="60">
        <v>335756228</v>
      </c>
      <c r="BM620" s="60"/>
      <c r="BN620" s="60"/>
      <c r="BO620" s="60"/>
      <c r="BP620" s="61">
        <v>15707547310</v>
      </c>
      <c r="BQ620" s="61"/>
      <c r="BR620" s="61"/>
      <c r="BS620" s="61">
        <v>65480931</v>
      </c>
      <c r="BT620" s="61"/>
      <c r="BU620" s="61"/>
      <c r="BV620" s="61"/>
      <c r="BW620" s="61">
        <v>1718026945</v>
      </c>
      <c r="BX620" s="61"/>
      <c r="BY620" s="61">
        <v>780000000</v>
      </c>
      <c r="BZ620" s="61">
        <v>125295268</v>
      </c>
      <c r="CA620" s="61">
        <v>323812359</v>
      </c>
      <c r="CB620" s="61"/>
      <c r="CC620" s="61"/>
      <c r="CD620" s="61"/>
      <c r="CE620" s="61"/>
      <c r="CF620" s="61"/>
      <c r="CG620" s="61">
        <f t="shared" si="85"/>
        <v>18720162813</v>
      </c>
      <c r="CH620" s="62">
        <f>VLOOKUP(B620,[1]RPTNCT049_ConsultaSaldosContabl!I$4:K$7987,3,0)</f>
        <v>17612528464</v>
      </c>
      <c r="CI620" s="62">
        <f t="shared" si="86"/>
        <v>1107634349</v>
      </c>
      <c r="CJ620" s="63">
        <f t="shared" si="87"/>
        <v>18720162813</v>
      </c>
      <c r="CK620" s="64">
        <f t="shared" si="88"/>
        <v>0</v>
      </c>
      <c r="CL620" s="16"/>
      <c r="CM620" s="16"/>
      <c r="CN620" s="16"/>
    </row>
    <row r="621" spans="1:96" ht="15" customHeight="1" x14ac:dyDescent="0.2">
      <c r="A621" s="1">
        <v>8000991117</v>
      </c>
      <c r="B621" s="1">
        <v>800099111</v>
      </c>
      <c r="C621" s="9">
        <v>217352473</v>
      </c>
      <c r="D621" s="10" t="s">
        <v>727</v>
      </c>
      <c r="E621" s="52" t="s">
        <v>1749</v>
      </c>
      <c r="F621" s="21"/>
      <c r="G621" s="59"/>
      <c r="H621" s="21"/>
      <c r="I621" s="59"/>
      <c r="J621" s="21"/>
      <c r="K621" s="21"/>
      <c r="L621" s="59"/>
      <c r="M621" s="60"/>
      <c r="N621" s="21"/>
      <c r="O621" s="59"/>
      <c r="P621" s="21"/>
      <c r="Q621" s="59"/>
      <c r="R621" s="21"/>
      <c r="S621" s="21"/>
      <c r="T621" s="59"/>
      <c r="U621" s="60">
        <f t="shared" si="83"/>
        <v>0</v>
      </c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>
        <v>165750014</v>
      </c>
      <c r="AN621" s="60">
        <f t="shared" si="90"/>
        <v>165750014</v>
      </c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>
        <v>129170010</v>
      </c>
      <c r="AZ621" s="60"/>
      <c r="BA621" s="60"/>
      <c r="BB621" s="60"/>
      <c r="BC621" s="61">
        <f t="shared" si="84"/>
        <v>294920024</v>
      </c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>
        <v>25834002</v>
      </c>
      <c r="BO621" s="60"/>
      <c r="BP621" s="61">
        <v>320754026</v>
      </c>
      <c r="BQ621" s="61"/>
      <c r="BR621" s="61"/>
      <c r="BS621" s="61"/>
      <c r="BT621" s="61"/>
      <c r="BU621" s="61"/>
      <c r="BV621" s="61"/>
      <c r="BW621" s="61"/>
      <c r="BX621" s="61"/>
      <c r="BY621" s="61"/>
      <c r="BZ621" s="61"/>
      <c r="CA621" s="61"/>
      <c r="CB621" s="61"/>
      <c r="CC621" s="61">
        <v>25834002</v>
      </c>
      <c r="CD621" s="61"/>
      <c r="CE621" s="61"/>
      <c r="CF621" s="61"/>
      <c r="CG621" s="61">
        <f t="shared" si="85"/>
        <v>346588028</v>
      </c>
      <c r="CH621" s="62">
        <f>VLOOKUP(B621,[1]RPTNCT049_ConsultaSaldosContabl!I$4:K$7987,3,0)</f>
        <v>180838014</v>
      </c>
      <c r="CI621" s="62">
        <f t="shared" si="86"/>
        <v>165750014</v>
      </c>
      <c r="CJ621" s="63">
        <f t="shared" si="87"/>
        <v>346588028</v>
      </c>
      <c r="CK621" s="64">
        <f t="shared" si="88"/>
        <v>0</v>
      </c>
      <c r="CL621" s="16"/>
      <c r="CM621" s="8"/>
      <c r="CN621" s="8"/>
      <c r="CO621" s="8"/>
      <c r="CP621" s="8"/>
      <c r="CQ621" s="8"/>
      <c r="CR621" s="8"/>
    </row>
    <row r="622" spans="1:96" ht="15" customHeight="1" x14ac:dyDescent="0.2">
      <c r="A622" s="1">
        <v>8918019946</v>
      </c>
      <c r="B622" s="1">
        <v>891801994</v>
      </c>
      <c r="C622" s="9">
        <v>217615476</v>
      </c>
      <c r="D622" s="10" t="s">
        <v>272</v>
      </c>
      <c r="E622" s="52" t="s">
        <v>1306</v>
      </c>
      <c r="F622" s="21"/>
      <c r="G622" s="59"/>
      <c r="H622" s="21"/>
      <c r="I622" s="59"/>
      <c r="J622" s="21"/>
      <c r="K622" s="21"/>
      <c r="L622" s="59"/>
      <c r="M622" s="60"/>
      <c r="N622" s="21"/>
      <c r="O622" s="59"/>
      <c r="P622" s="21"/>
      <c r="Q622" s="59"/>
      <c r="R622" s="21"/>
      <c r="S622" s="21"/>
      <c r="T622" s="59"/>
      <c r="U622" s="60">
        <f t="shared" si="83"/>
        <v>0</v>
      </c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>
        <v>78764515</v>
      </c>
      <c r="AN622" s="60">
        <f t="shared" si="90"/>
        <v>78764515</v>
      </c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>
        <v>40438615</v>
      </c>
      <c r="AZ622" s="60"/>
      <c r="BA622" s="60"/>
      <c r="BB622" s="60"/>
      <c r="BC622" s="61">
        <f t="shared" si="84"/>
        <v>119203130</v>
      </c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>
        <v>8087723</v>
      </c>
      <c r="BO622" s="60"/>
      <c r="BP622" s="61">
        <v>127290853</v>
      </c>
      <c r="BQ622" s="61"/>
      <c r="BR622" s="61"/>
      <c r="BS622" s="61"/>
      <c r="BT622" s="61"/>
      <c r="BU622" s="61"/>
      <c r="BV622" s="61"/>
      <c r="BW622" s="61"/>
      <c r="BX622" s="61"/>
      <c r="BY622" s="61"/>
      <c r="BZ622" s="61"/>
      <c r="CA622" s="61"/>
      <c r="CB622" s="61"/>
      <c r="CC622" s="61">
        <v>8087723</v>
      </c>
      <c r="CD622" s="61"/>
      <c r="CE622" s="61"/>
      <c r="CF622" s="61"/>
      <c r="CG622" s="61">
        <f t="shared" si="85"/>
        <v>135378576</v>
      </c>
      <c r="CH622" s="62">
        <f>VLOOKUP(B622,[1]RPTNCT049_ConsultaSaldosContabl!I$4:K$7987,3,0)</f>
        <v>56614061</v>
      </c>
      <c r="CI622" s="62">
        <f t="shared" si="86"/>
        <v>78764515</v>
      </c>
      <c r="CJ622" s="63">
        <f t="shared" si="87"/>
        <v>135378576</v>
      </c>
      <c r="CK622" s="64">
        <f t="shared" si="88"/>
        <v>0</v>
      </c>
      <c r="CL622" s="16"/>
      <c r="CM622" s="8"/>
      <c r="CN622" s="8"/>
      <c r="CO622" s="8"/>
      <c r="CP622" s="8"/>
      <c r="CQ622" s="8"/>
      <c r="CR622" s="8"/>
    </row>
    <row r="623" spans="1:96" ht="15" customHeight="1" x14ac:dyDescent="0.2">
      <c r="A623" s="1">
        <v>8911800091</v>
      </c>
      <c r="B623" s="1">
        <v>891180009</v>
      </c>
      <c r="C623" s="9">
        <v>210141001</v>
      </c>
      <c r="D623" s="10" t="s">
        <v>2178</v>
      </c>
      <c r="E623" s="53" t="s">
        <v>2060</v>
      </c>
      <c r="F623" s="21"/>
      <c r="G623" s="59"/>
      <c r="H623" s="21"/>
      <c r="I623" s="59">
        <f>9611686930+142697568</f>
        <v>9754384498</v>
      </c>
      <c r="J623" s="21">
        <v>615484284</v>
      </c>
      <c r="K623" s="21">
        <v>1222365588</v>
      </c>
      <c r="L623" s="59"/>
      <c r="M623" s="61">
        <f>SUM(F623:L623)</f>
        <v>11592234370</v>
      </c>
      <c r="N623" s="21"/>
      <c r="O623" s="59"/>
      <c r="P623" s="21"/>
      <c r="Q623" s="59">
        <f>9053755718+64862531</f>
        <v>9118618249</v>
      </c>
      <c r="R623" s="21">
        <v>615484284</v>
      </c>
      <c r="S623" s="21">
        <f>606881304+615484284</f>
        <v>1222365588</v>
      </c>
      <c r="T623" s="59"/>
      <c r="U623" s="60">
        <f t="shared" si="83"/>
        <v>22548702491</v>
      </c>
      <c r="V623" s="60"/>
      <c r="W623" s="60"/>
      <c r="X623" s="60"/>
      <c r="Y623" s="60">
        <v>11491153684</v>
      </c>
      <c r="Z623" s="60">
        <v>613941183</v>
      </c>
      <c r="AA623" s="60">
        <v>1417919469</v>
      </c>
      <c r="AB623" s="60"/>
      <c r="AC623" s="60">
        <f t="shared" si="89"/>
        <v>36071716827</v>
      </c>
      <c r="AD623" s="60"/>
      <c r="AE623" s="60"/>
      <c r="AF623" s="60"/>
      <c r="AG623" s="60"/>
      <c r="AH623" s="60">
        <v>9208658628</v>
      </c>
      <c r="AI623" s="60">
        <v>772229885</v>
      </c>
      <c r="AJ623" s="60">
        <v>632762785</v>
      </c>
      <c r="AK623" s="60">
        <v>1595221246</v>
      </c>
      <c r="AL623" s="60"/>
      <c r="AM623" s="60">
        <v>3258096207</v>
      </c>
      <c r="AN623" s="60">
        <f t="shared" si="90"/>
        <v>51538685578</v>
      </c>
      <c r="AO623" s="60"/>
      <c r="AP623" s="60"/>
      <c r="AQ623" s="60">
        <v>1376658450</v>
      </c>
      <c r="AR623" s="60"/>
      <c r="AS623" s="60"/>
      <c r="AT623" s="60">
        <v>9208658628</v>
      </c>
      <c r="AU623" s="60"/>
      <c r="AV623" s="60">
        <v>632762785</v>
      </c>
      <c r="AW623" s="60">
        <v>1080393428</v>
      </c>
      <c r="AX623" s="60"/>
      <c r="AY623" s="60"/>
      <c r="AZ623" s="60"/>
      <c r="BA623" s="60">
        <f>VLOOKUP(B623,[2]Hoja3!J$3:K$674,2,0)</f>
        <v>527618082</v>
      </c>
      <c r="BB623" s="60"/>
      <c r="BC623" s="61">
        <f t="shared" si="84"/>
        <v>64364776951</v>
      </c>
      <c r="BD623" s="60"/>
      <c r="BE623" s="60"/>
      <c r="BF623" s="60">
        <v>275331690</v>
      </c>
      <c r="BG623" s="60"/>
      <c r="BH623" s="60"/>
      <c r="BI623" s="60">
        <v>9400408453</v>
      </c>
      <c r="BJ623" s="60">
        <v>1065187494</v>
      </c>
      <c r="BK623" s="60">
        <v>654193065</v>
      </c>
      <c r="BL623" s="60">
        <v>1681450539</v>
      </c>
      <c r="BM623" s="60"/>
      <c r="BN623" s="60"/>
      <c r="BO623" s="60"/>
      <c r="BP623" s="61">
        <v>77441348192</v>
      </c>
      <c r="BQ623" s="61"/>
      <c r="BR623" s="61"/>
      <c r="BS623" s="61">
        <v>275331690</v>
      </c>
      <c r="BT623" s="61"/>
      <c r="BU623" s="61"/>
      <c r="BV623" s="61"/>
      <c r="BW623" s="61">
        <v>9583679505</v>
      </c>
      <c r="BX623" s="61"/>
      <c r="BY623" s="61">
        <v>4351372028</v>
      </c>
      <c r="BZ623" s="61">
        <v>675961306</v>
      </c>
      <c r="CA623" s="61">
        <v>1716629898</v>
      </c>
      <c r="CB623" s="61"/>
      <c r="CC623" s="61"/>
      <c r="CD623" s="61"/>
      <c r="CE623" s="61"/>
      <c r="CF623" s="61"/>
      <c r="CG623" s="61">
        <f t="shared" si="85"/>
        <v>94044322619</v>
      </c>
      <c r="CH623" s="62">
        <f>VLOOKUP(B623,[1]RPTNCT049_ConsultaSaldosContabl!I$4:K$7987,3,0)</f>
        <v>90258608330</v>
      </c>
      <c r="CI623" s="62">
        <f t="shared" si="86"/>
        <v>3785714289</v>
      </c>
      <c r="CJ623" s="63">
        <f t="shared" si="87"/>
        <v>94044322619</v>
      </c>
      <c r="CK623" s="64">
        <f t="shared" si="88"/>
        <v>0</v>
      </c>
      <c r="CL623" s="16"/>
      <c r="CM623" s="16"/>
      <c r="CN623" s="16"/>
    </row>
    <row r="624" spans="1:96" ht="15" customHeight="1" x14ac:dyDescent="0.2">
      <c r="A624" s="1">
        <v>8905014342</v>
      </c>
      <c r="B624" s="76">
        <v>890501434</v>
      </c>
      <c r="C624" s="9">
        <v>210154001</v>
      </c>
      <c r="D624" s="10" t="s">
        <v>2154</v>
      </c>
      <c r="E624" s="53" t="s">
        <v>1042</v>
      </c>
      <c r="F624" s="21"/>
      <c r="G624" s="59"/>
      <c r="H624" s="21"/>
      <c r="I624" s="59">
        <f>15499636379+238114358</f>
        <v>15737750737</v>
      </c>
      <c r="J624" s="21">
        <v>1043762873</v>
      </c>
      <c r="K624" s="21">
        <v>2071373929</v>
      </c>
      <c r="L624" s="59"/>
      <c r="M624" s="61">
        <f>SUM(F624:L624)</f>
        <v>18852887539</v>
      </c>
      <c r="N624" s="21"/>
      <c r="O624" s="59"/>
      <c r="P624" s="21"/>
      <c r="Q624" s="59">
        <f>14591764070+108233799</f>
        <v>14699997869</v>
      </c>
      <c r="R624" s="21">
        <v>1044096255</v>
      </c>
      <c r="S624" s="21">
        <f>1027611056+1044096255</f>
        <v>2071707311</v>
      </c>
      <c r="T624" s="59"/>
      <c r="U624" s="60">
        <f t="shared" si="83"/>
        <v>36668688974</v>
      </c>
      <c r="V624" s="60"/>
      <c r="W624" s="60"/>
      <c r="X624" s="60"/>
      <c r="Y624" s="60">
        <v>26109132175</v>
      </c>
      <c r="Z624" s="60">
        <v>1039465798</v>
      </c>
      <c r="AA624" s="60">
        <v>2403927220</v>
      </c>
      <c r="AB624" s="60"/>
      <c r="AC624" s="60">
        <f t="shared" si="89"/>
        <v>66221214167</v>
      </c>
      <c r="AD624" s="60"/>
      <c r="AE624" s="60"/>
      <c r="AF624" s="60"/>
      <c r="AG624" s="60"/>
      <c r="AH624" s="60">
        <v>14707473105</v>
      </c>
      <c r="AI624" s="60">
        <v>1433257264</v>
      </c>
      <c r="AJ624" s="60">
        <v>1072896739</v>
      </c>
      <c r="AK624" s="60">
        <v>2704191932</v>
      </c>
      <c r="AL624" s="60"/>
      <c r="AM624" s="60">
        <v>6020854520</v>
      </c>
      <c r="AN624" s="60">
        <f t="shared" si="90"/>
        <v>92159887727</v>
      </c>
      <c r="AO624" s="60"/>
      <c r="AP624" s="60"/>
      <c r="AQ624" s="60">
        <v>2717265280</v>
      </c>
      <c r="AR624" s="60"/>
      <c r="AS624" s="60"/>
      <c r="AT624" s="60">
        <v>14707473105</v>
      </c>
      <c r="AU624" s="60">
        <v>495403437</v>
      </c>
      <c r="AV624" s="60">
        <v>1072896739</v>
      </c>
      <c r="AW624" s="60">
        <v>1831424364</v>
      </c>
      <c r="AX624" s="60"/>
      <c r="AY624" s="60"/>
      <c r="AZ624" s="60">
        <v>6396521687</v>
      </c>
      <c r="BA624" s="60">
        <f>VLOOKUP(B624,[2]Hoja3!J$3:K$674,2,0)</f>
        <v>1020131443</v>
      </c>
      <c r="BB624" s="60">
        <f>VLOOKUP(B624,'[3]anuladas en mayo gratuidad}'!K$2:L$55,2,0)</f>
        <v>76768723</v>
      </c>
      <c r="BC624" s="61">
        <f t="shared" si="84"/>
        <v>120324235059</v>
      </c>
      <c r="BD624" s="60"/>
      <c r="BE624" s="60"/>
      <c r="BF624" s="60">
        <v>543453056</v>
      </c>
      <c r="BG624" s="60"/>
      <c r="BH624" s="60"/>
      <c r="BI624" s="60">
        <v>15157451287</v>
      </c>
      <c r="BJ624" s="60">
        <v>1435617890</v>
      </c>
      <c r="BK624" s="60">
        <v>1167781556</v>
      </c>
      <c r="BL624" s="60">
        <v>2941366398</v>
      </c>
      <c r="BM624" s="60"/>
      <c r="BN624" s="60"/>
      <c r="BO624" s="60">
        <v>76768723</v>
      </c>
      <c r="BP624" s="61">
        <v>141646673969</v>
      </c>
      <c r="BQ624" s="61"/>
      <c r="BR624" s="61"/>
      <c r="BS624" s="61">
        <v>543453056</v>
      </c>
      <c r="BT624" s="61"/>
      <c r="BU624" s="61"/>
      <c r="BV624" s="61"/>
      <c r="BW624" s="61">
        <v>15467089587</v>
      </c>
      <c r="BX624" s="61">
        <v>2603629905</v>
      </c>
      <c r="BY624" s="61">
        <v>6941059045</v>
      </c>
      <c r="BZ624" s="61">
        <v>1081938873</v>
      </c>
      <c r="CA624" s="61">
        <v>2849908214</v>
      </c>
      <c r="CB624" s="61"/>
      <c r="CC624" s="61"/>
      <c r="CD624" s="61"/>
      <c r="CE624" s="61"/>
      <c r="CF624" s="61">
        <v>-64571032</v>
      </c>
      <c r="CG624" s="61">
        <f t="shared" si="85"/>
        <v>171069181617</v>
      </c>
      <c r="CH624" s="62">
        <f>VLOOKUP(B624,[1]RPTNCT049_ConsultaSaldosContabl!I$4:K$7987,3,0)</f>
        <v>164092766686</v>
      </c>
      <c r="CI624" s="62">
        <f t="shared" si="86"/>
        <v>6976414931</v>
      </c>
      <c r="CJ624" s="63">
        <f t="shared" si="87"/>
        <v>171069181617</v>
      </c>
      <c r="CK624" s="64">
        <f t="shared" si="88"/>
        <v>0</v>
      </c>
      <c r="CL624" s="16"/>
      <c r="CM624" s="16"/>
      <c r="CN624" s="16"/>
    </row>
    <row r="625" spans="1:96" ht="15" customHeight="1" x14ac:dyDescent="0.2">
      <c r="A625" s="1">
        <v>8000103508</v>
      </c>
      <c r="B625" s="1">
        <v>800010350</v>
      </c>
      <c r="C625" s="9">
        <v>216173461</v>
      </c>
      <c r="D625" s="10" t="s">
        <v>2227</v>
      </c>
      <c r="E625" s="52" t="s">
        <v>1953</v>
      </c>
      <c r="F625" s="21"/>
      <c r="G625" s="59"/>
      <c r="H625" s="21"/>
      <c r="I625" s="59"/>
      <c r="J625" s="21"/>
      <c r="K625" s="21"/>
      <c r="L625" s="59"/>
      <c r="M625" s="60"/>
      <c r="N625" s="21"/>
      <c r="O625" s="59"/>
      <c r="P625" s="21"/>
      <c r="Q625" s="59"/>
      <c r="R625" s="21"/>
      <c r="S625" s="21"/>
      <c r="T625" s="59"/>
      <c r="U625" s="60">
        <f t="shared" si="83"/>
        <v>0</v>
      </c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>
        <v>34380600</v>
      </c>
      <c r="AZ625" s="60"/>
      <c r="BA625" s="60">
        <f>VLOOKUP(B625,[2]Hoja3!J$3:K$674,2,0)</f>
        <v>74933733</v>
      </c>
      <c r="BB625" s="60"/>
      <c r="BC625" s="61">
        <f t="shared" si="84"/>
        <v>109314333</v>
      </c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>
        <v>6876120</v>
      </c>
      <c r="BO625" s="60"/>
      <c r="BP625" s="61">
        <v>116190453</v>
      </c>
      <c r="BQ625" s="61"/>
      <c r="BR625" s="61"/>
      <c r="BS625" s="61"/>
      <c r="BT625" s="61"/>
      <c r="BU625" s="61"/>
      <c r="BV625" s="61"/>
      <c r="BW625" s="61"/>
      <c r="BX625" s="61"/>
      <c r="BY625" s="61"/>
      <c r="BZ625" s="61"/>
      <c r="CA625" s="61"/>
      <c r="CB625" s="61"/>
      <c r="CC625" s="61">
        <v>6876120</v>
      </c>
      <c r="CD625" s="61"/>
      <c r="CE625" s="61"/>
      <c r="CF625" s="61"/>
      <c r="CG625" s="61">
        <f t="shared" si="85"/>
        <v>123066573</v>
      </c>
      <c r="CH625" s="62">
        <f>VLOOKUP(B625,[1]RPTNCT049_ConsultaSaldosContabl!I$4:K$7987,3,0)</f>
        <v>48132840</v>
      </c>
      <c r="CI625" s="62">
        <f t="shared" si="86"/>
        <v>74933733</v>
      </c>
      <c r="CJ625" s="63">
        <f t="shared" si="87"/>
        <v>123066573</v>
      </c>
      <c r="CK625" s="64">
        <f t="shared" si="88"/>
        <v>0</v>
      </c>
      <c r="CL625" s="16"/>
      <c r="CM625" s="16"/>
      <c r="CN625" s="16"/>
    </row>
    <row r="626" spans="1:96" ht="15" customHeight="1" x14ac:dyDescent="0.2">
      <c r="A626" s="1">
        <v>8909848820</v>
      </c>
      <c r="B626" s="1">
        <v>890984882</v>
      </c>
      <c r="C626" s="9">
        <v>217505475</v>
      </c>
      <c r="D626" s="10" t="s">
        <v>109</v>
      </c>
      <c r="E626" s="52" t="s">
        <v>1140</v>
      </c>
      <c r="F626" s="21"/>
      <c r="G626" s="59"/>
      <c r="H626" s="21"/>
      <c r="I626" s="59"/>
      <c r="J626" s="21"/>
      <c r="K626" s="21"/>
      <c r="L626" s="59"/>
      <c r="M626" s="60"/>
      <c r="N626" s="21"/>
      <c r="O626" s="59"/>
      <c r="P626" s="21"/>
      <c r="Q626" s="59"/>
      <c r="R626" s="21"/>
      <c r="S626" s="21"/>
      <c r="T626" s="59"/>
      <c r="U626" s="60">
        <f t="shared" si="83"/>
        <v>0</v>
      </c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>
        <v>73275334</v>
      </c>
      <c r="AN626" s="60">
        <f>SUBTOTAL(9,AC626:AM626)</f>
        <v>73275334</v>
      </c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>
        <v>85041400</v>
      </c>
      <c r="AZ626" s="60"/>
      <c r="BA626" s="60"/>
      <c r="BB626" s="60">
        <f>VLOOKUP(B626,'[3]anuladas en mayo gratuidad}'!K$2:L$55,2,0)</f>
        <v>73275334</v>
      </c>
      <c r="BC626" s="61">
        <f t="shared" si="84"/>
        <v>85041400</v>
      </c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>
        <v>17008280</v>
      </c>
      <c r="BO626" s="60"/>
      <c r="BP626" s="61">
        <v>102049680</v>
      </c>
      <c r="BQ626" s="61"/>
      <c r="BR626" s="61"/>
      <c r="BS626" s="61"/>
      <c r="BT626" s="61"/>
      <c r="BU626" s="61"/>
      <c r="BV626" s="61"/>
      <c r="BW626" s="61"/>
      <c r="BX626" s="61"/>
      <c r="BY626" s="61"/>
      <c r="BZ626" s="61"/>
      <c r="CA626" s="61"/>
      <c r="CB626" s="61"/>
      <c r="CC626" s="61">
        <v>17008280</v>
      </c>
      <c r="CD626" s="61"/>
      <c r="CE626" s="61"/>
      <c r="CF626" s="61"/>
      <c r="CG626" s="61">
        <f t="shared" si="85"/>
        <v>119057960</v>
      </c>
      <c r="CH626" s="62">
        <f>VLOOKUP(B626,[1]RPTNCT049_ConsultaSaldosContabl!I$4:K$7987,3,0)</f>
        <v>119057960</v>
      </c>
      <c r="CI626" s="62">
        <f t="shared" si="86"/>
        <v>0</v>
      </c>
      <c r="CJ626" s="63">
        <f t="shared" si="87"/>
        <v>119057960</v>
      </c>
      <c r="CK626" s="64">
        <f t="shared" si="88"/>
        <v>0</v>
      </c>
      <c r="CL626" s="16"/>
      <c r="CM626" s="16"/>
      <c r="CN626" s="16"/>
    </row>
    <row r="627" spans="1:96" ht="15" customHeight="1" x14ac:dyDescent="0.2">
      <c r="A627" s="1">
        <v>8909809505</v>
      </c>
      <c r="B627" s="1">
        <v>890980950</v>
      </c>
      <c r="C627" s="9">
        <v>218005480</v>
      </c>
      <c r="D627" s="10" t="s">
        <v>110</v>
      </c>
      <c r="E627" s="52" t="s">
        <v>1141</v>
      </c>
      <c r="F627" s="21"/>
      <c r="G627" s="59"/>
      <c r="H627" s="21"/>
      <c r="I627" s="59"/>
      <c r="J627" s="21"/>
      <c r="K627" s="21"/>
      <c r="L627" s="59"/>
      <c r="M627" s="60"/>
      <c r="N627" s="21"/>
      <c r="O627" s="59"/>
      <c r="P627" s="21"/>
      <c r="Q627" s="59"/>
      <c r="R627" s="21"/>
      <c r="S627" s="21"/>
      <c r="T627" s="59"/>
      <c r="U627" s="60">
        <f t="shared" si="83"/>
        <v>0</v>
      </c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>
        <f>VLOOKUP(B627,[2]Hoja3!J$3:K$674,2,0)</f>
        <v>326313901</v>
      </c>
      <c r="BB627" s="60"/>
      <c r="BC627" s="61">
        <f t="shared" si="84"/>
        <v>326313901</v>
      </c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>
        <v>43513959</v>
      </c>
      <c r="BO627" s="60"/>
      <c r="BP627" s="61">
        <v>369827860</v>
      </c>
      <c r="BQ627" s="61"/>
      <c r="BR627" s="61"/>
      <c r="BS627" s="61"/>
      <c r="BT627" s="61"/>
      <c r="BU627" s="61"/>
      <c r="BV627" s="61"/>
      <c r="BW627" s="61"/>
      <c r="BX627" s="61"/>
      <c r="BY627" s="61"/>
      <c r="BZ627" s="61"/>
      <c r="CA627" s="61"/>
      <c r="CB627" s="61"/>
      <c r="CC627" s="61">
        <v>43513959</v>
      </c>
      <c r="CD627" s="61">
        <v>217569795</v>
      </c>
      <c r="CE627" s="61"/>
      <c r="CF627" s="61"/>
      <c r="CG627" s="61">
        <f t="shared" si="85"/>
        <v>630911614</v>
      </c>
      <c r="CH627" s="62">
        <f>VLOOKUP(B627,[1]RPTNCT049_ConsultaSaldosContabl!I$4:K$7987,3,0)</f>
        <v>304597713</v>
      </c>
      <c r="CI627" s="62">
        <f t="shared" si="86"/>
        <v>326313901</v>
      </c>
      <c r="CJ627" s="63">
        <f t="shared" si="87"/>
        <v>630911614</v>
      </c>
      <c r="CK627" s="64">
        <f t="shared" si="88"/>
        <v>0</v>
      </c>
      <c r="CL627" s="16"/>
      <c r="CM627" s="16"/>
      <c r="CN627" s="16"/>
    </row>
    <row r="628" spans="1:96" ht="15" customHeight="1" x14ac:dyDescent="0.2">
      <c r="A628" s="1">
        <v>8905032338</v>
      </c>
      <c r="B628" s="1">
        <v>890503233</v>
      </c>
      <c r="C628" s="9">
        <v>218054480</v>
      </c>
      <c r="D628" s="10" t="s">
        <v>773</v>
      </c>
      <c r="E628" s="52" t="s">
        <v>1790</v>
      </c>
      <c r="F628" s="21"/>
      <c r="G628" s="59"/>
      <c r="H628" s="21"/>
      <c r="I628" s="59"/>
      <c r="J628" s="21"/>
      <c r="K628" s="21"/>
      <c r="L628" s="59"/>
      <c r="M628" s="60"/>
      <c r="N628" s="21"/>
      <c r="O628" s="59"/>
      <c r="P628" s="21"/>
      <c r="Q628" s="59"/>
      <c r="R628" s="21"/>
      <c r="S628" s="21"/>
      <c r="T628" s="59"/>
      <c r="U628" s="60">
        <f t="shared" si="83"/>
        <v>0</v>
      </c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>
        <v>25453070</v>
      </c>
      <c r="AZ628" s="60"/>
      <c r="BA628" s="60">
        <f>VLOOKUP(B628,[2]Hoja3!J$3:K$674,2,0)</f>
        <v>63056318</v>
      </c>
      <c r="BB628" s="60"/>
      <c r="BC628" s="61">
        <f t="shared" si="84"/>
        <v>88509388</v>
      </c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>
        <v>5090614</v>
      </c>
      <c r="BO628" s="60"/>
      <c r="BP628" s="61">
        <v>93600002</v>
      </c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  <c r="CA628" s="61"/>
      <c r="CB628" s="61"/>
      <c r="CC628" s="61">
        <v>5090614</v>
      </c>
      <c r="CD628" s="61"/>
      <c r="CE628" s="61"/>
      <c r="CF628" s="61"/>
      <c r="CG628" s="61">
        <f t="shared" si="85"/>
        <v>98690616</v>
      </c>
      <c r="CH628" s="62">
        <f>VLOOKUP(B628,[1]RPTNCT049_ConsultaSaldosContabl!I$4:K$7987,3,0)</f>
        <v>35634298</v>
      </c>
      <c r="CI628" s="62">
        <f t="shared" si="86"/>
        <v>63056318</v>
      </c>
      <c r="CJ628" s="63">
        <f t="shared" si="87"/>
        <v>98690616</v>
      </c>
      <c r="CK628" s="64">
        <f t="shared" si="88"/>
        <v>0</v>
      </c>
      <c r="CL628" s="16"/>
      <c r="CM628" s="16"/>
      <c r="CN628" s="16"/>
    </row>
    <row r="629" spans="1:96" ht="15" customHeight="1" x14ac:dyDescent="0.2">
      <c r="A629" s="1">
        <v>8000778087</v>
      </c>
      <c r="B629" s="1">
        <v>800077808</v>
      </c>
      <c r="C629" s="9">
        <v>218015480</v>
      </c>
      <c r="D629" s="10" t="s">
        <v>273</v>
      </c>
      <c r="E629" s="52" t="s">
        <v>1307</v>
      </c>
      <c r="F629" s="21"/>
      <c r="G629" s="59"/>
      <c r="H629" s="21"/>
      <c r="I629" s="59"/>
      <c r="J629" s="21"/>
      <c r="K629" s="21"/>
      <c r="L629" s="59"/>
      <c r="M629" s="60"/>
      <c r="N629" s="21"/>
      <c r="O629" s="59"/>
      <c r="P629" s="21"/>
      <c r="Q629" s="59"/>
      <c r="R629" s="21"/>
      <c r="S629" s="21"/>
      <c r="T629" s="59"/>
      <c r="U629" s="60">
        <f t="shared" si="83"/>
        <v>0</v>
      </c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>
        <v>74452970</v>
      </c>
      <c r="AZ629" s="60"/>
      <c r="BA629" s="60">
        <f>VLOOKUP(B629,[2]Hoja3!J$3:K$674,2,0)</f>
        <v>130148797</v>
      </c>
      <c r="BB629" s="60"/>
      <c r="BC629" s="61">
        <f t="shared" si="84"/>
        <v>204601767</v>
      </c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>
        <v>14890594</v>
      </c>
      <c r="BO629" s="60"/>
      <c r="BP629" s="61">
        <v>219492361</v>
      </c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  <c r="CA629" s="61"/>
      <c r="CB629" s="61"/>
      <c r="CC629" s="61">
        <v>14890594</v>
      </c>
      <c r="CD629" s="61"/>
      <c r="CE629" s="61"/>
      <c r="CF629" s="61"/>
      <c r="CG629" s="61">
        <f t="shared" si="85"/>
        <v>234382955</v>
      </c>
      <c r="CH629" s="62">
        <f>VLOOKUP(B629,[1]RPTNCT049_ConsultaSaldosContabl!I$4:K$7987,3,0)</f>
        <v>104234158</v>
      </c>
      <c r="CI629" s="62">
        <f t="shared" si="86"/>
        <v>130148797</v>
      </c>
      <c r="CJ629" s="63">
        <f t="shared" si="87"/>
        <v>234382955</v>
      </c>
      <c r="CK629" s="64">
        <f t="shared" si="88"/>
        <v>0</v>
      </c>
      <c r="CL629" s="16"/>
      <c r="CM629" s="8"/>
      <c r="CN629" s="8"/>
      <c r="CO629" s="8"/>
      <c r="CP629" s="8"/>
      <c r="CQ629" s="8"/>
      <c r="CR629" s="8"/>
    </row>
    <row r="630" spans="1:96" ht="15" customHeight="1" x14ac:dyDescent="0.2">
      <c r="A630" s="1">
        <v>8906803903</v>
      </c>
      <c r="B630" s="1">
        <v>890680390</v>
      </c>
      <c r="C630" s="9">
        <v>218325483</v>
      </c>
      <c r="D630" s="10" t="s">
        <v>2119</v>
      </c>
      <c r="E630" s="52" t="s">
        <v>1540</v>
      </c>
      <c r="F630" s="21"/>
      <c r="G630" s="59"/>
      <c r="H630" s="21"/>
      <c r="I630" s="59"/>
      <c r="J630" s="21"/>
      <c r="K630" s="21"/>
      <c r="L630" s="59"/>
      <c r="M630" s="60"/>
      <c r="N630" s="21"/>
      <c r="O630" s="59"/>
      <c r="P630" s="21"/>
      <c r="Q630" s="59"/>
      <c r="R630" s="21"/>
      <c r="S630" s="21"/>
      <c r="T630" s="59"/>
      <c r="U630" s="60">
        <f t="shared" si="83"/>
        <v>0</v>
      </c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>
        <v>25981969</v>
      </c>
      <c r="AN630" s="60">
        <f>SUBTOTAL(9,AC630:AM630)</f>
        <v>25981969</v>
      </c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>
        <v>17715935</v>
      </c>
      <c r="AZ630" s="60"/>
      <c r="BA630" s="60"/>
      <c r="BB630" s="60"/>
      <c r="BC630" s="61">
        <f t="shared" si="84"/>
        <v>43697904</v>
      </c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>
        <v>3543187</v>
      </c>
      <c r="BO630" s="60"/>
      <c r="BP630" s="61">
        <v>47241091</v>
      </c>
      <c r="BQ630" s="61"/>
      <c r="BR630" s="61"/>
      <c r="BS630" s="61"/>
      <c r="BT630" s="61"/>
      <c r="BU630" s="61"/>
      <c r="BV630" s="61"/>
      <c r="BW630" s="61"/>
      <c r="BX630" s="61"/>
      <c r="BY630" s="61"/>
      <c r="BZ630" s="61"/>
      <c r="CA630" s="61"/>
      <c r="CB630" s="61"/>
      <c r="CC630" s="61">
        <v>3543187</v>
      </c>
      <c r="CD630" s="61"/>
      <c r="CE630" s="61"/>
      <c r="CF630" s="61"/>
      <c r="CG630" s="61">
        <f t="shared" si="85"/>
        <v>50784278</v>
      </c>
      <c r="CH630" s="62">
        <f>VLOOKUP(B630,[1]RPTNCT049_ConsultaSaldosContabl!I$4:K$7987,3,0)</f>
        <v>24802309</v>
      </c>
      <c r="CI630" s="62">
        <f t="shared" si="86"/>
        <v>25981969</v>
      </c>
      <c r="CJ630" s="63">
        <f t="shared" si="87"/>
        <v>50784278</v>
      </c>
      <c r="CK630" s="64">
        <f t="shared" si="88"/>
        <v>0</v>
      </c>
      <c r="CL630" s="16"/>
      <c r="CM630" s="16"/>
      <c r="CN630" s="16"/>
    </row>
    <row r="631" spans="1:96" ht="15" customHeight="1" x14ac:dyDescent="0.2">
      <c r="A631" s="1">
        <v>8140037344</v>
      </c>
      <c r="B631" s="1">
        <v>814003734</v>
      </c>
      <c r="C631" s="9">
        <v>218052480</v>
      </c>
      <c r="D631" s="10" t="s">
        <v>2132</v>
      </c>
      <c r="E631" s="52" t="s">
        <v>1750</v>
      </c>
      <c r="F631" s="21"/>
      <c r="G631" s="59"/>
      <c r="H631" s="21"/>
      <c r="I631" s="59"/>
      <c r="J631" s="21"/>
      <c r="K631" s="21"/>
      <c r="L631" s="59"/>
      <c r="M631" s="60"/>
      <c r="N631" s="21"/>
      <c r="O631" s="59"/>
      <c r="P631" s="21"/>
      <c r="Q631" s="59"/>
      <c r="R631" s="21"/>
      <c r="S631" s="21"/>
      <c r="T631" s="59"/>
      <c r="U631" s="60">
        <f t="shared" si="83"/>
        <v>0</v>
      </c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>
        <v>46531643</v>
      </c>
      <c r="AN631" s="60">
        <f>SUBTOTAL(9,AC631:AM631)</f>
        <v>46531643</v>
      </c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1">
        <f t="shared" si="84"/>
        <v>46531643</v>
      </c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>
        <v>5055046</v>
      </c>
      <c r="BO631" s="60"/>
      <c r="BP631" s="61">
        <v>51586689</v>
      </c>
      <c r="BQ631" s="61"/>
      <c r="BR631" s="61"/>
      <c r="BS631" s="61"/>
      <c r="BT631" s="61"/>
      <c r="BU631" s="61"/>
      <c r="BV631" s="61"/>
      <c r="BW631" s="61"/>
      <c r="BX631" s="61"/>
      <c r="BY631" s="61"/>
      <c r="BZ631" s="61"/>
      <c r="CA631" s="61"/>
      <c r="CB631" s="61"/>
      <c r="CC631" s="61">
        <v>5055046</v>
      </c>
      <c r="CD631" s="61">
        <v>25275230</v>
      </c>
      <c r="CE631" s="61"/>
      <c r="CF631" s="61"/>
      <c r="CG631" s="61">
        <f t="shared" si="85"/>
        <v>81916965</v>
      </c>
      <c r="CH631" s="62">
        <f>VLOOKUP(B631,[1]RPTNCT049_ConsultaSaldosContabl!I$4:K$7987,3,0)</f>
        <v>35385322</v>
      </c>
      <c r="CI631" s="62">
        <f t="shared" si="86"/>
        <v>46531643</v>
      </c>
      <c r="CJ631" s="63">
        <f t="shared" si="87"/>
        <v>81916965</v>
      </c>
      <c r="CK631" s="64">
        <f t="shared" si="88"/>
        <v>0</v>
      </c>
      <c r="CL631" s="16"/>
      <c r="CM631" s="8"/>
      <c r="CN631" s="8"/>
      <c r="CO631" s="8"/>
      <c r="CP631" s="8"/>
      <c r="CQ631" s="8"/>
      <c r="CR631" s="8"/>
    </row>
    <row r="632" spans="1:96" ht="15" customHeight="1" x14ac:dyDescent="0.2">
      <c r="A632" s="1">
        <v>8909825669</v>
      </c>
      <c r="B632" s="1">
        <v>890982566</v>
      </c>
      <c r="C632" s="9">
        <v>218305483</v>
      </c>
      <c r="D632" s="10" t="s">
        <v>111</v>
      </c>
      <c r="E632" s="52" t="s">
        <v>1142</v>
      </c>
      <c r="F632" s="21"/>
      <c r="G632" s="59"/>
      <c r="H632" s="21"/>
      <c r="I632" s="59"/>
      <c r="J632" s="21"/>
      <c r="K632" s="21"/>
      <c r="L632" s="59"/>
      <c r="M632" s="60"/>
      <c r="N632" s="21"/>
      <c r="O632" s="59"/>
      <c r="P632" s="21"/>
      <c r="Q632" s="59"/>
      <c r="R632" s="21"/>
      <c r="S632" s="21"/>
      <c r="T632" s="59"/>
      <c r="U632" s="60">
        <f t="shared" si="83"/>
        <v>0</v>
      </c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>
        <f>VLOOKUP(B632,[2]Hoja3!J$3:K$674,2,0)</f>
        <v>156049340</v>
      </c>
      <c r="BB632" s="60"/>
      <c r="BC632" s="61">
        <f t="shared" si="84"/>
        <v>156049340</v>
      </c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>
        <v>12927403</v>
      </c>
      <c r="BO632" s="60"/>
      <c r="BP632" s="61">
        <v>168976743</v>
      </c>
      <c r="BQ632" s="61"/>
      <c r="BR632" s="61"/>
      <c r="BS632" s="61"/>
      <c r="BT632" s="61"/>
      <c r="BU632" s="61"/>
      <c r="BV632" s="61"/>
      <c r="BW632" s="61"/>
      <c r="BX632" s="61"/>
      <c r="BY632" s="61"/>
      <c r="BZ632" s="61"/>
      <c r="CA632" s="61"/>
      <c r="CB632" s="61"/>
      <c r="CC632" s="61">
        <v>12927403</v>
      </c>
      <c r="CD632" s="61">
        <v>64637015</v>
      </c>
      <c r="CE632" s="61"/>
      <c r="CF632" s="61"/>
      <c r="CG632" s="61">
        <f t="shared" si="85"/>
        <v>246541161</v>
      </c>
      <c r="CH632" s="62">
        <f>VLOOKUP(B632,[1]RPTNCT049_ConsultaSaldosContabl!I$4:K$7987,3,0)</f>
        <v>90491821</v>
      </c>
      <c r="CI632" s="62">
        <f t="shared" si="86"/>
        <v>156049340</v>
      </c>
      <c r="CJ632" s="63">
        <f t="shared" si="87"/>
        <v>246541161</v>
      </c>
      <c r="CK632" s="64">
        <f t="shared" si="88"/>
        <v>0</v>
      </c>
      <c r="CL632" s="16"/>
      <c r="CM632" s="8"/>
      <c r="CN632" s="8"/>
      <c r="CO632" s="8"/>
      <c r="CP632" s="8"/>
      <c r="CQ632" s="8"/>
      <c r="CR632" s="8"/>
    </row>
    <row r="633" spans="1:96" ht="15" customHeight="1" x14ac:dyDescent="0.2">
      <c r="A633" s="1">
        <v>8911028440</v>
      </c>
      <c r="B633" s="1">
        <v>891102844</v>
      </c>
      <c r="C633" s="9">
        <v>218341483</v>
      </c>
      <c r="D633" s="10" t="s">
        <v>610</v>
      </c>
      <c r="E633" s="52" t="s">
        <v>1629</v>
      </c>
      <c r="F633" s="21"/>
      <c r="G633" s="59"/>
      <c r="H633" s="21"/>
      <c r="I633" s="59"/>
      <c r="J633" s="21"/>
      <c r="K633" s="21"/>
      <c r="L633" s="59"/>
      <c r="M633" s="60"/>
      <c r="N633" s="21"/>
      <c r="O633" s="59"/>
      <c r="P633" s="21"/>
      <c r="Q633" s="59"/>
      <c r="R633" s="21"/>
      <c r="S633" s="21"/>
      <c r="T633" s="59"/>
      <c r="U633" s="60">
        <f t="shared" si="83"/>
        <v>0</v>
      </c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>
        <f>VLOOKUP(B633,[2]Hoja3!J$3:K$674,2,0)</f>
        <v>110625395</v>
      </c>
      <c r="BB633" s="60"/>
      <c r="BC633" s="61">
        <f t="shared" si="84"/>
        <v>110625395</v>
      </c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>
        <v>0</v>
      </c>
      <c r="BO633" s="60"/>
      <c r="BP633" s="61">
        <v>110625395</v>
      </c>
      <c r="BQ633" s="61"/>
      <c r="BR633" s="61"/>
      <c r="BS633" s="61"/>
      <c r="BT633" s="61"/>
      <c r="BU633" s="61"/>
      <c r="BV633" s="61"/>
      <c r="BW633" s="61"/>
      <c r="BX633" s="61"/>
      <c r="BY633" s="61"/>
      <c r="BZ633" s="61"/>
      <c r="CA633" s="61"/>
      <c r="CB633" s="61"/>
      <c r="CC633" s="61">
        <v>83910190</v>
      </c>
      <c r="CD633" s="61"/>
      <c r="CE633" s="61">
        <v>11788261</v>
      </c>
      <c r="CF633" s="61"/>
      <c r="CG633" s="61">
        <f t="shared" si="85"/>
        <v>206323846</v>
      </c>
      <c r="CH633" s="62">
        <f>VLOOKUP(B633,[1]RPTNCT049_ConsultaSaldosContabl!I$4:K$7987,3,0)</f>
        <v>83910190</v>
      </c>
      <c r="CI633" s="62">
        <f t="shared" si="86"/>
        <v>122413656</v>
      </c>
      <c r="CJ633" s="63">
        <f t="shared" si="87"/>
        <v>206323846</v>
      </c>
      <c r="CK633" s="64">
        <f t="shared" si="88"/>
        <v>0</v>
      </c>
      <c r="CL633" s="16"/>
      <c r="CM633" s="16"/>
      <c r="CN633" s="16"/>
    </row>
    <row r="634" spans="1:96" ht="15" customHeight="1" x14ac:dyDescent="0.2">
      <c r="A634" s="1">
        <v>8001001341</v>
      </c>
      <c r="B634" s="1">
        <v>800100134</v>
      </c>
      <c r="C634" s="9">
        <v>218373483</v>
      </c>
      <c r="D634" s="10" t="s">
        <v>2228</v>
      </c>
      <c r="E634" s="52" t="s">
        <v>1954</v>
      </c>
      <c r="F634" s="21"/>
      <c r="G634" s="59"/>
      <c r="H634" s="21"/>
      <c r="I634" s="59"/>
      <c r="J634" s="21"/>
      <c r="K634" s="21"/>
      <c r="L634" s="59"/>
      <c r="M634" s="60"/>
      <c r="N634" s="21"/>
      <c r="O634" s="59"/>
      <c r="P634" s="21"/>
      <c r="Q634" s="59"/>
      <c r="R634" s="21"/>
      <c r="S634" s="21"/>
      <c r="T634" s="59"/>
      <c r="U634" s="60">
        <f t="shared" si="83"/>
        <v>0</v>
      </c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>
        <v>135504340</v>
      </c>
      <c r="AZ634" s="60"/>
      <c r="BA634" s="60">
        <f>VLOOKUP(B634,[2]Hoja3!J$3:K$674,2,0)</f>
        <v>228656975</v>
      </c>
      <c r="BB634" s="60"/>
      <c r="BC634" s="61">
        <f t="shared" si="84"/>
        <v>364161315</v>
      </c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>
        <v>27100868</v>
      </c>
      <c r="BO634" s="60"/>
      <c r="BP634" s="61">
        <v>391262183</v>
      </c>
      <c r="BQ634" s="61"/>
      <c r="BR634" s="61"/>
      <c r="BS634" s="61"/>
      <c r="BT634" s="61"/>
      <c r="BU634" s="61"/>
      <c r="BV634" s="61"/>
      <c r="BW634" s="61"/>
      <c r="BX634" s="61"/>
      <c r="BY634" s="61"/>
      <c r="BZ634" s="61"/>
      <c r="CA634" s="61"/>
      <c r="CB634" s="61"/>
      <c r="CC634" s="61">
        <v>27100868</v>
      </c>
      <c r="CD634" s="61"/>
      <c r="CE634" s="61"/>
      <c r="CF634" s="61"/>
      <c r="CG634" s="61">
        <f t="shared" si="85"/>
        <v>418363051</v>
      </c>
      <c r="CH634" s="62">
        <f>VLOOKUP(B634,[1]RPTNCT049_ConsultaSaldosContabl!I$4:K$7987,3,0)</f>
        <v>189706076</v>
      </c>
      <c r="CI634" s="62">
        <f t="shared" si="86"/>
        <v>228656975</v>
      </c>
      <c r="CJ634" s="63">
        <f t="shared" si="87"/>
        <v>418363051</v>
      </c>
      <c r="CK634" s="64">
        <f t="shared" si="88"/>
        <v>0</v>
      </c>
      <c r="CL634" s="16"/>
      <c r="CM634" s="16"/>
      <c r="CN634" s="16"/>
    </row>
    <row r="635" spans="1:96" ht="15" customHeight="1" x14ac:dyDescent="0.2">
      <c r="A635" s="1">
        <v>8909853548</v>
      </c>
      <c r="B635" s="1">
        <v>890985354</v>
      </c>
      <c r="C635" s="9">
        <v>219505495</v>
      </c>
      <c r="D635" s="10" t="s">
        <v>113</v>
      </c>
      <c r="E635" s="52" t="s">
        <v>1144</v>
      </c>
      <c r="F635" s="21"/>
      <c r="G635" s="59"/>
      <c r="H635" s="21"/>
      <c r="I635" s="59"/>
      <c r="J635" s="21"/>
      <c r="K635" s="21"/>
      <c r="L635" s="59"/>
      <c r="M635" s="60"/>
      <c r="N635" s="21"/>
      <c r="O635" s="59"/>
      <c r="P635" s="21"/>
      <c r="Q635" s="59"/>
      <c r="R635" s="21"/>
      <c r="S635" s="21"/>
      <c r="T635" s="59"/>
      <c r="U635" s="60">
        <f t="shared" si="83"/>
        <v>0</v>
      </c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>
        <v>36479586</v>
      </c>
      <c r="AN635" s="60">
        <f>SUBTOTAL(9,AC635:AM635)</f>
        <v>36479586</v>
      </c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>
        <f>VLOOKUP(B635,[2]Hoja3!J$3:K$674,2,0)</f>
        <v>392560881</v>
      </c>
      <c r="BB635" s="60"/>
      <c r="BC635" s="61">
        <f t="shared" si="84"/>
        <v>429040467</v>
      </c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>
        <v>0</v>
      </c>
      <c r="BO635" s="60"/>
      <c r="BP635" s="61">
        <v>429040467</v>
      </c>
      <c r="BQ635" s="61"/>
      <c r="BR635" s="61"/>
      <c r="BS635" s="61"/>
      <c r="BT635" s="61"/>
      <c r="BU635" s="61"/>
      <c r="BV635" s="61"/>
      <c r="BW635" s="61"/>
      <c r="BX635" s="61"/>
      <c r="BY635" s="61"/>
      <c r="BZ635" s="61"/>
      <c r="CA635" s="61"/>
      <c r="CB635" s="61"/>
      <c r="CC635" s="61">
        <v>0</v>
      </c>
      <c r="CD635" s="61"/>
      <c r="CE635" s="61"/>
      <c r="CF635" s="61"/>
      <c r="CG635" s="61">
        <f t="shared" si="85"/>
        <v>429040467</v>
      </c>
      <c r="CH635" s="62"/>
      <c r="CI635" s="62">
        <f t="shared" si="86"/>
        <v>429040467</v>
      </c>
      <c r="CJ635" s="63">
        <f t="shared" si="87"/>
        <v>429040467</v>
      </c>
      <c r="CK635" s="64">
        <f t="shared" si="88"/>
        <v>0</v>
      </c>
      <c r="CL635" s="16"/>
      <c r="CM635" s="16"/>
      <c r="CN635" s="16"/>
    </row>
    <row r="636" spans="1:96" ht="15" customHeight="1" x14ac:dyDescent="0.2">
      <c r="A636" s="1">
        <v>8909838731</v>
      </c>
      <c r="B636" s="1">
        <v>890983873</v>
      </c>
      <c r="C636" s="9">
        <v>219005490</v>
      </c>
      <c r="D636" s="10" t="s">
        <v>112</v>
      </c>
      <c r="E636" s="52" t="s">
        <v>1143</v>
      </c>
      <c r="F636" s="21"/>
      <c r="G636" s="59"/>
      <c r="H636" s="21"/>
      <c r="I636" s="59"/>
      <c r="J636" s="21"/>
      <c r="K636" s="21"/>
      <c r="L636" s="59"/>
      <c r="M636" s="60"/>
      <c r="N636" s="21"/>
      <c r="O636" s="59"/>
      <c r="P636" s="21"/>
      <c r="Q636" s="59"/>
      <c r="R636" s="21"/>
      <c r="S636" s="21"/>
      <c r="T636" s="59"/>
      <c r="U636" s="60">
        <f t="shared" si="83"/>
        <v>0</v>
      </c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>
        <v>737229400</v>
      </c>
      <c r="AZ636" s="60"/>
      <c r="BA636" s="60">
        <f>VLOOKUP(B636,[2]Hoja3!J$3:K$674,2,0)</f>
        <v>987459059</v>
      </c>
      <c r="BB636" s="60"/>
      <c r="BC636" s="61">
        <f t="shared" si="84"/>
        <v>1724688459</v>
      </c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>
        <v>147445880</v>
      </c>
      <c r="BO636" s="60"/>
      <c r="BP636" s="61">
        <v>1872134339</v>
      </c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>
        <v>147445880</v>
      </c>
      <c r="CD636" s="61"/>
      <c r="CE636" s="61"/>
      <c r="CF636" s="61"/>
      <c r="CG636" s="61">
        <f t="shared" si="85"/>
        <v>2019580219</v>
      </c>
      <c r="CH636" s="62">
        <f>VLOOKUP(B636,[1]RPTNCT049_ConsultaSaldosContabl!I$4:K$7987,3,0)</f>
        <v>1032121160</v>
      </c>
      <c r="CI636" s="62">
        <f t="shared" si="86"/>
        <v>987459059</v>
      </c>
      <c r="CJ636" s="63">
        <f t="shared" si="87"/>
        <v>2019580219</v>
      </c>
      <c r="CK636" s="64">
        <f t="shared" si="88"/>
        <v>0</v>
      </c>
      <c r="CL636" s="16"/>
      <c r="CM636" s="16"/>
      <c r="CN636" s="16"/>
    </row>
    <row r="637" spans="1:96" ht="15" customHeight="1" x14ac:dyDescent="0.2">
      <c r="A637" s="1">
        <v>8908011352</v>
      </c>
      <c r="B637" s="1">
        <v>890801135</v>
      </c>
      <c r="C637" s="9">
        <v>218617486</v>
      </c>
      <c r="D637" s="10" t="s">
        <v>348</v>
      </c>
      <c r="E637" s="52" t="s">
        <v>1378</v>
      </c>
      <c r="F637" s="21"/>
      <c r="G637" s="59"/>
      <c r="H637" s="21"/>
      <c r="I637" s="59"/>
      <c r="J637" s="21"/>
      <c r="K637" s="21"/>
      <c r="L637" s="59"/>
      <c r="M637" s="60"/>
      <c r="N637" s="21"/>
      <c r="O637" s="59"/>
      <c r="P637" s="21"/>
      <c r="Q637" s="59"/>
      <c r="R637" s="21"/>
      <c r="S637" s="21"/>
      <c r="T637" s="59"/>
      <c r="U637" s="60">
        <f t="shared" si="83"/>
        <v>0</v>
      </c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>
        <v>304110971</v>
      </c>
      <c r="AN637" s="60">
        <f t="shared" ref="AN637:AN643" si="91">SUBTOTAL(9,AC637:AM637)</f>
        <v>304110971</v>
      </c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>
        <v>152538550</v>
      </c>
      <c r="AZ637" s="60"/>
      <c r="BA637" s="60"/>
      <c r="BB637" s="60"/>
      <c r="BC637" s="61">
        <f t="shared" si="84"/>
        <v>456649521</v>
      </c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>
        <v>30507710</v>
      </c>
      <c r="BO637" s="60"/>
      <c r="BP637" s="61">
        <v>487157231</v>
      </c>
      <c r="BQ637" s="61"/>
      <c r="BR637" s="61"/>
      <c r="BS637" s="61"/>
      <c r="BT637" s="61"/>
      <c r="BU637" s="61"/>
      <c r="BV637" s="61"/>
      <c r="BW637" s="61"/>
      <c r="BX637" s="61"/>
      <c r="BY637" s="61"/>
      <c r="BZ637" s="61"/>
      <c r="CA637" s="61"/>
      <c r="CB637" s="61"/>
      <c r="CC637" s="61">
        <v>30507710</v>
      </c>
      <c r="CD637" s="61"/>
      <c r="CE637" s="61"/>
      <c r="CF637" s="61"/>
      <c r="CG637" s="61">
        <f t="shared" si="85"/>
        <v>517664941</v>
      </c>
      <c r="CH637" s="62">
        <f>VLOOKUP(B637,[1]RPTNCT049_ConsultaSaldosContabl!I$4:K$7987,3,0)</f>
        <v>213553970</v>
      </c>
      <c r="CI637" s="62">
        <f t="shared" si="86"/>
        <v>304110971</v>
      </c>
      <c r="CJ637" s="63">
        <f t="shared" si="87"/>
        <v>517664941</v>
      </c>
      <c r="CK637" s="64">
        <f t="shared" si="88"/>
        <v>0</v>
      </c>
      <c r="CL637" s="16"/>
      <c r="CM637" s="16"/>
      <c r="CN637" s="16"/>
    </row>
    <row r="638" spans="1:96" ht="15" customHeight="1" x14ac:dyDescent="0.2">
      <c r="A638" s="1">
        <v>8999993661</v>
      </c>
      <c r="B638" s="1">
        <v>899999366</v>
      </c>
      <c r="C638" s="9">
        <v>218625486</v>
      </c>
      <c r="D638" s="10" t="s">
        <v>515</v>
      </c>
      <c r="E638" s="52" t="s">
        <v>1541</v>
      </c>
      <c r="F638" s="21"/>
      <c r="G638" s="59"/>
      <c r="H638" s="21"/>
      <c r="I638" s="59"/>
      <c r="J638" s="21"/>
      <c r="K638" s="21"/>
      <c r="L638" s="59"/>
      <c r="M638" s="60"/>
      <c r="N638" s="21"/>
      <c r="O638" s="59"/>
      <c r="P638" s="21"/>
      <c r="Q638" s="59"/>
      <c r="R638" s="21"/>
      <c r="S638" s="21"/>
      <c r="T638" s="59"/>
      <c r="U638" s="60">
        <f t="shared" si="83"/>
        <v>0</v>
      </c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>
        <v>185657928</v>
      </c>
      <c r="AN638" s="60">
        <f t="shared" si="91"/>
        <v>185657928</v>
      </c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>
        <v>78746685</v>
      </c>
      <c r="AZ638" s="60"/>
      <c r="BA638" s="60"/>
      <c r="BB638" s="60"/>
      <c r="BC638" s="61">
        <f t="shared" si="84"/>
        <v>264404613</v>
      </c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>
        <v>15749337</v>
      </c>
      <c r="BO638" s="60"/>
      <c r="BP638" s="61">
        <v>280153950</v>
      </c>
      <c r="BQ638" s="61"/>
      <c r="BR638" s="61"/>
      <c r="BS638" s="61"/>
      <c r="BT638" s="61"/>
      <c r="BU638" s="61"/>
      <c r="BV638" s="61"/>
      <c r="BW638" s="61"/>
      <c r="BX638" s="61"/>
      <c r="BY638" s="61"/>
      <c r="BZ638" s="61"/>
      <c r="CA638" s="61"/>
      <c r="CB638" s="61"/>
      <c r="CC638" s="61">
        <v>15749337</v>
      </c>
      <c r="CD638" s="61"/>
      <c r="CE638" s="61"/>
      <c r="CF638" s="61"/>
      <c r="CG638" s="61">
        <f t="shared" si="85"/>
        <v>295903287</v>
      </c>
      <c r="CH638" s="62">
        <f>VLOOKUP(B638,[1]RPTNCT049_ConsultaSaldosContabl!I$4:K$7987,3,0)</f>
        <v>110245359</v>
      </c>
      <c r="CI638" s="62">
        <f t="shared" si="86"/>
        <v>185657928</v>
      </c>
      <c r="CJ638" s="63">
        <f t="shared" si="87"/>
        <v>295903287</v>
      </c>
      <c r="CK638" s="64">
        <f t="shared" si="88"/>
        <v>0</v>
      </c>
      <c r="CL638" s="16"/>
      <c r="CM638" s="16"/>
      <c r="CN638" s="16"/>
    </row>
    <row r="639" spans="1:96" ht="15" customHeight="1" x14ac:dyDescent="0.2">
      <c r="A639" s="1">
        <v>8999997078</v>
      </c>
      <c r="B639" s="1">
        <v>899999707</v>
      </c>
      <c r="C639" s="9">
        <v>218825488</v>
      </c>
      <c r="D639" s="10" t="s">
        <v>516</v>
      </c>
      <c r="E639" s="52" t="s">
        <v>1542</v>
      </c>
      <c r="F639" s="21"/>
      <c r="G639" s="59"/>
      <c r="H639" s="21"/>
      <c r="I639" s="59"/>
      <c r="J639" s="21"/>
      <c r="K639" s="21"/>
      <c r="L639" s="59"/>
      <c r="M639" s="60"/>
      <c r="N639" s="21"/>
      <c r="O639" s="59"/>
      <c r="P639" s="21"/>
      <c r="Q639" s="59"/>
      <c r="R639" s="21"/>
      <c r="S639" s="21"/>
      <c r="T639" s="59"/>
      <c r="U639" s="60">
        <f t="shared" si="83"/>
        <v>0</v>
      </c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>
        <v>112928578</v>
      </c>
      <c r="AN639" s="60">
        <f t="shared" si="91"/>
        <v>112928578</v>
      </c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>
        <v>39706160</v>
      </c>
      <c r="AZ639" s="60"/>
      <c r="BA639" s="60"/>
      <c r="BB639" s="60"/>
      <c r="BC639" s="61">
        <f t="shared" si="84"/>
        <v>152634738</v>
      </c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>
        <v>7941232</v>
      </c>
      <c r="BO639" s="60"/>
      <c r="BP639" s="61">
        <v>160575970</v>
      </c>
      <c r="BQ639" s="61"/>
      <c r="BR639" s="61"/>
      <c r="BS639" s="61"/>
      <c r="BT639" s="61"/>
      <c r="BU639" s="61"/>
      <c r="BV639" s="61"/>
      <c r="BW639" s="61"/>
      <c r="BX639" s="61"/>
      <c r="BY639" s="61"/>
      <c r="BZ639" s="61"/>
      <c r="CA639" s="61"/>
      <c r="CB639" s="61"/>
      <c r="CC639" s="61">
        <v>7941232</v>
      </c>
      <c r="CD639" s="61"/>
      <c r="CE639" s="61"/>
      <c r="CF639" s="61"/>
      <c r="CG639" s="61">
        <f t="shared" si="85"/>
        <v>168517202</v>
      </c>
      <c r="CH639" s="62">
        <f>VLOOKUP(B639,[1]RPTNCT049_ConsultaSaldosContabl!I$4:K$7987,3,0)</f>
        <v>55588624</v>
      </c>
      <c r="CI639" s="62">
        <f t="shared" si="86"/>
        <v>112928578</v>
      </c>
      <c r="CJ639" s="63">
        <f t="shared" si="87"/>
        <v>168517202</v>
      </c>
      <c r="CK639" s="64">
        <f t="shared" si="88"/>
        <v>0</v>
      </c>
      <c r="CL639" s="16"/>
      <c r="CM639" s="16"/>
      <c r="CN639" s="16"/>
    </row>
    <row r="640" spans="1:96" ht="15" customHeight="1" x14ac:dyDescent="0.2">
      <c r="A640" s="1">
        <v>8000947138</v>
      </c>
      <c r="B640" s="1">
        <v>800094713</v>
      </c>
      <c r="C640" s="9">
        <v>218925489</v>
      </c>
      <c r="D640" s="10" t="s">
        <v>517</v>
      </c>
      <c r="E640" s="52" t="s">
        <v>1543</v>
      </c>
      <c r="F640" s="21"/>
      <c r="G640" s="59"/>
      <c r="H640" s="21"/>
      <c r="I640" s="59"/>
      <c r="J640" s="21"/>
      <c r="K640" s="21"/>
      <c r="L640" s="59"/>
      <c r="M640" s="60"/>
      <c r="N640" s="21"/>
      <c r="O640" s="59"/>
      <c r="P640" s="21"/>
      <c r="Q640" s="59"/>
      <c r="R640" s="21"/>
      <c r="S640" s="21"/>
      <c r="T640" s="59"/>
      <c r="U640" s="60">
        <f t="shared" si="83"/>
        <v>0</v>
      </c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>
        <v>45757333</v>
      </c>
      <c r="AN640" s="60">
        <f t="shared" si="91"/>
        <v>45757333</v>
      </c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1">
        <f t="shared" si="84"/>
        <v>45757333</v>
      </c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>
        <v>0</v>
      </c>
      <c r="BO640" s="60"/>
      <c r="BP640" s="61">
        <v>45757333</v>
      </c>
      <c r="BQ640" s="61"/>
      <c r="BR640" s="61"/>
      <c r="BS640" s="61"/>
      <c r="BT640" s="61"/>
      <c r="BU640" s="61"/>
      <c r="BV640" s="61"/>
      <c r="BW640" s="61"/>
      <c r="BX640" s="61"/>
      <c r="BY640" s="61"/>
      <c r="BZ640" s="61"/>
      <c r="CA640" s="61"/>
      <c r="CB640" s="61"/>
      <c r="CC640" s="61">
        <v>35685300</v>
      </c>
      <c r="CD640" s="61"/>
      <c r="CE640" s="61"/>
      <c r="CF640" s="61"/>
      <c r="CG640" s="61">
        <f t="shared" si="85"/>
        <v>81442633</v>
      </c>
      <c r="CH640" s="62">
        <f>VLOOKUP(B640,[1]RPTNCT049_ConsultaSaldosContabl!I$4:K$7987,3,0)</f>
        <v>35685300</v>
      </c>
      <c r="CI640" s="62">
        <f t="shared" si="86"/>
        <v>45757333</v>
      </c>
      <c r="CJ640" s="63">
        <f t="shared" si="87"/>
        <v>81442633</v>
      </c>
      <c r="CK640" s="64">
        <f t="shared" si="88"/>
        <v>0</v>
      </c>
      <c r="CL640" s="16"/>
      <c r="CM640" s="16"/>
      <c r="CN640" s="16"/>
    </row>
    <row r="641" spans="1:96" ht="15" customHeight="1" x14ac:dyDescent="0.2">
      <c r="A641" s="1">
        <v>8918552220</v>
      </c>
      <c r="B641" s="1">
        <v>891855222</v>
      </c>
      <c r="C641" s="9">
        <v>219115491</v>
      </c>
      <c r="D641" s="10" t="s">
        <v>274</v>
      </c>
      <c r="E641" s="52" t="s">
        <v>1308</v>
      </c>
      <c r="F641" s="21"/>
      <c r="G641" s="59"/>
      <c r="H641" s="21"/>
      <c r="I641" s="59"/>
      <c r="J641" s="21"/>
      <c r="K641" s="21"/>
      <c r="L641" s="59"/>
      <c r="M641" s="60"/>
      <c r="N641" s="21"/>
      <c r="O641" s="59"/>
      <c r="P641" s="21"/>
      <c r="Q641" s="59"/>
      <c r="R641" s="21"/>
      <c r="S641" s="21"/>
      <c r="T641" s="59"/>
      <c r="U641" s="60">
        <f t="shared" si="83"/>
        <v>0</v>
      </c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>
        <v>170307014</v>
      </c>
      <c r="AN641" s="60">
        <f t="shared" si="91"/>
        <v>170307014</v>
      </c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>
        <v>82781895</v>
      </c>
      <c r="AZ641" s="60"/>
      <c r="BA641" s="60"/>
      <c r="BB641" s="60"/>
      <c r="BC641" s="61">
        <f t="shared" si="84"/>
        <v>253088909</v>
      </c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>
        <v>16556379</v>
      </c>
      <c r="BO641" s="60"/>
      <c r="BP641" s="61">
        <v>269645288</v>
      </c>
      <c r="BQ641" s="61"/>
      <c r="BR641" s="61"/>
      <c r="BS641" s="61"/>
      <c r="BT641" s="61"/>
      <c r="BU641" s="61"/>
      <c r="BV641" s="61"/>
      <c r="BW641" s="61"/>
      <c r="BX641" s="61"/>
      <c r="BY641" s="61"/>
      <c r="BZ641" s="61"/>
      <c r="CA641" s="61"/>
      <c r="CB641" s="61"/>
      <c r="CC641" s="61">
        <v>16556379</v>
      </c>
      <c r="CD641" s="61"/>
      <c r="CE641" s="61"/>
      <c r="CF641" s="61"/>
      <c r="CG641" s="61">
        <f t="shared" si="85"/>
        <v>286201667</v>
      </c>
      <c r="CH641" s="62">
        <f>VLOOKUP(B641,[1]RPTNCT049_ConsultaSaldosContabl!I$4:K$7987,3,0)</f>
        <v>115894653</v>
      </c>
      <c r="CI641" s="62">
        <f t="shared" si="86"/>
        <v>170307014</v>
      </c>
      <c r="CJ641" s="63">
        <f t="shared" si="87"/>
        <v>286201667</v>
      </c>
      <c r="CK641" s="64">
        <f t="shared" si="88"/>
        <v>0</v>
      </c>
      <c r="CL641" s="16"/>
      <c r="CM641" s="8"/>
      <c r="CN641" s="8"/>
      <c r="CO641" s="8"/>
      <c r="CP641" s="8"/>
      <c r="CQ641" s="8"/>
      <c r="CR641" s="8"/>
    </row>
    <row r="642" spans="1:96" ht="15" customHeight="1" x14ac:dyDescent="0.2">
      <c r="A642" s="1">
        <v>8999997189</v>
      </c>
      <c r="B642" s="1">
        <v>899999718</v>
      </c>
      <c r="C642" s="9">
        <v>219125491</v>
      </c>
      <c r="D642" s="10" t="s">
        <v>518</v>
      </c>
      <c r="E642" s="52" t="s">
        <v>1544</v>
      </c>
      <c r="F642" s="21"/>
      <c r="G642" s="59"/>
      <c r="H642" s="21"/>
      <c r="I642" s="59"/>
      <c r="J642" s="21"/>
      <c r="K642" s="21"/>
      <c r="L642" s="59"/>
      <c r="M642" s="60"/>
      <c r="N642" s="21"/>
      <c r="O642" s="59"/>
      <c r="P642" s="21"/>
      <c r="Q642" s="59"/>
      <c r="R642" s="21"/>
      <c r="S642" s="21"/>
      <c r="T642" s="59"/>
      <c r="U642" s="60">
        <f t="shared" si="83"/>
        <v>0</v>
      </c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>
        <v>75925825</v>
      </c>
      <c r="AN642" s="60">
        <f t="shared" si="91"/>
        <v>75925825</v>
      </c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1">
        <f t="shared" si="84"/>
        <v>75925825</v>
      </c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>
        <v>0</v>
      </c>
      <c r="BO642" s="60"/>
      <c r="BP642" s="61">
        <v>75925825</v>
      </c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  <c r="CA642" s="61"/>
      <c r="CB642" s="61"/>
      <c r="CC642" s="61">
        <v>58925286</v>
      </c>
      <c r="CD642" s="61"/>
      <c r="CE642" s="61"/>
      <c r="CF642" s="61"/>
      <c r="CG642" s="61">
        <f t="shared" si="85"/>
        <v>134851111</v>
      </c>
      <c r="CH642" s="62">
        <f>VLOOKUP(B642,[1]RPTNCT049_ConsultaSaldosContabl!I$4:K$7987,3,0)</f>
        <v>58925286</v>
      </c>
      <c r="CI642" s="62">
        <f t="shared" si="86"/>
        <v>75925825</v>
      </c>
      <c r="CJ642" s="63">
        <f t="shared" si="87"/>
        <v>134851111</v>
      </c>
      <c r="CK642" s="64">
        <f t="shared" si="88"/>
        <v>0</v>
      </c>
      <c r="CL642" s="16"/>
      <c r="CM642" s="16"/>
      <c r="CN642" s="16"/>
    </row>
    <row r="643" spans="1:96" ht="15" customHeight="1" x14ac:dyDescent="0.2">
      <c r="A643" s="1">
        <v>8100029635</v>
      </c>
      <c r="B643" s="1">
        <v>810002963</v>
      </c>
      <c r="C643" s="9">
        <v>219517495</v>
      </c>
      <c r="D643" s="10" t="s">
        <v>349</v>
      </c>
      <c r="E643" s="52" t="s">
        <v>1379</v>
      </c>
      <c r="F643" s="21"/>
      <c r="G643" s="59"/>
      <c r="H643" s="21"/>
      <c r="I643" s="59"/>
      <c r="J643" s="21"/>
      <c r="K643" s="21"/>
      <c r="L643" s="59"/>
      <c r="M643" s="60"/>
      <c r="N643" s="21"/>
      <c r="O643" s="59"/>
      <c r="P643" s="21"/>
      <c r="Q643" s="59"/>
      <c r="R643" s="21"/>
      <c r="S643" s="21"/>
      <c r="T643" s="59"/>
      <c r="U643" s="60">
        <f t="shared" ref="U643:U706" si="92">SUM(M643:T643)</f>
        <v>0</v>
      </c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>
        <v>104796373</v>
      </c>
      <c r="AN643" s="60">
        <f t="shared" si="91"/>
        <v>104796373</v>
      </c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>
        <v>50079530</v>
      </c>
      <c r="AZ643" s="60"/>
      <c r="BA643" s="60"/>
      <c r="BB643" s="60"/>
      <c r="BC643" s="61">
        <f t="shared" si="84"/>
        <v>154875903</v>
      </c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>
        <v>10015906</v>
      </c>
      <c r="BO643" s="60"/>
      <c r="BP643" s="61">
        <v>164891809</v>
      </c>
      <c r="BQ643" s="61"/>
      <c r="BR643" s="61"/>
      <c r="BS643" s="61"/>
      <c r="BT643" s="61"/>
      <c r="BU643" s="61"/>
      <c r="BV643" s="61"/>
      <c r="BW643" s="61"/>
      <c r="BX643" s="61"/>
      <c r="BY643" s="61"/>
      <c r="BZ643" s="61"/>
      <c r="CA643" s="61"/>
      <c r="CB643" s="61"/>
      <c r="CC643" s="61">
        <v>10015906</v>
      </c>
      <c r="CD643" s="61"/>
      <c r="CE643" s="61"/>
      <c r="CF643" s="61"/>
      <c r="CG643" s="61">
        <f t="shared" si="85"/>
        <v>174907715</v>
      </c>
      <c r="CH643" s="62">
        <f>VLOOKUP(B643,[1]RPTNCT049_ConsultaSaldosContabl!I$4:K$7987,3,0)</f>
        <v>70111342</v>
      </c>
      <c r="CI643" s="62">
        <f t="shared" si="86"/>
        <v>104796373</v>
      </c>
      <c r="CJ643" s="63">
        <f t="shared" si="87"/>
        <v>174907715</v>
      </c>
      <c r="CK643" s="64">
        <f t="shared" si="88"/>
        <v>0</v>
      </c>
      <c r="CL643" s="16"/>
      <c r="CM643" s="16"/>
      <c r="CN643" s="16"/>
    </row>
    <row r="644" spans="1:96" ht="15" customHeight="1" x14ac:dyDescent="0.2">
      <c r="A644" s="1">
        <v>9001928336</v>
      </c>
      <c r="B644" s="1">
        <v>900192833</v>
      </c>
      <c r="C644" s="9">
        <v>923271489</v>
      </c>
      <c r="D644" s="10" t="s">
        <v>216</v>
      </c>
      <c r="E644" s="52" t="s">
        <v>1251</v>
      </c>
      <c r="F644" s="21"/>
      <c r="G644" s="59"/>
      <c r="H644" s="21"/>
      <c r="I644" s="59"/>
      <c r="J644" s="21"/>
      <c r="K644" s="21"/>
      <c r="L644" s="59"/>
      <c r="M644" s="60"/>
      <c r="N644" s="21"/>
      <c r="O644" s="59"/>
      <c r="P644" s="21"/>
      <c r="Q644" s="59"/>
      <c r="R644" s="21"/>
      <c r="S644" s="21"/>
      <c r="T644" s="59"/>
      <c r="U644" s="60">
        <f t="shared" si="92"/>
        <v>0</v>
      </c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1">
        <f t="shared" ref="BC644:BC707" si="93">SUM(AN644:BA644)-BB644</f>
        <v>0</v>
      </c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>
        <v>0</v>
      </c>
      <c r="BO644" s="60"/>
      <c r="BP644" s="60">
        <v>0</v>
      </c>
      <c r="BQ644" s="61"/>
      <c r="BR644" s="61"/>
      <c r="BS644" s="61"/>
      <c r="BT644" s="61"/>
      <c r="BU644" s="61"/>
      <c r="BV644" s="61"/>
      <c r="BW644" s="61"/>
      <c r="BX644" s="61"/>
      <c r="BY644" s="61"/>
      <c r="BZ644" s="61"/>
      <c r="CA644" s="61"/>
      <c r="CB644" s="61"/>
      <c r="CC644" s="61">
        <v>23036017</v>
      </c>
      <c r="CD644" s="61">
        <v>138216102</v>
      </c>
      <c r="CE644" s="61"/>
      <c r="CF644" s="61"/>
      <c r="CG644" s="61">
        <f t="shared" ref="CG644:CG707" si="94">SUM(BP644:CF644)</f>
        <v>161252119</v>
      </c>
      <c r="CH644" s="62">
        <f>VLOOKUP(B644,[1]RPTNCT049_ConsultaSaldosContabl!I$4:K$7987,3,0)</f>
        <v>161252119</v>
      </c>
      <c r="CI644" s="62">
        <f t="shared" ref="CI644:CI707" si="95">+AM644+BA644-BB644+BO644+CE644+CF644</f>
        <v>0</v>
      </c>
      <c r="CJ644" s="63">
        <f t="shared" ref="CJ644:CJ707" si="96">+CH644+CI644</f>
        <v>161252119</v>
      </c>
      <c r="CK644" s="64">
        <f t="shared" ref="CK644:CK707" si="97">+CG644-CJ644</f>
        <v>0</v>
      </c>
      <c r="CL644" s="16"/>
      <c r="CM644" s="8"/>
      <c r="CN644" s="8"/>
      <c r="CO644" s="8"/>
      <c r="CP644" s="8"/>
      <c r="CQ644" s="8"/>
      <c r="CR644" s="8"/>
    </row>
    <row r="645" spans="1:96" ht="15" customHeight="1" x14ac:dyDescent="0.2">
      <c r="A645" s="1">
        <v>8916800751</v>
      </c>
      <c r="B645" s="1">
        <v>891680075</v>
      </c>
      <c r="C645" s="9">
        <v>219127491</v>
      </c>
      <c r="D645" s="10" t="s">
        <v>585</v>
      </c>
      <c r="E645" s="52" t="s">
        <v>1606</v>
      </c>
      <c r="F645" s="21"/>
      <c r="G645" s="59"/>
      <c r="H645" s="21"/>
      <c r="I645" s="59"/>
      <c r="J645" s="21"/>
      <c r="K645" s="21"/>
      <c r="L645" s="59"/>
      <c r="M645" s="60"/>
      <c r="N645" s="21"/>
      <c r="O645" s="59"/>
      <c r="P645" s="21"/>
      <c r="Q645" s="59"/>
      <c r="R645" s="21"/>
      <c r="S645" s="21"/>
      <c r="T645" s="59"/>
      <c r="U645" s="60">
        <f t="shared" si="92"/>
        <v>0</v>
      </c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>
        <v>147440618</v>
      </c>
      <c r="AN645" s="60">
        <f>SUBTOTAL(9,AC645:AM645)</f>
        <v>147440618</v>
      </c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>
        <v>87852735</v>
      </c>
      <c r="AZ645" s="60"/>
      <c r="BA645" s="60"/>
      <c r="BB645" s="60"/>
      <c r="BC645" s="61">
        <f t="shared" si="93"/>
        <v>235293353</v>
      </c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>
        <v>17570547</v>
      </c>
      <c r="BO645" s="60"/>
      <c r="BP645" s="61">
        <v>252863900</v>
      </c>
      <c r="BQ645" s="61"/>
      <c r="BR645" s="61"/>
      <c r="BS645" s="61"/>
      <c r="BT645" s="61"/>
      <c r="BU645" s="61"/>
      <c r="BV645" s="61"/>
      <c r="BW645" s="61"/>
      <c r="BX645" s="61"/>
      <c r="BY645" s="61"/>
      <c r="BZ645" s="61"/>
      <c r="CA645" s="61"/>
      <c r="CB645" s="61"/>
      <c r="CC645" s="61">
        <v>17570547</v>
      </c>
      <c r="CD645" s="61"/>
      <c r="CE645" s="61"/>
      <c r="CF645" s="61"/>
      <c r="CG645" s="61">
        <f t="shared" si="94"/>
        <v>270434447</v>
      </c>
      <c r="CH645" s="62">
        <f>VLOOKUP(B645,[1]RPTNCT049_ConsultaSaldosContabl!I$4:K$7987,3,0)</f>
        <v>122993829</v>
      </c>
      <c r="CI645" s="62">
        <f t="shared" si="95"/>
        <v>147440618</v>
      </c>
      <c r="CJ645" s="63">
        <f t="shared" si="96"/>
        <v>270434447</v>
      </c>
      <c r="CK645" s="64">
        <f t="shared" si="97"/>
        <v>0</v>
      </c>
      <c r="CL645" s="16"/>
      <c r="CM645" s="16"/>
      <c r="CN645" s="16"/>
    </row>
    <row r="646" spans="1:96" ht="15" customHeight="1" x14ac:dyDescent="0.2">
      <c r="A646" s="1">
        <v>8190038490</v>
      </c>
      <c r="B646" s="1">
        <v>819003849</v>
      </c>
      <c r="C646" s="9">
        <v>216047460</v>
      </c>
      <c r="D646" s="10" t="s">
        <v>650</v>
      </c>
      <c r="E646" s="52" t="s">
        <v>1669</v>
      </c>
      <c r="F646" s="21"/>
      <c r="G646" s="59"/>
      <c r="H646" s="21"/>
      <c r="I646" s="59"/>
      <c r="J646" s="21"/>
      <c r="K646" s="21"/>
      <c r="L646" s="59"/>
      <c r="M646" s="60"/>
      <c r="N646" s="21"/>
      <c r="O646" s="59"/>
      <c r="P646" s="21"/>
      <c r="Q646" s="59"/>
      <c r="R646" s="21"/>
      <c r="S646" s="21"/>
      <c r="T646" s="59"/>
      <c r="U646" s="60">
        <f t="shared" si="92"/>
        <v>0</v>
      </c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>
        <v>457040619</v>
      </c>
      <c r="AN646" s="60">
        <f>SUBTOTAL(9,AC646:AM646)</f>
        <v>457040619</v>
      </c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>
        <v>348953560</v>
      </c>
      <c r="AZ646" s="60"/>
      <c r="BA646" s="60"/>
      <c r="BB646" s="60"/>
      <c r="BC646" s="61">
        <f t="shared" si="93"/>
        <v>805994179</v>
      </c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>
        <v>69790712</v>
      </c>
      <c r="BO646" s="60"/>
      <c r="BP646" s="61">
        <v>875784891</v>
      </c>
      <c r="BQ646" s="61"/>
      <c r="BR646" s="61"/>
      <c r="BS646" s="61"/>
      <c r="BT646" s="61"/>
      <c r="BU646" s="61"/>
      <c r="BV646" s="61"/>
      <c r="BW646" s="61"/>
      <c r="BX646" s="61"/>
      <c r="BY646" s="61"/>
      <c r="BZ646" s="61"/>
      <c r="CA646" s="61"/>
      <c r="CB646" s="61"/>
      <c r="CC646" s="61">
        <v>69790712</v>
      </c>
      <c r="CD646" s="61"/>
      <c r="CE646" s="61"/>
      <c r="CF646" s="61"/>
      <c r="CG646" s="61">
        <f t="shared" si="94"/>
        <v>945575603</v>
      </c>
      <c r="CH646" s="62">
        <f>VLOOKUP(B646,[1]RPTNCT049_ConsultaSaldosContabl!I$4:K$7987,3,0)</f>
        <v>488534984</v>
      </c>
      <c r="CI646" s="62">
        <f t="shared" si="95"/>
        <v>457040619</v>
      </c>
      <c r="CJ646" s="63">
        <f t="shared" si="96"/>
        <v>945575603</v>
      </c>
      <c r="CK646" s="64">
        <f t="shared" si="97"/>
        <v>0</v>
      </c>
      <c r="CL646" s="16"/>
      <c r="CM646" s="16"/>
      <c r="CN646" s="16"/>
    </row>
    <row r="647" spans="1:96" ht="15" customHeight="1" x14ac:dyDescent="0.2">
      <c r="A647" s="1">
        <v>8000330620</v>
      </c>
      <c r="B647" s="1">
        <v>800033062</v>
      </c>
      <c r="C647" s="9">
        <v>219415494</v>
      </c>
      <c r="D647" s="10" t="s">
        <v>275</v>
      </c>
      <c r="E647" s="52" t="s">
        <v>1309</v>
      </c>
      <c r="F647" s="21"/>
      <c r="G647" s="59"/>
      <c r="H647" s="21"/>
      <c r="I647" s="59"/>
      <c r="J647" s="21"/>
      <c r="K647" s="21"/>
      <c r="L647" s="59"/>
      <c r="M647" s="60"/>
      <c r="N647" s="21"/>
      <c r="O647" s="59"/>
      <c r="P647" s="21"/>
      <c r="Q647" s="59"/>
      <c r="R647" s="21"/>
      <c r="S647" s="21"/>
      <c r="T647" s="59"/>
      <c r="U647" s="60">
        <f t="shared" si="92"/>
        <v>0</v>
      </c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>
        <v>32205025</v>
      </c>
      <c r="AZ647" s="60"/>
      <c r="BA647" s="60">
        <f>VLOOKUP(B647,[2]Hoja3!J$3:K$674,2,0)</f>
        <v>78183956</v>
      </c>
      <c r="BB647" s="60"/>
      <c r="BC647" s="61">
        <f t="shared" si="93"/>
        <v>110388981</v>
      </c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>
        <v>6441005</v>
      </c>
      <c r="BO647" s="60"/>
      <c r="BP647" s="61">
        <v>116829986</v>
      </c>
      <c r="BQ647" s="61"/>
      <c r="BR647" s="61"/>
      <c r="BS647" s="61"/>
      <c r="BT647" s="61"/>
      <c r="BU647" s="61"/>
      <c r="BV647" s="61"/>
      <c r="BW647" s="61"/>
      <c r="BX647" s="61"/>
      <c r="BY647" s="61"/>
      <c r="BZ647" s="61"/>
      <c r="CA647" s="61"/>
      <c r="CB647" s="61"/>
      <c r="CC647" s="61">
        <v>6441005</v>
      </c>
      <c r="CD647" s="61"/>
      <c r="CE647" s="61"/>
      <c r="CF647" s="61"/>
      <c r="CG647" s="61">
        <f t="shared" si="94"/>
        <v>123270991</v>
      </c>
      <c r="CH647" s="62">
        <f>VLOOKUP(B647,[1]RPTNCT049_ConsultaSaldosContabl!I$4:K$7987,3,0)</f>
        <v>45087035</v>
      </c>
      <c r="CI647" s="62">
        <f t="shared" si="95"/>
        <v>78183956</v>
      </c>
      <c r="CJ647" s="63">
        <f t="shared" si="96"/>
        <v>123270991</v>
      </c>
      <c r="CK647" s="64">
        <f t="shared" si="97"/>
        <v>0</v>
      </c>
      <c r="CL647" s="16"/>
      <c r="CM647" s="8"/>
      <c r="CN647" s="8"/>
      <c r="CO647" s="8"/>
      <c r="CP647" s="8"/>
      <c r="CQ647" s="8"/>
      <c r="CR647" s="8"/>
    </row>
    <row r="648" spans="1:96" ht="15" customHeight="1" x14ac:dyDescent="0.2">
      <c r="A648" s="1">
        <v>8000994254</v>
      </c>
      <c r="B648" s="1">
        <v>800099425</v>
      </c>
      <c r="C648" s="9">
        <v>212585225</v>
      </c>
      <c r="D648" s="10" t="s">
        <v>962</v>
      </c>
      <c r="E648" s="52" t="s">
        <v>2022</v>
      </c>
      <c r="F648" s="21"/>
      <c r="G648" s="59"/>
      <c r="H648" s="21"/>
      <c r="I648" s="59"/>
      <c r="J648" s="21"/>
      <c r="K648" s="21"/>
      <c r="L648" s="59"/>
      <c r="M648" s="60"/>
      <c r="N648" s="21"/>
      <c r="O648" s="59"/>
      <c r="P648" s="21"/>
      <c r="Q648" s="59"/>
      <c r="R648" s="21"/>
      <c r="S648" s="21"/>
      <c r="T648" s="59"/>
      <c r="U648" s="60">
        <f t="shared" si="92"/>
        <v>0</v>
      </c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>
        <v>151967822</v>
      </c>
      <c r="AN648" s="60">
        <f t="shared" ref="AN648:AN654" si="98">SUBTOTAL(9,AC648:AM648)</f>
        <v>151967822</v>
      </c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>
        <v>93113975</v>
      </c>
      <c r="AZ648" s="60"/>
      <c r="BA648" s="60"/>
      <c r="BB648" s="60">
        <f>VLOOKUP(B648,'[3]anuladas en mayo gratuidad}'!K$2:L$55,2,0)</f>
        <v>43085208</v>
      </c>
      <c r="BC648" s="61">
        <f t="shared" si="93"/>
        <v>201996589</v>
      </c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>
        <v>18622795</v>
      </c>
      <c r="BO648" s="60"/>
      <c r="BP648" s="61">
        <v>220619384</v>
      </c>
      <c r="BQ648" s="61"/>
      <c r="BR648" s="61"/>
      <c r="BS648" s="61"/>
      <c r="BT648" s="61"/>
      <c r="BU648" s="61"/>
      <c r="BV648" s="61"/>
      <c r="BW648" s="61"/>
      <c r="BX648" s="61"/>
      <c r="BY648" s="61"/>
      <c r="BZ648" s="61"/>
      <c r="CA648" s="61"/>
      <c r="CB648" s="61"/>
      <c r="CC648" s="61">
        <v>18622795</v>
      </c>
      <c r="CD648" s="61"/>
      <c r="CE648" s="61"/>
      <c r="CF648" s="61"/>
      <c r="CG648" s="61">
        <f t="shared" si="94"/>
        <v>239242179</v>
      </c>
      <c r="CH648" s="62">
        <f>VLOOKUP(B648,[1]RPTNCT049_ConsultaSaldosContabl!I$4:K$7987,3,0)</f>
        <v>130359565</v>
      </c>
      <c r="CI648" s="62">
        <f t="shared" si="95"/>
        <v>108882614</v>
      </c>
      <c r="CJ648" s="63">
        <f t="shared" si="96"/>
        <v>239242179</v>
      </c>
      <c r="CK648" s="64">
        <f t="shared" si="97"/>
        <v>0</v>
      </c>
      <c r="CL648" s="16"/>
      <c r="CM648" s="16"/>
      <c r="CN648" s="16"/>
    </row>
    <row r="649" spans="1:96" ht="15" customHeight="1" x14ac:dyDescent="0.2">
      <c r="A649" s="1">
        <v>8916800769</v>
      </c>
      <c r="B649" s="1">
        <v>891680076</v>
      </c>
      <c r="C649" s="9">
        <v>219527495</v>
      </c>
      <c r="D649" s="10" t="s">
        <v>586</v>
      </c>
      <c r="E649" s="52" t="s">
        <v>1607</v>
      </c>
      <c r="F649" s="21"/>
      <c r="G649" s="59"/>
      <c r="H649" s="21"/>
      <c r="I649" s="59"/>
      <c r="J649" s="21"/>
      <c r="K649" s="21"/>
      <c r="L649" s="59"/>
      <c r="M649" s="60"/>
      <c r="N649" s="21"/>
      <c r="O649" s="59"/>
      <c r="P649" s="21"/>
      <c r="Q649" s="59"/>
      <c r="R649" s="21"/>
      <c r="S649" s="21"/>
      <c r="T649" s="59"/>
      <c r="U649" s="60">
        <f t="shared" si="92"/>
        <v>0</v>
      </c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>
        <v>106264205</v>
      </c>
      <c r="AN649" s="60">
        <f t="shared" si="98"/>
        <v>106264205</v>
      </c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>
        <v>78006510</v>
      </c>
      <c r="AZ649" s="60"/>
      <c r="BA649" s="60"/>
      <c r="BB649" s="60"/>
      <c r="BC649" s="61">
        <f t="shared" si="93"/>
        <v>184270715</v>
      </c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>
        <v>15601302</v>
      </c>
      <c r="BO649" s="60"/>
      <c r="BP649" s="61">
        <v>199872017</v>
      </c>
      <c r="BQ649" s="61"/>
      <c r="BR649" s="61"/>
      <c r="BS649" s="61"/>
      <c r="BT649" s="61"/>
      <c r="BU649" s="61"/>
      <c r="BV649" s="61"/>
      <c r="BW649" s="61"/>
      <c r="BX649" s="61"/>
      <c r="BY649" s="61"/>
      <c r="BZ649" s="61"/>
      <c r="CA649" s="61"/>
      <c r="CB649" s="61"/>
      <c r="CC649" s="61">
        <v>15601302</v>
      </c>
      <c r="CD649" s="61"/>
      <c r="CE649" s="61"/>
      <c r="CF649" s="61"/>
      <c r="CG649" s="61">
        <f t="shared" si="94"/>
        <v>215473319</v>
      </c>
      <c r="CH649" s="62">
        <f>VLOOKUP(B649,[1]RPTNCT049_ConsultaSaldosContabl!I$4:K$7987,3,0)</f>
        <v>109209114</v>
      </c>
      <c r="CI649" s="62">
        <f t="shared" si="95"/>
        <v>106264205</v>
      </c>
      <c r="CJ649" s="63">
        <f t="shared" si="96"/>
        <v>215473319</v>
      </c>
      <c r="CK649" s="64">
        <f t="shared" si="97"/>
        <v>0</v>
      </c>
      <c r="CL649" s="16"/>
      <c r="CM649" s="16"/>
      <c r="CN649" s="16"/>
    </row>
    <row r="650" spans="1:96" ht="15" customHeight="1" x14ac:dyDescent="0.2">
      <c r="A650" s="1">
        <v>8919009023</v>
      </c>
      <c r="B650" s="1">
        <v>891900902</v>
      </c>
      <c r="C650" s="9">
        <v>219776497</v>
      </c>
      <c r="D650" s="10" t="s">
        <v>933</v>
      </c>
      <c r="E650" s="52" t="s">
        <v>1993</v>
      </c>
      <c r="F650" s="21"/>
      <c r="G650" s="59"/>
      <c r="H650" s="21"/>
      <c r="I650" s="59"/>
      <c r="J650" s="21"/>
      <c r="K650" s="21"/>
      <c r="L650" s="59"/>
      <c r="M650" s="60"/>
      <c r="N650" s="21"/>
      <c r="O650" s="59"/>
      <c r="P650" s="21"/>
      <c r="Q650" s="59"/>
      <c r="R650" s="21"/>
      <c r="S650" s="21"/>
      <c r="T650" s="59"/>
      <c r="U650" s="60">
        <f t="shared" si="92"/>
        <v>0</v>
      </c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>
        <v>137452088</v>
      </c>
      <c r="AN650" s="60">
        <f t="shared" si="98"/>
        <v>137452088</v>
      </c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1">
        <f t="shared" si="93"/>
        <v>137452088</v>
      </c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>
        <v>0</v>
      </c>
      <c r="BO650" s="60"/>
      <c r="BP650" s="61">
        <v>137452088</v>
      </c>
      <c r="BQ650" s="61"/>
      <c r="BR650" s="61"/>
      <c r="BS650" s="61"/>
      <c r="BT650" s="61"/>
      <c r="BU650" s="61"/>
      <c r="BV650" s="61"/>
      <c r="BW650" s="61"/>
      <c r="BX650" s="61"/>
      <c r="BY650" s="61"/>
      <c r="BZ650" s="61"/>
      <c r="CA650" s="61"/>
      <c r="CB650" s="61"/>
      <c r="CC650" s="61">
        <v>128162587</v>
      </c>
      <c r="CD650" s="61"/>
      <c r="CE650" s="61"/>
      <c r="CF650" s="61"/>
      <c r="CG650" s="61">
        <f t="shared" si="94"/>
        <v>265614675</v>
      </c>
      <c r="CH650" s="62">
        <f>VLOOKUP(B650,[1]RPTNCT049_ConsultaSaldosContabl!I$4:K$7987,3,0)</f>
        <v>128162587</v>
      </c>
      <c r="CI650" s="62">
        <f t="shared" si="95"/>
        <v>137452088</v>
      </c>
      <c r="CJ650" s="63">
        <f t="shared" si="96"/>
        <v>265614675</v>
      </c>
      <c r="CK650" s="64">
        <f t="shared" si="97"/>
        <v>0</v>
      </c>
      <c r="CL650" s="16"/>
      <c r="CM650" s="16"/>
      <c r="CN650" s="16"/>
    </row>
    <row r="651" spans="1:96" ht="15" customHeight="1" x14ac:dyDescent="0.2">
      <c r="A651" s="1">
        <v>8902051245</v>
      </c>
      <c r="B651" s="1">
        <v>890205124</v>
      </c>
      <c r="C651" s="9">
        <v>219868498</v>
      </c>
      <c r="D651" s="10" t="s">
        <v>860</v>
      </c>
      <c r="E651" s="52" t="s">
        <v>1873</v>
      </c>
      <c r="F651" s="21"/>
      <c r="G651" s="59"/>
      <c r="H651" s="21"/>
      <c r="I651" s="59"/>
      <c r="J651" s="21"/>
      <c r="K651" s="21"/>
      <c r="L651" s="59"/>
      <c r="M651" s="60"/>
      <c r="N651" s="21"/>
      <c r="O651" s="59"/>
      <c r="P651" s="21"/>
      <c r="Q651" s="59"/>
      <c r="R651" s="21"/>
      <c r="S651" s="21"/>
      <c r="T651" s="59"/>
      <c r="U651" s="60">
        <f t="shared" si="92"/>
        <v>0</v>
      </c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>
        <v>34531235</v>
      </c>
      <c r="AN651" s="60">
        <f t="shared" si="98"/>
        <v>34531235</v>
      </c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>
        <v>28129820</v>
      </c>
      <c r="AZ651" s="60"/>
      <c r="BA651" s="60">
        <f>VLOOKUP(B651,[2]Hoja3!J$3:K$674,2,0)</f>
        <v>35875601</v>
      </c>
      <c r="BB651" s="60"/>
      <c r="BC651" s="61">
        <f t="shared" si="93"/>
        <v>98536656</v>
      </c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>
        <v>5625964</v>
      </c>
      <c r="BO651" s="60"/>
      <c r="BP651" s="61">
        <v>104162620</v>
      </c>
      <c r="BQ651" s="61"/>
      <c r="BR651" s="61"/>
      <c r="BS651" s="61"/>
      <c r="BT651" s="61"/>
      <c r="BU651" s="61"/>
      <c r="BV651" s="61"/>
      <c r="BW651" s="61"/>
      <c r="BX651" s="61"/>
      <c r="BY651" s="61"/>
      <c r="BZ651" s="61"/>
      <c r="CA651" s="61"/>
      <c r="CB651" s="61"/>
      <c r="CC651" s="61">
        <v>5625964</v>
      </c>
      <c r="CD651" s="61"/>
      <c r="CE651" s="61"/>
      <c r="CF651" s="61"/>
      <c r="CG651" s="61">
        <f t="shared" si="94"/>
        <v>109788584</v>
      </c>
      <c r="CH651" s="62">
        <f>VLOOKUP(B651,[1]RPTNCT049_ConsultaSaldosContabl!I$4:K$7987,3,0)</f>
        <v>39381748</v>
      </c>
      <c r="CI651" s="62">
        <f t="shared" si="95"/>
        <v>70406836</v>
      </c>
      <c r="CJ651" s="63">
        <f t="shared" si="96"/>
        <v>109788584</v>
      </c>
      <c r="CK651" s="64">
        <f t="shared" si="97"/>
        <v>0</v>
      </c>
      <c r="CL651" s="16"/>
      <c r="CM651" s="16"/>
      <c r="CN651" s="16"/>
    </row>
    <row r="652" spans="1:96" ht="15" customHeight="1" x14ac:dyDescent="0.2">
      <c r="A652" s="1">
        <v>8905011022</v>
      </c>
      <c r="B652" s="1">
        <v>890501102</v>
      </c>
      <c r="C652" s="9">
        <v>219854498</v>
      </c>
      <c r="D652" s="10" t="s">
        <v>774</v>
      </c>
      <c r="E652" s="52" t="s">
        <v>1791</v>
      </c>
      <c r="F652" s="21"/>
      <c r="G652" s="59"/>
      <c r="H652" s="21"/>
      <c r="I652" s="59"/>
      <c r="J652" s="21"/>
      <c r="K652" s="21"/>
      <c r="L652" s="59"/>
      <c r="M652" s="60"/>
      <c r="N652" s="21"/>
      <c r="O652" s="59"/>
      <c r="P652" s="21"/>
      <c r="Q652" s="59"/>
      <c r="R652" s="21"/>
      <c r="S652" s="21"/>
      <c r="T652" s="59"/>
      <c r="U652" s="60">
        <f t="shared" si="92"/>
        <v>0</v>
      </c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>
        <v>704845756</v>
      </c>
      <c r="AN652" s="60">
        <f t="shared" si="98"/>
        <v>704845756</v>
      </c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>
        <v>605639625</v>
      </c>
      <c r="AZ652" s="60"/>
      <c r="BA652" s="60">
        <f>VLOOKUP(B652,[2]Hoja3!J$3:K$674,2,0)</f>
        <v>732080624</v>
      </c>
      <c r="BB652" s="60"/>
      <c r="BC652" s="61">
        <f t="shared" si="93"/>
        <v>2042566005</v>
      </c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>
        <v>121127925</v>
      </c>
      <c r="BO652" s="60"/>
      <c r="BP652" s="61">
        <v>2163693930</v>
      </c>
      <c r="BQ652" s="61"/>
      <c r="BR652" s="61"/>
      <c r="BS652" s="61"/>
      <c r="BT652" s="61"/>
      <c r="BU652" s="61"/>
      <c r="BV652" s="61"/>
      <c r="BW652" s="61"/>
      <c r="BX652" s="61"/>
      <c r="BY652" s="61"/>
      <c r="BZ652" s="61"/>
      <c r="CA652" s="61"/>
      <c r="CB652" s="61"/>
      <c r="CC652" s="61">
        <v>121127925</v>
      </c>
      <c r="CD652" s="61"/>
      <c r="CE652" s="61"/>
      <c r="CF652" s="61"/>
      <c r="CG652" s="61">
        <f t="shared" si="94"/>
        <v>2284821855</v>
      </c>
      <c r="CH652" s="62">
        <f>VLOOKUP(B652,[1]RPTNCT049_ConsultaSaldosContabl!I$4:K$7987,3,0)</f>
        <v>847895475</v>
      </c>
      <c r="CI652" s="62">
        <f t="shared" si="95"/>
        <v>1436926380</v>
      </c>
      <c r="CJ652" s="63">
        <f t="shared" si="96"/>
        <v>2284821855</v>
      </c>
      <c r="CK652" s="64">
        <f t="shared" si="97"/>
        <v>0</v>
      </c>
      <c r="CL652" s="16"/>
      <c r="CM652" s="16"/>
      <c r="CN652" s="16"/>
    </row>
    <row r="653" spans="1:96" ht="15" customHeight="1" x14ac:dyDescent="0.2">
      <c r="A653" s="1">
        <v>8902109487</v>
      </c>
      <c r="B653" s="1">
        <v>890210948</v>
      </c>
      <c r="C653" s="9">
        <v>210068500</v>
      </c>
      <c r="D653" s="10" t="s">
        <v>861</v>
      </c>
      <c r="E653" s="52" t="s">
        <v>1874</v>
      </c>
      <c r="F653" s="21"/>
      <c r="G653" s="59"/>
      <c r="H653" s="21"/>
      <c r="I653" s="59"/>
      <c r="J653" s="21"/>
      <c r="K653" s="21"/>
      <c r="L653" s="59"/>
      <c r="M653" s="60"/>
      <c r="N653" s="21"/>
      <c r="O653" s="59"/>
      <c r="P653" s="21"/>
      <c r="Q653" s="59"/>
      <c r="R653" s="21"/>
      <c r="S653" s="21"/>
      <c r="T653" s="59"/>
      <c r="U653" s="60">
        <f t="shared" si="92"/>
        <v>0</v>
      </c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>
        <v>178480150</v>
      </c>
      <c r="AN653" s="60">
        <f t="shared" si="98"/>
        <v>178480150</v>
      </c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>
        <v>77436015</v>
      </c>
      <c r="AZ653" s="60"/>
      <c r="BA653" s="60"/>
      <c r="BB653" s="60"/>
      <c r="BC653" s="61">
        <f t="shared" si="93"/>
        <v>255916165</v>
      </c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>
        <v>15487203</v>
      </c>
      <c r="BO653" s="60"/>
      <c r="BP653" s="61">
        <v>271403368</v>
      </c>
      <c r="BQ653" s="61"/>
      <c r="BR653" s="61"/>
      <c r="BS653" s="61"/>
      <c r="BT653" s="61"/>
      <c r="BU653" s="61"/>
      <c r="BV653" s="61"/>
      <c r="BW653" s="61"/>
      <c r="BX653" s="61"/>
      <c r="BY653" s="61"/>
      <c r="BZ653" s="61"/>
      <c r="CA653" s="61"/>
      <c r="CB653" s="61"/>
      <c r="CC653" s="61">
        <v>15487203</v>
      </c>
      <c r="CD653" s="61"/>
      <c r="CE653" s="61"/>
      <c r="CF653" s="61"/>
      <c r="CG653" s="61">
        <f t="shared" si="94"/>
        <v>286890571</v>
      </c>
      <c r="CH653" s="62">
        <f>VLOOKUP(B653,[1]RPTNCT049_ConsultaSaldosContabl!I$4:K$7987,3,0)</f>
        <v>108410421</v>
      </c>
      <c r="CI653" s="62">
        <f t="shared" si="95"/>
        <v>178480150</v>
      </c>
      <c r="CJ653" s="63">
        <f t="shared" si="96"/>
        <v>286890571</v>
      </c>
      <c r="CK653" s="64">
        <f t="shared" si="97"/>
        <v>0</v>
      </c>
      <c r="CL653" s="16"/>
      <c r="CM653" s="16"/>
      <c r="CN653" s="16"/>
    </row>
    <row r="654" spans="1:96" ht="15" customHeight="1" x14ac:dyDescent="0.2">
      <c r="A654" s="1">
        <v>8000261565</v>
      </c>
      <c r="B654" s="1">
        <v>800026156</v>
      </c>
      <c r="C654" s="9">
        <v>210015500</v>
      </c>
      <c r="D654" s="10" t="s">
        <v>276</v>
      </c>
      <c r="E654" s="52" t="s">
        <v>1310</v>
      </c>
      <c r="F654" s="21"/>
      <c r="G654" s="59"/>
      <c r="H654" s="21"/>
      <c r="I654" s="59"/>
      <c r="J654" s="21"/>
      <c r="K654" s="21"/>
      <c r="L654" s="59"/>
      <c r="M654" s="60"/>
      <c r="N654" s="21"/>
      <c r="O654" s="59"/>
      <c r="P654" s="21"/>
      <c r="Q654" s="59"/>
      <c r="R654" s="21"/>
      <c r="S654" s="21"/>
      <c r="T654" s="59"/>
      <c r="U654" s="60">
        <f t="shared" si="92"/>
        <v>0</v>
      </c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>
        <v>31126673</v>
      </c>
      <c r="AN654" s="60">
        <f t="shared" si="98"/>
        <v>31126673</v>
      </c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>
        <v>18219275</v>
      </c>
      <c r="AZ654" s="60"/>
      <c r="BA654" s="60"/>
      <c r="BB654" s="60"/>
      <c r="BC654" s="61">
        <f t="shared" si="93"/>
        <v>49345948</v>
      </c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>
        <v>3643855</v>
      </c>
      <c r="BO654" s="60"/>
      <c r="BP654" s="61">
        <v>52989803</v>
      </c>
      <c r="BQ654" s="61"/>
      <c r="BR654" s="61"/>
      <c r="BS654" s="61"/>
      <c r="BT654" s="61"/>
      <c r="BU654" s="61"/>
      <c r="BV654" s="61"/>
      <c r="BW654" s="61"/>
      <c r="BX654" s="61"/>
      <c r="BY654" s="61"/>
      <c r="BZ654" s="61"/>
      <c r="CA654" s="61"/>
      <c r="CB654" s="61"/>
      <c r="CC654" s="61">
        <v>3643855</v>
      </c>
      <c r="CD654" s="61"/>
      <c r="CE654" s="61"/>
      <c r="CF654" s="61"/>
      <c r="CG654" s="61">
        <f t="shared" si="94"/>
        <v>56633658</v>
      </c>
      <c r="CH654" s="62">
        <f>VLOOKUP(B654,[1]RPTNCT049_ConsultaSaldosContabl!I$4:K$7987,3,0)</f>
        <v>25506985</v>
      </c>
      <c r="CI654" s="62">
        <f t="shared" si="95"/>
        <v>31126673</v>
      </c>
      <c r="CJ654" s="63">
        <f t="shared" si="96"/>
        <v>56633658</v>
      </c>
      <c r="CK654" s="64">
        <f t="shared" si="97"/>
        <v>0</v>
      </c>
      <c r="CL654" s="16"/>
      <c r="CM654" s="8"/>
      <c r="CN654" s="8"/>
      <c r="CO654" s="8"/>
      <c r="CP654" s="8"/>
      <c r="CQ654" s="8"/>
      <c r="CR654" s="8"/>
    </row>
    <row r="655" spans="1:96" ht="15" customHeight="1" x14ac:dyDescent="0.2">
      <c r="A655" s="1">
        <v>8000991131</v>
      </c>
      <c r="B655" s="1">
        <v>800099113</v>
      </c>
      <c r="C655" s="9">
        <v>219052490</v>
      </c>
      <c r="D655" s="10" t="s">
        <v>728</v>
      </c>
      <c r="E655" s="52" t="s">
        <v>1751</v>
      </c>
      <c r="F655" s="21"/>
      <c r="G655" s="59"/>
      <c r="H655" s="21"/>
      <c r="I655" s="59"/>
      <c r="J655" s="21"/>
      <c r="K655" s="21"/>
      <c r="L655" s="59"/>
      <c r="M655" s="60"/>
      <c r="N655" s="21"/>
      <c r="O655" s="59"/>
      <c r="P655" s="21"/>
      <c r="Q655" s="59"/>
      <c r="R655" s="21"/>
      <c r="S655" s="21"/>
      <c r="T655" s="59"/>
      <c r="U655" s="60">
        <f t="shared" si="92"/>
        <v>0</v>
      </c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>
        <v>368204085</v>
      </c>
      <c r="AZ655" s="60"/>
      <c r="BA655" s="60">
        <f>VLOOKUP(B655,[2]Hoja3!J$3:K$674,2,0)</f>
        <v>518351795</v>
      </c>
      <c r="BB655" s="60"/>
      <c r="BC655" s="61">
        <f t="shared" si="93"/>
        <v>886555880</v>
      </c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>
        <v>73640817</v>
      </c>
      <c r="BO655" s="60"/>
      <c r="BP655" s="61">
        <v>960196697</v>
      </c>
      <c r="BQ655" s="61"/>
      <c r="BR655" s="61"/>
      <c r="BS655" s="61"/>
      <c r="BT655" s="61"/>
      <c r="BU655" s="61"/>
      <c r="BV655" s="61"/>
      <c r="BW655" s="61"/>
      <c r="BX655" s="61"/>
      <c r="BY655" s="61"/>
      <c r="BZ655" s="61"/>
      <c r="CA655" s="61"/>
      <c r="CB655" s="61"/>
      <c r="CC655" s="61">
        <v>73640817</v>
      </c>
      <c r="CD655" s="61"/>
      <c r="CE655" s="61"/>
      <c r="CF655" s="61"/>
      <c r="CG655" s="61">
        <f t="shared" si="94"/>
        <v>1033837514</v>
      </c>
      <c r="CH655" s="62">
        <f>VLOOKUP(B655,[1]RPTNCT049_ConsultaSaldosContabl!I$4:K$7987,3,0)</f>
        <v>515485719</v>
      </c>
      <c r="CI655" s="62">
        <f t="shared" si="95"/>
        <v>518351795</v>
      </c>
      <c r="CJ655" s="63">
        <f t="shared" si="96"/>
        <v>1033837514</v>
      </c>
      <c r="CK655" s="64">
        <f t="shared" si="97"/>
        <v>0</v>
      </c>
      <c r="CL655" s="16"/>
      <c r="CM655" s="16"/>
      <c r="CN655" s="16"/>
    </row>
    <row r="656" spans="1:96" ht="15" customHeight="1" x14ac:dyDescent="0.2">
      <c r="A656" s="1">
        <v>8909841619</v>
      </c>
      <c r="B656" s="1">
        <v>890984161</v>
      </c>
      <c r="C656" s="9">
        <v>210105501</v>
      </c>
      <c r="D656" s="10" t="s">
        <v>114</v>
      </c>
      <c r="E656" s="52" t="s">
        <v>1097</v>
      </c>
      <c r="F656" s="21"/>
      <c r="G656" s="59"/>
      <c r="H656" s="21"/>
      <c r="I656" s="59"/>
      <c r="J656" s="21"/>
      <c r="K656" s="21"/>
      <c r="L656" s="59"/>
      <c r="M656" s="60"/>
      <c r="N656" s="21"/>
      <c r="O656" s="59"/>
      <c r="P656" s="21"/>
      <c r="Q656" s="59"/>
      <c r="R656" s="21"/>
      <c r="S656" s="21"/>
      <c r="T656" s="59"/>
      <c r="U656" s="60">
        <f t="shared" si="92"/>
        <v>0</v>
      </c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>
        <v>20796520</v>
      </c>
      <c r="AZ656" s="60"/>
      <c r="BA656" s="60">
        <f>VLOOKUP(B656,[2]Hoja3!J$3:K$674,2,0)</f>
        <v>46486544</v>
      </c>
      <c r="BB656" s="60"/>
      <c r="BC656" s="61">
        <f t="shared" si="93"/>
        <v>67283064</v>
      </c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>
        <v>4159304</v>
      </c>
      <c r="BO656" s="60"/>
      <c r="BP656" s="61">
        <v>71442368</v>
      </c>
      <c r="BQ656" s="61"/>
      <c r="BR656" s="61"/>
      <c r="BS656" s="61"/>
      <c r="BT656" s="61"/>
      <c r="BU656" s="61"/>
      <c r="BV656" s="61"/>
      <c r="BW656" s="61"/>
      <c r="BX656" s="61"/>
      <c r="BY656" s="61"/>
      <c r="BZ656" s="61"/>
      <c r="CA656" s="61"/>
      <c r="CB656" s="61"/>
      <c r="CC656" s="61">
        <v>4159304</v>
      </c>
      <c r="CD656" s="61"/>
      <c r="CE656" s="61"/>
      <c r="CF656" s="61"/>
      <c r="CG656" s="61">
        <f t="shared" si="94"/>
        <v>75601672</v>
      </c>
      <c r="CH656" s="62">
        <f>VLOOKUP(B656,[1]RPTNCT049_ConsultaSaldosContabl!I$4:K$7987,3,0)</f>
        <v>29115128</v>
      </c>
      <c r="CI656" s="62">
        <f t="shared" si="95"/>
        <v>46486544</v>
      </c>
      <c r="CJ656" s="63">
        <f t="shared" si="96"/>
        <v>75601672</v>
      </c>
      <c r="CK656" s="64">
        <f t="shared" si="97"/>
        <v>0</v>
      </c>
      <c r="CL656" s="16"/>
      <c r="CM656" s="8"/>
      <c r="CN656" s="8"/>
      <c r="CO656" s="8"/>
      <c r="CP656" s="8"/>
      <c r="CQ656" s="8"/>
      <c r="CR656" s="8"/>
    </row>
    <row r="657" spans="1:96" ht="15" customHeight="1" x14ac:dyDescent="0.2">
      <c r="A657" s="1">
        <v>8902081485</v>
      </c>
      <c r="B657" s="1">
        <v>890208148</v>
      </c>
      <c r="C657" s="9">
        <v>210268502</v>
      </c>
      <c r="D657" s="10" t="s">
        <v>862</v>
      </c>
      <c r="E657" s="52" t="s">
        <v>1875</v>
      </c>
      <c r="F657" s="21"/>
      <c r="G657" s="59"/>
      <c r="H657" s="21"/>
      <c r="I657" s="59"/>
      <c r="J657" s="21"/>
      <c r="K657" s="21"/>
      <c r="L657" s="59"/>
      <c r="M657" s="60"/>
      <c r="N657" s="21"/>
      <c r="O657" s="59"/>
      <c r="P657" s="21"/>
      <c r="Q657" s="59"/>
      <c r="R657" s="21"/>
      <c r="S657" s="21"/>
      <c r="T657" s="59"/>
      <c r="U657" s="60">
        <f t="shared" si="92"/>
        <v>0</v>
      </c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>
        <v>31848195</v>
      </c>
      <c r="AZ657" s="60"/>
      <c r="BA657" s="60">
        <f>VLOOKUP(B657,[2]Hoja3!J$3:K$674,2,0)</f>
        <v>52593474</v>
      </c>
      <c r="BB657" s="60"/>
      <c r="BC657" s="61">
        <f t="shared" si="93"/>
        <v>84441669</v>
      </c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>
        <v>6369639</v>
      </c>
      <c r="BO657" s="60"/>
      <c r="BP657" s="61">
        <v>90811308</v>
      </c>
      <c r="BQ657" s="61"/>
      <c r="BR657" s="61"/>
      <c r="BS657" s="61"/>
      <c r="BT657" s="61"/>
      <c r="BU657" s="61"/>
      <c r="BV657" s="61"/>
      <c r="BW657" s="61"/>
      <c r="BX657" s="61"/>
      <c r="BY657" s="61"/>
      <c r="BZ657" s="61"/>
      <c r="CA657" s="61"/>
      <c r="CB657" s="61"/>
      <c r="CC657" s="61">
        <v>6369639</v>
      </c>
      <c r="CD657" s="61"/>
      <c r="CE657" s="61"/>
      <c r="CF657" s="61"/>
      <c r="CG657" s="61">
        <f t="shared" si="94"/>
        <v>97180947</v>
      </c>
      <c r="CH657" s="62">
        <f>VLOOKUP(B657,[1]RPTNCT049_ConsultaSaldosContabl!I$4:K$7987,3,0)</f>
        <v>44587473</v>
      </c>
      <c r="CI657" s="62">
        <f t="shared" si="95"/>
        <v>52593474</v>
      </c>
      <c r="CJ657" s="63">
        <f t="shared" si="96"/>
        <v>97180947</v>
      </c>
      <c r="CK657" s="64">
        <f t="shared" si="97"/>
        <v>0</v>
      </c>
      <c r="CL657" s="16"/>
      <c r="CM657" s="16"/>
      <c r="CN657" s="16"/>
    </row>
    <row r="658" spans="1:96" ht="15" customHeight="1" x14ac:dyDescent="0.2">
      <c r="A658" s="1">
        <v>8911801793</v>
      </c>
      <c r="B658" s="1">
        <v>891180179</v>
      </c>
      <c r="C658" s="9">
        <v>210341503</v>
      </c>
      <c r="D658" s="10" t="s">
        <v>611</v>
      </c>
      <c r="E658" s="52" t="s">
        <v>1630</v>
      </c>
      <c r="F658" s="21"/>
      <c r="G658" s="59"/>
      <c r="H658" s="21"/>
      <c r="I658" s="59"/>
      <c r="J658" s="21"/>
      <c r="K658" s="21"/>
      <c r="L658" s="59"/>
      <c r="M658" s="60"/>
      <c r="N658" s="21"/>
      <c r="O658" s="59"/>
      <c r="P658" s="21"/>
      <c r="Q658" s="59"/>
      <c r="R658" s="21"/>
      <c r="S658" s="21"/>
      <c r="T658" s="59"/>
      <c r="U658" s="60">
        <f t="shared" si="92"/>
        <v>0</v>
      </c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>
        <v>103959155</v>
      </c>
      <c r="AN658" s="60">
        <f t="shared" ref="AN658:AN663" si="99">SUBTOTAL(9,AC658:AM658)</f>
        <v>103959155</v>
      </c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>
        <f>VLOOKUP(B658,[2]Hoja3!J$3:K$674,2,0)</f>
        <v>111988192</v>
      </c>
      <c r="BB658" s="60"/>
      <c r="BC658" s="61">
        <f t="shared" si="93"/>
        <v>215947347</v>
      </c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>
        <v>0</v>
      </c>
      <c r="BO658" s="60"/>
      <c r="BP658" s="61">
        <v>215947347</v>
      </c>
      <c r="BQ658" s="61"/>
      <c r="BR658" s="61"/>
      <c r="BS658" s="61"/>
      <c r="BT658" s="61"/>
      <c r="BU658" s="61"/>
      <c r="BV658" s="61"/>
      <c r="BW658" s="61"/>
      <c r="BX658" s="61"/>
      <c r="BY658" s="61"/>
      <c r="BZ658" s="61"/>
      <c r="CA658" s="61"/>
      <c r="CB658" s="61"/>
      <c r="CC658" s="61">
        <v>0</v>
      </c>
      <c r="CD658" s="61"/>
      <c r="CE658" s="61"/>
      <c r="CF658" s="61"/>
      <c r="CG658" s="61">
        <f t="shared" si="94"/>
        <v>215947347</v>
      </c>
      <c r="CH658" s="62"/>
      <c r="CI658" s="62">
        <f t="shared" si="95"/>
        <v>215947347</v>
      </c>
      <c r="CJ658" s="63">
        <f t="shared" si="96"/>
        <v>215947347</v>
      </c>
      <c r="CK658" s="64">
        <f t="shared" si="97"/>
        <v>0</v>
      </c>
      <c r="CL658" s="16"/>
      <c r="CM658" s="16"/>
      <c r="CN658" s="16"/>
    </row>
    <row r="659" spans="1:96" ht="15" customHeight="1" x14ac:dyDescent="0.2">
      <c r="A659" s="1">
        <v>8001028962</v>
      </c>
      <c r="B659" s="1">
        <v>800102896</v>
      </c>
      <c r="C659" s="9">
        <v>212086320</v>
      </c>
      <c r="D659" s="10" t="s">
        <v>976</v>
      </c>
      <c r="E659" s="52" t="s">
        <v>2063</v>
      </c>
      <c r="F659" s="21"/>
      <c r="G659" s="59"/>
      <c r="H659" s="21"/>
      <c r="I659" s="59"/>
      <c r="J659" s="21"/>
      <c r="K659" s="21"/>
      <c r="L659" s="59"/>
      <c r="M659" s="60"/>
      <c r="N659" s="21"/>
      <c r="O659" s="59"/>
      <c r="P659" s="21"/>
      <c r="Q659" s="59"/>
      <c r="R659" s="21"/>
      <c r="S659" s="21"/>
      <c r="T659" s="59"/>
      <c r="U659" s="60">
        <f t="shared" si="92"/>
        <v>0</v>
      </c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>
        <v>202546857</v>
      </c>
      <c r="AN659" s="60">
        <f t="shared" si="99"/>
        <v>202546857</v>
      </c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>
        <v>409930015</v>
      </c>
      <c r="AZ659" s="60"/>
      <c r="BA659" s="60">
        <f>VLOOKUP(B659,[2]Hoja3!J$3:K$674,2,0)</f>
        <v>513946915</v>
      </c>
      <c r="BB659" s="60"/>
      <c r="BC659" s="61">
        <f t="shared" si="93"/>
        <v>1126423787</v>
      </c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>
        <v>81986003</v>
      </c>
      <c r="BO659" s="60"/>
      <c r="BP659" s="61">
        <v>1208409790</v>
      </c>
      <c r="BQ659" s="61"/>
      <c r="BR659" s="61"/>
      <c r="BS659" s="61"/>
      <c r="BT659" s="61"/>
      <c r="BU659" s="61"/>
      <c r="BV659" s="61"/>
      <c r="BW659" s="61"/>
      <c r="BX659" s="61"/>
      <c r="BY659" s="61"/>
      <c r="BZ659" s="61"/>
      <c r="CA659" s="61"/>
      <c r="CB659" s="61"/>
      <c r="CC659" s="61">
        <v>81986003</v>
      </c>
      <c r="CD659" s="61"/>
      <c r="CE659" s="61"/>
      <c r="CF659" s="61"/>
      <c r="CG659" s="61">
        <f t="shared" si="94"/>
        <v>1290395793</v>
      </c>
      <c r="CH659" s="62">
        <f>VLOOKUP(B659,[1]RPTNCT049_ConsultaSaldosContabl!I$4:K$7987,3,0)</f>
        <v>573902021</v>
      </c>
      <c r="CI659" s="62">
        <f t="shared" si="95"/>
        <v>716493772</v>
      </c>
      <c r="CJ659" s="63">
        <f t="shared" si="96"/>
        <v>1290395793</v>
      </c>
      <c r="CK659" s="64">
        <f t="shared" si="97"/>
        <v>0</v>
      </c>
      <c r="CL659" s="16"/>
      <c r="CM659" s="16"/>
      <c r="CN659" s="16"/>
    </row>
    <row r="660" spans="1:96" ht="15" customHeight="1" x14ac:dyDescent="0.2">
      <c r="A660" s="1">
        <v>8920993924</v>
      </c>
      <c r="B660" s="1">
        <v>892099392</v>
      </c>
      <c r="C660" s="9">
        <v>213085230</v>
      </c>
      <c r="D660" s="10" t="s">
        <v>963</v>
      </c>
      <c r="E660" s="52" t="s">
        <v>2023</v>
      </c>
      <c r="F660" s="21"/>
      <c r="G660" s="59"/>
      <c r="H660" s="21"/>
      <c r="I660" s="59"/>
      <c r="J660" s="21"/>
      <c r="K660" s="21"/>
      <c r="L660" s="59"/>
      <c r="M660" s="60"/>
      <c r="N660" s="21"/>
      <c r="O660" s="59"/>
      <c r="P660" s="21"/>
      <c r="Q660" s="59"/>
      <c r="R660" s="21"/>
      <c r="S660" s="21"/>
      <c r="T660" s="59"/>
      <c r="U660" s="60">
        <f t="shared" si="92"/>
        <v>0</v>
      </c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>
        <v>209059843</v>
      </c>
      <c r="AN660" s="60">
        <f t="shared" si="99"/>
        <v>209059843</v>
      </c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>
        <v>138880395</v>
      </c>
      <c r="AZ660" s="60"/>
      <c r="BA660" s="60"/>
      <c r="BB660" s="60"/>
      <c r="BC660" s="61">
        <f t="shared" si="93"/>
        <v>347940238</v>
      </c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>
        <v>27776079</v>
      </c>
      <c r="BO660" s="60"/>
      <c r="BP660" s="61">
        <v>375716317</v>
      </c>
      <c r="BQ660" s="61"/>
      <c r="BR660" s="61"/>
      <c r="BS660" s="61"/>
      <c r="BT660" s="61"/>
      <c r="BU660" s="61"/>
      <c r="BV660" s="61"/>
      <c r="BW660" s="61"/>
      <c r="BX660" s="61"/>
      <c r="BY660" s="61"/>
      <c r="BZ660" s="61"/>
      <c r="CA660" s="61"/>
      <c r="CB660" s="61"/>
      <c r="CC660" s="61">
        <v>27776079</v>
      </c>
      <c r="CD660" s="61"/>
      <c r="CE660" s="61"/>
      <c r="CF660" s="61"/>
      <c r="CG660" s="61">
        <f t="shared" si="94"/>
        <v>403492396</v>
      </c>
      <c r="CH660" s="62">
        <f>VLOOKUP(B660,[1]RPTNCT049_ConsultaSaldosContabl!I$4:K$7987,3,0)</f>
        <v>194432553</v>
      </c>
      <c r="CI660" s="62">
        <f t="shared" si="95"/>
        <v>209059843</v>
      </c>
      <c r="CJ660" s="63">
        <f t="shared" si="96"/>
        <v>403492396</v>
      </c>
      <c r="CK660" s="64">
        <f t="shared" si="97"/>
        <v>0</v>
      </c>
      <c r="CL660" s="16"/>
      <c r="CM660" s="16"/>
      <c r="CN660" s="16"/>
    </row>
    <row r="661" spans="1:96" ht="15" customHeight="1" x14ac:dyDescent="0.2">
      <c r="A661" s="1">
        <v>8907009426</v>
      </c>
      <c r="B661" s="1">
        <v>890700942</v>
      </c>
      <c r="C661" s="9">
        <v>210473504</v>
      </c>
      <c r="D661" s="10" t="s">
        <v>2229</v>
      </c>
      <c r="E661" s="52" t="s">
        <v>1955</v>
      </c>
      <c r="F661" s="21"/>
      <c r="G661" s="59"/>
      <c r="H661" s="21"/>
      <c r="I661" s="59"/>
      <c r="J661" s="21"/>
      <c r="K661" s="21"/>
      <c r="L661" s="59"/>
      <c r="M661" s="60"/>
      <c r="N661" s="21"/>
      <c r="O661" s="59"/>
      <c r="P661" s="21"/>
      <c r="Q661" s="59"/>
      <c r="R661" s="21"/>
      <c r="S661" s="21"/>
      <c r="T661" s="59"/>
      <c r="U661" s="60">
        <f t="shared" si="92"/>
        <v>0</v>
      </c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>
        <v>434541183</v>
      </c>
      <c r="AN661" s="60">
        <f t="shared" si="99"/>
        <v>434541183</v>
      </c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>
        <v>321284075</v>
      </c>
      <c r="AZ661" s="60"/>
      <c r="BA661" s="60">
        <f>VLOOKUP(B661,[2]Hoja3!J$3:K$674,2,0)</f>
        <v>150284929</v>
      </c>
      <c r="BB661" s="60"/>
      <c r="BC661" s="61">
        <f t="shared" si="93"/>
        <v>906110187</v>
      </c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>
        <v>64256815</v>
      </c>
      <c r="BO661" s="60"/>
      <c r="BP661" s="61">
        <v>970367002</v>
      </c>
      <c r="BQ661" s="61"/>
      <c r="BR661" s="61"/>
      <c r="BS661" s="61"/>
      <c r="BT661" s="61"/>
      <c r="BU661" s="61"/>
      <c r="BV661" s="61"/>
      <c r="BW661" s="61"/>
      <c r="BX661" s="61"/>
      <c r="BY661" s="61"/>
      <c r="BZ661" s="61"/>
      <c r="CA661" s="61"/>
      <c r="CB661" s="61"/>
      <c r="CC661" s="61">
        <v>64256815</v>
      </c>
      <c r="CD661" s="61"/>
      <c r="CE661" s="61"/>
      <c r="CF661" s="61"/>
      <c r="CG661" s="61">
        <f t="shared" si="94"/>
        <v>1034623817</v>
      </c>
      <c r="CH661" s="62">
        <f>VLOOKUP(B661,[1]RPTNCT049_ConsultaSaldosContabl!I$4:K$7987,3,0)</f>
        <v>449797705</v>
      </c>
      <c r="CI661" s="62">
        <f t="shared" si="95"/>
        <v>584826112</v>
      </c>
      <c r="CJ661" s="63">
        <f t="shared" si="96"/>
        <v>1034623817</v>
      </c>
      <c r="CK661" s="64">
        <f t="shared" si="97"/>
        <v>0</v>
      </c>
      <c r="CL661" s="16"/>
      <c r="CM661" s="16"/>
      <c r="CN661" s="16"/>
    </row>
    <row r="662" spans="1:96" ht="15" customHeight="1" x14ac:dyDescent="0.2">
      <c r="A662" s="1">
        <v>8906800883</v>
      </c>
      <c r="B662" s="1">
        <v>890680088</v>
      </c>
      <c r="C662" s="9">
        <v>210625506</v>
      </c>
      <c r="D662" s="10" t="s">
        <v>2120</v>
      </c>
      <c r="E662" s="52" t="s">
        <v>1495</v>
      </c>
      <c r="F662" s="21"/>
      <c r="G662" s="59"/>
      <c r="H662" s="21"/>
      <c r="I662" s="59"/>
      <c r="J662" s="21"/>
      <c r="K662" s="21"/>
      <c r="L662" s="59"/>
      <c r="M662" s="60"/>
      <c r="N662" s="21"/>
      <c r="O662" s="59"/>
      <c r="P662" s="21"/>
      <c r="Q662" s="59"/>
      <c r="R662" s="21"/>
      <c r="S662" s="21"/>
      <c r="T662" s="59"/>
      <c r="U662" s="60">
        <f t="shared" si="92"/>
        <v>0</v>
      </c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>
        <v>71017415</v>
      </c>
      <c r="AN662" s="60">
        <f t="shared" si="99"/>
        <v>71017415</v>
      </c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>
        <v>28278290</v>
      </c>
      <c r="AZ662" s="60"/>
      <c r="BA662" s="60"/>
      <c r="BB662" s="60"/>
      <c r="BC662" s="61">
        <f t="shared" si="93"/>
        <v>99295705</v>
      </c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>
        <v>5655658</v>
      </c>
      <c r="BO662" s="60"/>
      <c r="BP662" s="61">
        <v>104951363</v>
      </c>
      <c r="BQ662" s="61"/>
      <c r="BR662" s="61"/>
      <c r="BS662" s="61"/>
      <c r="BT662" s="61"/>
      <c r="BU662" s="61"/>
      <c r="BV662" s="61"/>
      <c r="BW662" s="61"/>
      <c r="BX662" s="61"/>
      <c r="BY662" s="61"/>
      <c r="BZ662" s="61"/>
      <c r="CA662" s="61"/>
      <c r="CB662" s="61"/>
      <c r="CC662" s="61">
        <v>5655658</v>
      </c>
      <c r="CD662" s="61"/>
      <c r="CE662" s="61"/>
      <c r="CF662" s="61"/>
      <c r="CG662" s="61">
        <f t="shared" si="94"/>
        <v>110607021</v>
      </c>
      <c r="CH662" s="62">
        <f>VLOOKUP(B662,[1]RPTNCT049_ConsultaSaldosContabl!I$4:K$7987,3,0)</f>
        <v>39589606</v>
      </c>
      <c r="CI662" s="62">
        <f t="shared" si="95"/>
        <v>71017415</v>
      </c>
      <c r="CJ662" s="63">
        <f t="shared" si="96"/>
        <v>110607021</v>
      </c>
      <c r="CK662" s="64">
        <f t="shared" si="97"/>
        <v>0</v>
      </c>
      <c r="CL662" s="16"/>
      <c r="CM662" s="8"/>
      <c r="CN662" s="8"/>
      <c r="CO662" s="8"/>
      <c r="CP662" s="8"/>
      <c r="CQ662" s="8"/>
      <c r="CR662" s="8"/>
    </row>
    <row r="663" spans="1:96" ht="15" customHeight="1" x14ac:dyDescent="0.2">
      <c r="A663" s="1">
        <v>8000991156</v>
      </c>
      <c r="B663" s="1">
        <v>800099115</v>
      </c>
      <c r="C663" s="9">
        <v>210652506</v>
      </c>
      <c r="D663" s="10" t="s">
        <v>729</v>
      </c>
      <c r="E663" s="52" t="s">
        <v>1735</v>
      </c>
      <c r="F663" s="21"/>
      <c r="G663" s="59"/>
      <c r="H663" s="21"/>
      <c r="I663" s="59"/>
      <c r="J663" s="21"/>
      <c r="K663" s="21"/>
      <c r="L663" s="59"/>
      <c r="M663" s="60"/>
      <c r="N663" s="21"/>
      <c r="O663" s="59"/>
      <c r="P663" s="21"/>
      <c r="Q663" s="59"/>
      <c r="R663" s="21"/>
      <c r="S663" s="21"/>
      <c r="T663" s="59"/>
      <c r="U663" s="60">
        <f t="shared" si="92"/>
        <v>0</v>
      </c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>
        <v>89697871</v>
      </c>
      <c r="AN663" s="60">
        <f t="shared" si="99"/>
        <v>89697871</v>
      </c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>
        <v>48473680</v>
      </c>
      <c r="AZ663" s="60"/>
      <c r="BA663" s="60"/>
      <c r="BB663" s="60"/>
      <c r="BC663" s="61">
        <f t="shared" si="93"/>
        <v>138171551</v>
      </c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>
        <v>9694736</v>
      </c>
      <c r="BO663" s="60"/>
      <c r="BP663" s="61">
        <v>147866287</v>
      </c>
      <c r="BQ663" s="61"/>
      <c r="BR663" s="61"/>
      <c r="BS663" s="61"/>
      <c r="BT663" s="61"/>
      <c r="BU663" s="61"/>
      <c r="BV663" s="61"/>
      <c r="BW663" s="61"/>
      <c r="BX663" s="61"/>
      <c r="BY663" s="61"/>
      <c r="BZ663" s="61"/>
      <c r="CA663" s="61"/>
      <c r="CB663" s="61"/>
      <c r="CC663" s="61">
        <v>9694736</v>
      </c>
      <c r="CD663" s="61"/>
      <c r="CE663" s="61"/>
      <c r="CF663" s="61"/>
      <c r="CG663" s="61">
        <f t="shared" si="94"/>
        <v>157561023</v>
      </c>
      <c r="CH663" s="62">
        <f>VLOOKUP(B663,[1]RPTNCT049_ConsultaSaldosContabl!I$4:K$7987,3,0)</f>
        <v>67863152</v>
      </c>
      <c r="CI663" s="62">
        <f t="shared" si="95"/>
        <v>89697871</v>
      </c>
      <c r="CJ663" s="63">
        <f t="shared" si="96"/>
        <v>157561023</v>
      </c>
      <c r="CK663" s="64">
        <f t="shared" si="97"/>
        <v>0</v>
      </c>
      <c r="CL663" s="16"/>
      <c r="CM663" s="16"/>
      <c r="CN663" s="16"/>
    </row>
    <row r="664" spans="1:96" ht="15" customHeight="1" x14ac:dyDescent="0.2">
      <c r="A664" s="1">
        <v>8918013621</v>
      </c>
      <c r="B664" s="1">
        <v>891801362</v>
      </c>
      <c r="C664" s="9">
        <v>210715507</v>
      </c>
      <c r="D664" s="10" t="s">
        <v>277</v>
      </c>
      <c r="E664" s="52" t="s">
        <v>2079</v>
      </c>
      <c r="F664" s="21"/>
      <c r="G664" s="59"/>
      <c r="H664" s="21"/>
      <c r="I664" s="59"/>
      <c r="J664" s="21"/>
      <c r="K664" s="21"/>
      <c r="L664" s="59"/>
      <c r="M664" s="60"/>
      <c r="N664" s="21"/>
      <c r="O664" s="59"/>
      <c r="P664" s="21"/>
      <c r="Q664" s="59"/>
      <c r="R664" s="21"/>
      <c r="S664" s="21"/>
      <c r="T664" s="59"/>
      <c r="U664" s="60">
        <f t="shared" si="92"/>
        <v>0</v>
      </c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>
        <v>74475970</v>
      </c>
      <c r="AZ664" s="60"/>
      <c r="BA664" s="60">
        <f>VLOOKUP(B664,[2]Hoja3!J$3:K$674,2,0)</f>
        <v>121497439</v>
      </c>
      <c r="BB664" s="60"/>
      <c r="BC664" s="61">
        <f t="shared" si="93"/>
        <v>195973409</v>
      </c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>
        <v>14895194</v>
      </c>
      <c r="BO664" s="60"/>
      <c r="BP664" s="61">
        <v>210868603</v>
      </c>
      <c r="BQ664" s="61"/>
      <c r="BR664" s="61"/>
      <c r="BS664" s="61"/>
      <c r="BT664" s="61"/>
      <c r="BU664" s="61"/>
      <c r="BV664" s="61"/>
      <c r="BW664" s="61"/>
      <c r="BX664" s="61"/>
      <c r="BY664" s="61"/>
      <c r="BZ664" s="61"/>
      <c r="CA664" s="61"/>
      <c r="CB664" s="61"/>
      <c r="CC664" s="61">
        <v>14895194</v>
      </c>
      <c r="CD664" s="61"/>
      <c r="CE664" s="61"/>
      <c r="CF664" s="61"/>
      <c r="CG664" s="61">
        <f t="shared" si="94"/>
        <v>225763797</v>
      </c>
      <c r="CH664" s="62">
        <f>VLOOKUP(B664,[1]RPTNCT049_ConsultaSaldosContabl!I$4:K$7987,3,0)</f>
        <v>104266358</v>
      </c>
      <c r="CI664" s="62">
        <f t="shared" si="95"/>
        <v>121497439</v>
      </c>
      <c r="CJ664" s="63">
        <f t="shared" si="96"/>
        <v>225763797</v>
      </c>
      <c r="CK664" s="64">
        <f t="shared" si="97"/>
        <v>0</v>
      </c>
      <c r="CL664" s="16"/>
      <c r="CM664" s="8"/>
      <c r="CN664" s="8"/>
      <c r="CO664" s="8"/>
      <c r="CP664" s="8"/>
      <c r="CQ664" s="8"/>
      <c r="CR664" s="8"/>
    </row>
    <row r="665" spans="1:96" ht="15" customHeight="1" x14ac:dyDescent="0.2">
      <c r="A665" s="1">
        <v>8001007291</v>
      </c>
      <c r="B665" s="1">
        <v>800100729</v>
      </c>
      <c r="C665" s="9">
        <v>210870508</v>
      </c>
      <c r="D665" s="10" t="s">
        <v>903</v>
      </c>
      <c r="E665" s="52" t="s">
        <v>1916</v>
      </c>
      <c r="F665" s="21"/>
      <c r="G665" s="59"/>
      <c r="H665" s="21"/>
      <c r="I665" s="59"/>
      <c r="J665" s="21"/>
      <c r="K665" s="21"/>
      <c r="L665" s="59"/>
      <c r="M665" s="60"/>
      <c r="N665" s="21"/>
      <c r="O665" s="59"/>
      <c r="P665" s="21"/>
      <c r="Q665" s="59"/>
      <c r="R665" s="21"/>
      <c r="S665" s="21"/>
      <c r="T665" s="59"/>
      <c r="U665" s="60">
        <f t="shared" si="92"/>
        <v>0</v>
      </c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>
        <f>VLOOKUP(B665,[2]Hoja3!J$3:K$674,2,0)</f>
        <v>411266447</v>
      </c>
      <c r="BB665" s="60"/>
      <c r="BC665" s="61">
        <f t="shared" si="93"/>
        <v>411266447</v>
      </c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>
        <v>0</v>
      </c>
      <c r="BO665" s="60"/>
      <c r="BP665" s="61">
        <v>411266447</v>
      </c>
      <c r="BQ665" s="61"/>
      <c r="BR665" s="61"/>
      <c r="BS665" s="61"/>
      <c r="BT665" s="61"/>
      <c r="BU665" s="61"/>
      <c r="BV665" s="61"/>
      <c r="BW665" s="61"/>
      <c r="BX665" s="61"/>
      <c r="BY665" s="61"/>
      <c r="BZ665" s="61"/>
      <c r="CA665" s="61"/>
      <c r="CB665" s="61"/>
      <c r="CC665" s="61">
        <v>0</v>
      </c>
      <c r="CD665" s="61"/>
      <c r="CE665" s="61"/>
      <c r="CF665" s="61"/>
      <c r="CG665" s="61">
        <f t="shared" si="94"/>
        <v>411266447</v>
      </c>
      <c r="CH665" s="62"/>
      <c r="CI665" s="62">
        <f t="shared" si="95"/>
        <v>411266447</v>
      </c>
      <c r="CJ665" s="63">
        <f t="shared" si="96"/>
        <v>411266447</v>
      </c>
      <c r="CK665" s="64">
        <f t="shared" si="97"/>
        <v>0</v>
      </c>
      <c r="CL665" s="16"/>
      <c r="CM665" s="16"/>
      <c r="CN665" s="16"/>
    </row>
    <row r="666" spans="1:96" ht="15" customHeight="1" x14ac:dyDescent="0.2">
      <c r="A666" s="1">
        <v>8000284616</v>
      </c>
      <c r="B666" s="1">
        <v>800028461</v>
      </c>
      <c r="C666" s="9">
        <v>211115511</v>
      </c>
      <c r="D666" s="10" t="s">
        <v>278</v>
      </c>
      <c r="E666" s="52" t="s">
        <v>1311</v>
      </c>
      <c r="F666" s="21"/>
      <c r="G666" s="59"/>
      <c r="H666" s="21"/>
      <c r="I666" s="59"/>
      <c r="J666" s="21"/>
      <c r="K666" s="21"/>
      <c r="L666" s="59"/>
      <c r="M666" s="60"/>
      <c r="N666" s="21"/>
      <c r="O666" s="59"/>
      <c r="P666" s="21"/>
      <c r="Q666" s="59"/>
      <c r="R666" s="21"/>
      <c r="S666" s="21"/>
      <c r="T666" s="59"/>
      <c r="U666" s="60">
        <f t="shared" si="92"/>
        <v>0</v>
      </c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>
        <v>12910565</v>
      </c>
      <c r="AZ666" s="60"/>
      <c r="BA666" s="60">
        <f>VLOOKUP(B666,[2]Hoja3!J$3:K$674,2,0)</f>
        <v>29334488</v>
      </c>
      <c r="BB666" s="60"/>
      <c r="BC666" s="61">
        <f t="shared" si="93"/>
        <v>42245053</v>
      </c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>
        <v>2582113</v>
      </c>
      <c r="BO666" s="60"/>
      <c r="BP666" s="61">
        <v>44827166</v>
      </c>
      <c r="BQ666" s="61"/>
      <c r="BR666" s="61"/>
      <c r="BS666" s="61"/>
      <c r="BT666" s="61"/>
      <c r="BU666" s="61"/>
      <c r="BV666" s="61"/>
      <c r="BW666" s="61"/>
      <c r="BX666" s="61"/>
      <c r="BY666" s="61"/>
      <c r="BZ666" s="61"/>
      <c r="CA666" s="61"/>
      <c r="CB666" s="61"/>
      <c r="CC666" s="61">
        <v>2582113</v>
      </c>
      <c r="CD666" s="61"/>
      <c r="CE666" s="61"/>
      <c r="CF666" s="61"/>
      <c r="CG666" s="61">
        <f t="shared" si="94"/>
        <v>47409279</v>
      </c>
      <c r="CH666" s="62">
        <f>VLOOKUP(B666,[1]RPTNCT049_ConsultaSaldosContabl!I$4:K$7987,3,0)</f>
        <v>18074791</v>
      </c>
      <c r="CI666" s="62">
        <f t="shared" si="95"/>
        <v>29334488</v>
      </c>
      <c r="CJ666" s="63">
        <f t="shared" si="96"/>
        <v>47409279</v>
      </c>
      <c r="CK666" s="64">
        <f t="shared" si="97"/>
        <v>0</v>
      </c>
      <c r="CL666" s="16"/>
      <c r="CM666" s="8"/>
      <c r="CN666" s="8"/>
      <c r="CO666" s="8"/>
      <c r="CP666" s="8"/>
      <c r="CQ666" s="8"/>
      <c r="CR666" s="8"/>
    </row>
    <row r="667" spans="1:96" ht="15" customHeight="1" x14ac:dyDescent="0.2">
      <c r="A667" s="1">
        <v>8999994754</v>
      </c>
      <c r="B667" s="1">
        <v>899999475</v>
      </c>
      <c r="C667" s="9">
        <v>211325513</v>
      </c>
      <c r="D667" s="10" t="s">
        <v>519</v>
      </c>
      <c r="E667" s="52" t="s">
        <v>1545</v>
      </c>
      <c r="F667" s="21"/>
      <c r="G667" s="59"/>
      <c r="H667" s="21"/>
      <c r="I667" s="59"/>
      <c r="J667" s="21"/>
      <c r="K667" s="21"/>
      <c r="L667" s="59"/>
      <c r="M667" s="60"/>
      <c r="N667" s="21"/>
      <c r="O667" s="59"/>
      <c r="P667" s="21"/>
      <c r="Q667" s="59"/>
      <c r="R667" s="21"/>
      <c r="S667" s="21"/>
      <c r="T667" s="59"/>
      <c r="U667" s="60">
        <f t="shared" si="92"/>
        <v>0</v>
      </c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>
        <v>377204060</v>
      </c>
      <c r="AN667" s="60">
        <f>SUBTOTAL(9,AC667:AM667)</f>
        <v>377204060</v>
      </c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>
        <v>180618040</v>
      </c>
      <c r="AZ667" s="60"/>
      <c r="BA667" s="60"/>
      <c r="BB667" s="60"/>
      <c r="BC667" s="61">
        <f t="shared" si="93"/>
        <v>557822100</v>
      </c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>
        <v>36123608</v>
      </c>
      <c r="BO667" s="60"/>
      <c r="BP667" s="61">
        <v>593945708</v>
      </c>
      <c r="BQ667" s="61"/>
      <c r="BR667" s="61"/>
      <c r="BS667" s="61"/>
      <c r="BT667" s="61"/>
      <c r="BU667" s="61"/>
      <c r="BV667" s="61"/>
      <c r="BW667" s="61"/>
      <c r="BX667" s="61"/>
      <c r="BY667" s="61"/>
      <c r="BZ667" s="61"/>
      <c r="CA667" s="61"/>
      <c r="CB667" s="61"/>
      <c r="CC667" s="61">
        <v>36123608</v>
      </c>
      <c r="CD667" s="61"/>
      <c r="CE667" s="61"/>
      <c r="CF667" s="61"/>
      <c r="CG667" s="61">
        <f t="shared" si="94"/>
        <v>630069316</v>
      </c>
      <c r="CH667" s="62">
        <f>VLOOKUP(B667,[1]RPTNCT049_ConsultaSaldosContabl!I$4:K$7987,3,0)</f>
        <v>252865256</v>
      </c>
      <c r="CI667" s="62">
        <f t="shared" si="95"/>
        <v>377204060</v>
      </c>
      <c r="CJ667" s="63">
        <f t="shared" si="96"/>
        <v>630069316</v>
      </c>
      <c r="CK667" s="64">
        <f t="shared" si="97"/>
        <v>0</v>
      </c>
      <c r="CL667" s="16"/>
      <c r="CM667" s="16"/>
      <c r="CN667" s="16"/>
    </row>
    <row r="668" spans="1:96" ht="15" customHeight="1" x14ac:dyDescent="0.2">
      <c r="A668" s="1">
        <v>8908011361</v>
      </c>
      <c r="B668" s="1">
        <v>890801136</v>
      </c>
      <c r="C668" s="9">
        <v>211317513</v>
      </c>
      <c r="D668" s="10" t="s">
        <v>350</v>
      </c>
      <c r="E668" s="52" t="s">
        <v>1380</v>
      </c>
      <c r="F668" s="21"/>
      <c r="G668" s="59"/>
      <c r="H668" s="21"/>
      <c r="I668" s="59"/>
      <c r="J668" s="21"/>
      <c r="K668" s="21"/>
      <c r="L668" s="59"/>
      <c r="M668" s="60"/>
      <c r="N668" s="21"/>
      <c r="O668" s="59"/>
      <c r="P668" s="21"/>
      <c r="Q668" s="59"/>
      <c r="R668" s="21"/>
      <c r="S668" s="21"/>
      <c r="T668" s="59"/>
      <c r="U668" s="60">
        <f t="shared" si="92"/>
        <v>0</v>
      </c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>
        <v>185926779</v>
      </c>
      <c r="AN668" s="60">
        <f>SUBTOTAL(9,AC668:AM668)</f>
        <v>185926779</v>
      </c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>
        <v>101874730</v>
      </c>
      <c r="AZ668" s="60"/>
      <c r="BA668" s="60"/>
      <c r="BB668" s="60"/>
      <c r="BC668" s="61">
        <f t="shared" si="93"/>
        <v>287801509</v>
      </c>
      <c r="BD668" s="60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>
        <v>20374946</v>
      </c>
      <c r="BO668" s="60"/>
      <c r="BP668" s="61">
        <v>308176455</v>
      </c>
      <c r="BQ668" s="61"/>
      <c r="BR668" s="61"/>
      <c r="BS668" s="61"/>
      <c r="BT668" s="61"/>
      <c r="BU668" s="61"/>
      <c r="BV668" s="61"/>
      <c r="BW668" s="61"/>
      <c r="BX668" s="61"/>
      <c r="BY668" s="61"/>
      <c r="BZ668" s="61"/>
      <c r="CA668" s="61"/>
      <c r="CB668" s="61"/>
      <c r="CC668" s="61">
        <v>20374946</v>
      </c>
      <c r="CD668" s="61"/>
      <c r="CE668" s="61"/>
      <c r="CF668" s="61"/>
      <c r="CG668" s="61">
        <f t="shared" si="94"/>
        <v>328551401</v>
      </c>
      <c r="CH668" s="62">
        <f>VLOOKUP(B668,[1]RPTNCT049_ConsultaSaldosContabl!I$4:K$7987,3,0)</f>
        <v>142624622</v>
      </c>
      <c r="CI668" s="62">
        <f t="shared" si="95"/>
        <v>185926779</v>
      </c>
      <c r="CJ668" s="63">
        <f t="shared" si="96"/>
        <v>328551401</v>
      </c>
      <c r="CK668" s="64">
        <f t="shared" si="97"/>
        <v>0</v>
      </c>
      <c r="CL668" s="16"/>
      <c r="CM668" s="16"/>
      <c r="CN668" s="16"/>
    </row>
    <row r="669" spans="1:96" ht="15" customHeight="1" x14ac:dyDescent="0.2">
      <c r="A669" s="1">
        <v>8000959787</v>
      </c>
      <c r="B669" s="1">
        <v>800095978</v>
      </c>
      <c r="C669" s="9">
        <v>211319513</v>
      </c>
      <c r="D669" s="10" t="s">
        <v>394</v>
      </c>
      <c r="E669" s="52" t="s">
        <v>1423</v>
      </c>
      <c r="F669" s="21"/>
      <c r="G669" s="59"/>
      <c r="H669" s="21"/>
      <c r="I669" s="59"/>
      <c r="J669" s="21"/>
      <c r="K669" s="21"/>
      <c r="L669" s="59"/>
      <c r="M669" s="60"/>
      <c r="N669" s="21"/>
      <c r="O669" s="59"/>
      <c r="P669" s="21"/>
      <c r="Q669" s="59"/>
      <c r="R669" s="21"/>
      <c r="S669" s="21"/>
      <c r="T669" s="59"/>
      <c r="U669" s="60">
        <f t="shared" si="92"/>
        <v>0</v>
      </c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>
        <v>67173895</v>
      </c>
      <c r="AZ669" s="60"/>
      <c r="BA669" s="60">
        <f>VLOOKUP(B669,[2]Hoja3!J$3:K$674,2,0)</f>
        <v>146941093</v>
      </c>
      <c r="BB669" s="60"/>
      <c r="BC669" s="61">
        <f t="shared" si="93"/>
        <v>214114988</v>
      </c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>
        <v>13434779</v>
      </c>
      <c r="BO669" s="60"/>
      <c r="BP669" s="61">
        <v>227549767</v>
      </c>
      <c r="BQ669" s="61"/>
      <c r="BR669" s="61"/>
      <c r="BS669" s="61"/>
      <c r="BT669" s="61"/>
      <c r="BU669" s="61"/>
      <c r="BV669" s="61"/>
      <c r="BW669" s="61"/>
      <c r="BX669" s="61"/>
      <c r="BY669" s="61"/>
      <c r="BZ669" s="61"/>
      <c r="CA669" s="61"/>
      <c r="CB669" s="61"/>
      <c r="CC669" s="61">
        <v>13434779</v>
      </c>
      <c r="CD669" s="61"/>
      <c r="CE669" s="61"/>
      <c r="CF669" s="61"/>
      <c r="CG669" s="61">
        <f t="shared" si="94"/>
        <v>240984546</v>
      </c>
      <c r="CH669" s="62">
        <f>VLOOKUP(B669,[1]RPTNCT049_ConsultaSaldosContabl!I$4:K$7987,3,0)</f>
        <v>94043453</v>
      </c>
      <c r="CI669" s="62">
        <f t="shared" si="95"/>
        <v>146941093</v>
      </c>
      <c r="CJ669" s="63">
        <f t="shared" si="96"/>
        <v>240984546</v>
      </c>
      <c r="CK669" s="64">
        <f t="shared" si="97"/>
        <v>0</v>
      </c>
      <c r="CL669" s="16"/>
      <c r="CM669" s="16"/>
      <c r="CN669" s="16"/>
    </row>
    <row r="670" spans="1:96" ht="15" customHeight="1" x14ac:dyDescent="0.2">
      <c r="A670" s="1">
        <v>8000495083</v>
      </c>
      <c r="B670" s="1">
        <v>800049508</v>
      </c>
      <c r="C670" s="9">
        <v>211415514</v>
      </c>
      <c r="D670" s="10" t="s">
        <v>279</v>
      </c>
      <c r="E670" s="52" t="s">
        <v>1312</v>
      </c>
      <c r="F670" s="21"/>
      <c r="G670" s="59"/>
      <c r="H670" s="21"/>
      <c r="I670" s="59"/>
      <c r="J670" s="21"/>
      <c r="K670" s="21"/>
      <c r="L670" s="59"/>
      <c r="M670" s="60"/>
      <c r="N670" s="21"/>
      <c r="O670" s="59"/>
      <c r="P670" s="21"/>
      <c r="Q670" s="59"/>
      <c r="R670" s="21"/>
      <c r="S670" s="21"/>
      <c r="T670" s="59"/>
      <c r="U670" s="60">
        <f t="shared" si="92"/>
        <v>0</v>
      </c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>
        <v>22383220</v>
      </c>
      <c r="AZ670" s="60"/>
      <c r="BA670" s="60">
        <f>VLOOKUP(B670,[2]Hoja3!J$3:K$674,2,0)</f>
        <v>44206296</v>
      </c>
      <c r="BB670" s="60"/>
      <c r="BC670" s="61">
        <f t="shared" si="93"/>
        <v>66589516</v>
      </c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>
        <v>4476644</v>
      </c>
      <c r="BO670" s="60"/>
      <c r="BP670" s="61">
        <v>71066160</v>
      </c>
      <c r="BQ670" s="61"/>
      <c r="BR670" s="61"/>
      <c r="BS670" s="61"/>
      <c r="BT670" s="61"/>
      <c r="BU670" s="61"/>
      <c r="BV670" s="61"/>
      <c r="BW670" s="61"/>
      <c r="BX670" s="61"/>
      <c r="BY670" s="61"/>
      <c r="BZ670" s="61"/>
      <c r="CA670" s="61"/>
      <c r="CB670" s="61"/>
      <c r="CC670" s="61">
        <v>4476644</v>
      </c>
      <c r="CD670" s="61"/>
      <c r="CE670" s="61"/>
      <c r="CF670" s="61"/>
      <c r="CG670" s="61">
        <f t="shared" si="94"/>
        <v>75542804</v>
      </c>
      <c r="CH670" s="62">
        <f>VLOOKUP(B670,[1]RPTNCT049_ConsultaSaldosContabl!I$4:K$7987,3,0)</f>
        <v>31336508</v>
      </c>
      <c r="CI670" s="62">
        <f t="shared" si="95"/>
        <v>44206296</v>
      </c>
      <c r="CJ670" s="63">
        <f t="shared" si="96"/>
        <v>75542804</v>
      </c>
      <c r="CK670" s="64">
        <f t="shared" si="97"/>
        <v>0</v>
      </c>
      <c r="CL670" s="16"/>
      <c r="CM670" s="16"/>
      <c r="CN670" s="16"/>
    </row>
    <row r="671" spans="1:96" ht="15" customHeight="1" x14ac:dyDescent="0.2">
      <c r="A671" s="1">
        <v>8000959802</v>
      </c>
      <c r="B671" s="1">
        <v>800095980</v>
      </c>
      <c r="C671" s="9">
        <v>211719517</v>
      </c>
      <c r="D671" s="10" t="s">
        <v>395</v>
      </c>
      <c r="E671" s="52" t="s">
        <v>1424</v>
      </c>
      <c r="F671" s="21"/>
      <c r="G671" s="59"/>
      <c r="H671" s="21"/>
      <c r="I671" s="59"/>
      <c r="J671" s="21"/>
      <c r="K671" s="21"/>
      <c r="L671" s="59"/>
      <c r="M671" s="60"/>
      <c r="N671" s="21"/>
      <c r="O671" s="59"/>
      <c r="P671" s="21"/>
      <c r="Q671" s="59"/>
      <c r="R671" s="21"/>
      <c r="S671" s="21"/>
      <c r="T671" s="59"/>
      <c r="U671" s="60">
        <f t="shared" si="92"/>
        <v>0</v>
      </c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>
        <f>VLOOKUP(B671,[2]Hoja3!J$3:K$674,2,0)</f>
        <v>122000177</v>
      </c>
      <c r="BB671" s="60"/>
      <c r="BC671" s="61">
        <f t="shared" si="93"/>
        <v>122000177</v>
      </c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>
        <v>0</v>
      </c>
      <c r="BO671" s="60"/>
      <c r="BP671" s="61">
        <v>122000177</v>
      </c>
      <c r="BQ671" s="61"/>
      <c r="BR671" s="61"/>
      <c r="BS671" s="61"/>
      <c r="BT671" s="61"/>
      <c r="BU671" s="61"/>
      <c r="BV671" s="61"/>
      <c r="BW671" s="61"/>
      <c r="BX671" s="61"/>
      <c r="BY671" s="61"/>
      <c r="BZ671" s="61"/>
      <c r="CA671" s="61"/>
      <c r="CB671" s="61"/>
      <c r="CC671" s="61">
        <v>0</v>
      </c>
      <c r="CD671" s="61"/>
      <c r="CE671" s="61"/>
      <c r="CF671" s="61"/>
      <c r="CG671" s="61">
        <f t="shared" si="94"/>
        <v>122000177</v>
      </c>
      <c r="CH671" s="62"/>
      <c r="CI671" s="62">
        <f t="shared" si="95"/>
        <v>122000177</v>
      </c>
      <c r="CJ671" s="63">
        <f t="shared" si="96"/>
        <v>122000177</v>
      </c>
      <c r="CK671" s="64">
        <f t="shared" si="97"/>
        <v>0</v>
      </c>
      <c r="CL671" s="16"/>
      <c r="CM671" s="8"/>
      <c r="CN671" s="8"/>
      <c r="CO671" s="8"/>
      <c r="CP671" s="8"/>
      <c r="CQ671" s="8"/>
      <c r="CR671" s="8"/>
    </row>
    <row r="672" spans="1:96" ht="15" customHeight="1" x14ac:dyDescent="0.2">
      <c r="A672" s="1">
        <v>8911801944</v>
      </c>
      <c r="B672" s="1">
        <v>891180194</v>
      </c>
      <c r="C672" s="9">
        <v>211841518</v>
      </c>
      <c r="D672" s="10" t="s">
        <v>612</v>
      </c>
      <c r="E672" s="52" t="s">
        <v>1631</v>
      </c>
      <c r="F672" s="21"/>
      <c r="G672" s="59"/>
      <c r="H672" s="21"/>
      <c r="I672" s="59"/>
      <c r="J672" s="21"/>
      <c r="K672" s="21"/>
      <c r="L672" s="59"/>
      <c r="M672" s="60"/>
      <c r="N672" s="21"/>
      <c r="O672" s="59"/>
      <c r="P672" s="21"/>
      <c r="Q672" s="59"/>
      <c r="R672" s="21"/>
      <c r="S672" s="21"/>
      <c r="T672" s="59"/>
      <c r="U672" s="60">
        <f t="shared" si="92"/>
        <v>0</v>
      </c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>
        <v>40515250</v>
      </c>
      <c r="AZ672" s="60"/>
      <c r="BA672" s="60">
        <f>VLOOKUP(B672,[2]Hoja3!J$3:K$674,2,0)</f>
        <v>95999155</v>
      </c>
      <c r="BB672" s="60"/>
      <c r="BC672" s="61">
        <f t="shared" si="93"/>
        <v>136514405</v>
      </c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>
        <v>8103050</v>
      </c>
      <c r="BO672" s="60"/>
      <c r="BP672" s="61">
        <v>144617455</v>
      </c>
      <c r="BQ672" s="61"/>
      <c r="BR672" s="61"/>
      <c r="BS672" s="61"/>
      <c r="BT672" s="61"/>
      <c r="BU672" s="61"/>
      <c r="BV672" s="61"/>
      <c r="BW672" s="61"/>
      <c r="BX672" s="61"/>
      <c r="BY672" s="61"/>
      <c r="BZ672" s="61"/>
      <c r="CA672" s="61"/>
      <c r="CB672" s="61"/>
      <c r="CC672" s="61">
        <v>8103050</v>
      </c>
      <c r="CD672" s="61"/>
      <c r="CE672" s="61"/>
      <c r="CF672" s="61"/>
      <c r="CG672" s="61">
        <f t="shared" si="94"/>
        <v>152720505</v>
      </c>
      <c r="CH672" s="62">
        <f>VLOOKUP(B672,[1]RPTNCT049_ConsultaSaldosContabl!I$4:K$7987,3,0)</f>
        <v>56721350</v>
      </c>
      <c r="CI672" s="62">
        <f t="shared" si="95"/>
        <v>95999155</v>
      </c>
      <c r="CJ672" s="63">
        <f t="shared" si="96"/>
        <v>152720505</v>
      </c>
      <c r="CK672" s="64">
        <f t="shared" si="97"/>
        <v>0</v>
      </c>
      <c r="CL672" s="16"/>
      <c r="CM672" s="16"/>
      <c r="CN672" s="16"/>
    </row>
    <row r="673" spans="1:96" ht="15" customHeight="1" x14ac:dyDescent="0.2">
      <c r="A673" s="1">
        <v>8000966107</v>
      </c>
      <c r="B673" s="1">
        <v>800096610</v>
      </c>
      <c r="C673" s="9">
        <v>211720517</v>
      </c>
      <c r="D673" s="10" t="s">
        <v>428</v>
      </c>
      <c r="E673" s="52" t="s">
        <v>1455</v>
      </c>
      <c r="F673" s="21"/>
      <c r="G673" s="59"/>
      <c r="H673" s="21"/>
      <c r="I673" s="59"/>
      <c r="J673" s="21"/>
      <c r="K673" s="21"/>
      <c r="L673" s="59"/>
      <c r="M673" s="60"/>
      <c r="N673" s="21"/>
      <c r="O673" s="59"/>
      <c r="P673" s="21"/>
      <c r="Q673" s="59"/>
      <c r="R673" s="21"/>
      <c r="S673" s="21"/>
      <c r="T673" s="59"/>
      <c r="U673" s="60">
        <f t="shared" si="92"/>
        <v>0</v>
      </c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>
        <v>243743704</v>
      </c>
      <c r="AN673" s="60">
        <f t="shared" ref="AN673:AN678" si="100">SUBTOTAL(9,AC673:AM673)</f>
        <v>243743704</v>
      </c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>
        <v>158759990</v>
      </c>
      <c r="AZ673" s="60"/>
      <c r="BA673" s="60">
        <f>VLOOKUP(B673,[2]Hoja3!J$3:K$674,2,0)</f>
        <v>18422494</v>
      </c>
      <c r="BB673" s="60"/>
      <c r="BC673" s="61">
        <f t="shared" si="93"/>
        <v>420926188</v>
      </c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>
        <v>31751998</v>
      </c>
      <c r="BO673" s="60"/>
      <c r="BP673" s="61">
        <v>452678186</v>
      </c>
      <c r="BQ673" s="61"/>
      <c r="BR673" s="61"/>
      <c r="BS673" s="61"/>
      <c r="BT673" s="61"/>
      <c r="BU673" s="61"/>
      <c r="BV673" s="61"/>
      <c r="BW673" s="61"/>
      <c r="BX673" s="61"/>
      <c r="BY673" s="61"/>
      <c r="BZ673" s="61"/>
      <c r="CA673" s="61"/>
      <c r="CB673" s="61"/>
      <c r="CC673" s="61">
        <v>31751998</v>
      </c>
      <c r="CD673" s="61"/>
      <c r="CE673" s="61"/>
      <c r="CF673" s="61"/>
      <c r="CG673" s="61">
        <f t="shared" si="94"/>
        <v>484430184</v>
      </c>
      <c r="CH673" s="62">
        <f>VLOOKUP(B673,[1]RPTNCT049_ConsultaSaldosContabl!I$4:K$7987,3,0)</f>
        <v>222263986</v>
      </c>
      <c r="CI673" s="62">
        <f t="shared" si="95"/>
        <v>262166198</v>
      </c>
      <c r="CJ673" s="63">
        <f t="shared" si="96"/>
        <v>484430184</v>
      </c>
      <c r="CK673" s="64">
        <f t="shared" si="97"/>
        <v>0</v>
      </c>
      <c r="CL673" s="16"/>
      <c r="CM673" s="16"/>
      <c r="CN673" s="16"/>
    </row>
    <row r="674" spans="1:96" ht="15" customHeight="1" x14ac:dyDescent="0.2">
      <c r="A674" s="1">
        <v>8999997046</v>
      </c>
      <c r="B674" s="1">
        <v>899999704</v>
      </c>
      <c r="C674" s="9">
        <v>211825518</v>
      </c>
      <c r="D674" s="10" t="s">
        <v>520</v>
      </c>
      <c r="E674" s="52" t="s">
        <v>1546</v>
      </c>
      <c r="F674" s="21"/>
      <c r="G674" s="59"/>
      <c r="H674" s="21"/>
      <c r="I674" s="59"/>
      <c r="J674" s="21"/>
      <c r="K674" s="21"/>
      <c r="L674" s="59"/>
      <c r="M674" s="60"/>
      <c r="N674" s="21"/>
      <c r="O674" s="59"/>
      <c r="P674" s="21"/>
      <c r="Q674" s="59"/>
      <c r="R674" s="21"/>
      <c r="S674" s="21"/>
      <c r="T674" s="59"/>
      <c r="U674" s="60">
        <f t="shared" si="92"/>
        <v>0</v>
      </c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>
        <v>62210214</v>
      </c>
      <c r="AN674" s="60">
        <f t="shared" si="100"/>
        <v>62210214</v>
      </c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>
        <v>43907810</v>
      </c>
      <c r="AZ674" s="60"/>
      <c r="BA674" s="60"/>
      <c r="BB674" s="60"/>
      <c r="BC674" s="61">
        <f t="shared" si="93"/>
        <v>106118024</v>
      </c>
      <c r="BD674" s="60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>
        <v>8781562</v>
      </c>
      <c r="BO674" s="60"/>
      <c r="BP674" s="61">
        <v>114899586</v>
      </c>
      <c r="BQ674" s="61"/>
      <c r="BR674" s="61"/>
      <c r="BS674" s="61"/>
      <c r="BT674" s="61"/>
      <c r="BU674" s="61"/>
      <c r="BV674" s="61"/>
      <c r="BW674" s="61"/>
      <c r="BX674" s="61"/>
      <c r="BY674" s="61"/>
      <c r="BZ674" s="61"/>
      <c r="CA674" s="61"/>
      <c r="CB674" s="61"/>
      <c r="CC674" s="61">
        <v>8781562</v>
      </c>
      <c r="CD674" s="61"/>
      <c r="CE674" s="61"/>
      <c r="CF674" s="61"/>
      <c r="CG674" s="61">
        <f t="shared" si="94"/>
        <v>123681148</v>
      </c>
      <c r="CH674" s="62">
        <f>VLOOKUP(B674,[1]RPTNCT049_ConsultaSaldosContabl!I$4:K$7987,3,0)</f>
        <v>61470934</v>
      </c>
      <c r="CI674" s="62">
        <f t="shared" si="95"/>
        <v>62210214</v>
      </c>
      <c r="CJ674" s="63">
        <f t="shared" si="96"/>
        <v>123681148</v>
      </c>
      <c r="CK674" s="64">
        <f t="shared" si="97"/>
        <v>0</v>
      </c>
      <c r="CL674" s="16"/>
      <c r="CM674" s="16"/>
      <c r="CN674" s="16"/>
    </row>
    <row r="675" spans="1:96" ht="15" customHeight="1" x14ac:dyDescent="0.2">
      <c r="A675" s="1">
        <v>8918012401</v>
      </c>
      <c r="B675" s="1">
        <v>891801240</v>
      </c>
      <c r="C675" s="9">
        <v>211615516</v>
      </c>
      <c r="D675" s="10" t="s">
        <v>280</v>
      </c>
      <c r="E675" s="52" t="s">
        <v>1313</v>
      </c>
      <c r="F675" s="21"/>
      <c r="G675" s="59"/>
      <c r="H675" s="21"/>
      <c r="I675" s="59"/>
      <c r="J675" s="21"/>
      <c r="K675" s="21"/>
      <c r="L675" s="59"/>
      <c r="M675" s="60"/>
      <c r="N675" s="21"/>
      <c r="O675" s="59"/>
      <c r="P675" s="21"/>
      <c r="Q675" s="59"/>
      <c r="R675" s="21"/>
      <c r="S675" s="21"/>
      <c r="T675" s="59"/>
      <c r="U675" s="60">
        <f t="shared" si="92"/>
        <v>0</v>
      </c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>
        <v>42384193</v>
      </c>
      <c r="AN675" s="60">
        <f t="shared" si="100"/>
        <v>42384193</v>
      </c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>
        <v>179020200</v>
      </c>
      <c r="AZ675" s="60"/>
      <c r="BA675" s="60">
        <f>VLOOKUP(B675,[2]Hoja3!J$3:K$674,2,0)</f>
        <v>375559943</v>
      </c>
      <c r="BB675" s="60"/>
      <c r="BC675" s="61">
        <f t="shared" si="93"/>
        <v>596964336</v>
      </c>
      <c r="BD675" s="60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>
        <v>35804040</v>
      </c>
      <c r="BO675" s="60"/>
      <c r="BP675" s="61">
        <v>632768376</v>
      </c>
      <c r="BQ675" s="61"/>
      <c r="BR675" s="61"/>
      <c r="BS675" s="61"/>
      <c r="BT675" s="61"/>
      <c r="BU675" s="61"/>
      <c r="BV675" s="61"/>
      <c r="BW675" s="61"/>
      <c r="BX675" s="61"/>
      <c r="BY675" s="61"/>
      <c r="BZ675" s="61"/>
      <c r="CA675" s="61"/>
      <c r="CB675" s="61"/>
      <c r="CC675" s="61">
        <v>35804040</v>
      </c>
      <c r="CD675" s="61"/>
      <c r="CE675" s="61"/>
      <c r="CF675" s="61"/>
      <c r="CG675" s="61">
        <f t="shared" si="94"/>
        <v>668572416</v>
      </c>
      <c r="CH675" s="62">
        <f>VLOOKUP(B675,[1]RPTNCT049_ConsultaSaldosContabl!I$4:K$7987,3,0)</f>
        <v>250628280</v>
      </c>
      <c r="CI675" s="62">
        <f t="shared" si="95"/>
        <v>417944136</v>
      </c>
      <c r="CJ675" s="63">
        <f t="shared" si="96"/>
        <v>668572416</v>
      </c>
      <c r="CK675" s="64">
        <f t="shared" si="97"/>
        <v>0</v>
      </c>
      <c r="CL675" s="16"/>
      <c r="CM675" s="8"/>
      <c r="CN675" s="8"/>
      <c r="CO675" s="8"/>
      <c r="CP675" s="8"/>
      <c r="CQ675" s="8"/>
      <c r="CR675" s="8"/>
    </row>
    <row r="676" spans="1:96" ht="15" customHeight="1" x14ac:dyDescent="0.2">
      <c r="A676" s="1">
        <v>8000655937</v>
      </c>
      <c r="B676" s="1">
        <v>800065593</v>
      </c>
      <c r="C676" s="9">
        <v>211815518</v>
      </c>
      <c r="D676" s="10" t="s">
        <v>281</v>
      </c>
      <c r="E676" s="52" t="s">
        <v>1314</v>
      </c>
      <c r="F676" s="21"/>
      <c r="G676" s="59"/>
      <c r="H676" s="21"/>
      <c r="I676" s="59"/>
      <c r="J676" s="21"/>
      <c r="K676" s="21"/>
      <c r="L676" s="59"/>
      <c r="M676" s="60"/>
      <c r="N676" s="21"/>
      <c r="O676" s="59"/>
      <c r="P676" s="21"/>
      <c r="Q676" s="59"/>
      <c r="R676" s="21"/>
      <c r="S676" s="21"/>
      <c r="T676" s="59"/>
      <c r="U676" s="60">
        <f t="shared" si="92"/>
        <v>0</v>
      </c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>
        <v>31464048</v>
      </c>
      <c r="AN676" s="60">
        <f t="shared" si="100"/>
        <v>31464048</v>
      </c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>
        <v>16869385</v>
      </c>
      <c r="AZ676" s="60"/>
      <c r="BA676" s="60"/>
      <c r="BB676" s="60"/>
      <c r="BC676" s="61">
        <f t="shared" si="93"/>
        <v>48333433</v>
      </c>
      <c r="BD676" s="60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>
        <v>3373877</v>
      </c>
      <c r="BO676" s="60"/>
      <c r="BP676" s="61">
        <v>51707310</v>
      </c>
      <c r="BQ676" s="61"/>
      <c r="BR676" s="61"/>
      <c r="BS676" s="61"/>
      <c r="BT676" s="61"/>
      <c r="BU676" s="61"/>
      <c r="BV676" s="61"/>
      <c r="BW676" s="61"/>
      <c r="BX676" s="61"/>
      <c r="BY676" s="61"/>
      <c r="BZ676" s="61"/>
      <c r="CA676" s="61"/>
      <c r="CB676" s="61"/>
      <c r="CC676" s="61">
        <v>3373877</v>
      </c>
      <c r="CD676" s="61"/>
      <c r="CE676" s="61"/>
      <c r="CF676" s="61"/>
      <c r="CG676" s="61">
        <f t="shared" si="94"/>
        <v>55081187</v>
      </c>
      <c r="CH676" s="62">
        <f>VLOOKUP(B676,[1]RPTNCT049_ConsultaSaldosContabl!I$4:K$7987,3,0)</f>
        <v>23617139</v>
      </c>
      <c r="CI676" s="62">
        <f t="shared" si="95"/>
        <v>31464048</v>
      </c>
      <c r="CJ676" s="63">
        <f t="shared" si="96"/>
        <v>55081187</v>
      </c>
      <c r="CK676" s="64">
        <f t="shared" si="97"/>
        <v>0</v>
      </c>
      <c r="CL676" s="16"/>
      <c r="CM676" s="8"/>
      <c r="CN676" s="8"/>
      <c r="CO676" s="8"/>
      <c r="CP676" s="8"/>
      <c r="CQ676" s="8"/>
      <c r="CR676" s="8"/>
    </row>
    <row r="677" spans="1:96" ht="15" customHeight="1" x14ac:dyDescent="0.2">
      <c r="A677" s="1">
        <v>8911800219</v>
      </c>
      <c r="B677" s="1">
        <v>891180021</v>
      </c>
      <c r="C677" s="9">
        <v>212441524</v>
      </c>
      <c r="D677" s="10" t="s">
        <v>613</v>
      </c>
      <c r="E677" s="52" t="s">
        <v>1632</v>
      </c>
      <c r="F677" s="21"/>
      <c r="G677" s="59"/>
      <c r="H677" s="21"/>
      <c r="I677" s="59"/>
      <c r="J677" s="21"/>
      <c r="K677" s="21"/>
      <c r="L677" s="59"/>
      <c r="M677" s="60"/>
      <c r="N677" s="21"/>
      <c r="O677" s="59"/>
      <c r="P677" s="21"/>
      <c r="Q677" s="59"/>
      <c r="R677" s="21"/>
      <c r="S677" s="21"/>
      <c r="T677" s="59"/>
      <c r="U677" s="60">
        <f t="shared" si="92"/>
        <v>0</v>
      </c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>
        <v>371791332</v>
      </c>
      <c r="AN677" s="60">
        <f t="shared" si="100"/>
        <v>371791332</v>
      </c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>
        <v>158944410</v>
      </c>
      <c r="AZ677" s="60"/>
      <c r="BA677" s="60"/>
      <c r="BB677" s="60"/>
      <c r="BC677" s="61">
        <f t="shared" si="93"/>
        <v>530735742</v>
      </c>
      <c r="BD677" s="60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>
        <v>31788882</v>
      </c>
      <c r="BO677" s="60"/>
      <c r="BP677" s="61">
        <v>562524624</v>
      </c>
      <c r="BQ677" s="61"/>
      <c r="BR677" s="61"/>
      <c r="BS677" s="61"/>
      <c r="BT677" s="61"/>
      <c r="BU677" s="61"/>
      <c r="BV677" s="61"/>
      <c r="BW677" s="61"/>
      <c r="BX677" s="61"/>
      <c r="BY677" s="61"/>
      <c r="BZ677" s="61"/>
      <c r="CA677" s="61"/>
      <c r="CB677" s="61"/>
      <c r="CC677" s="61">
        <v>31788882</v>
      </c>
      <c r="CD677" s="61"/>
      <c r="CE677" s="61"/>
      <c r="CF677" s="61"/>
      <c r="CG677" s="61">
        <f t="shared" si="94"/>
        <v>594313506</v>
      </c>
      <c r="CH677" s="62">
        <f>VLOOKUP(B677,[1]RPTNCT049_ConsultaSaldosContabl!I$4:K$7987,3,0)</f>
        <v>222522174</v>
      </c>
      <c r="CI677" s="62">
        <f t="shared" si="95"/>
        <v>371791332</v>
      </c>
      <c r="CJ677" s="63">
        <f t="shared" si="96"/>
        <v>594313506</v>
      </c>
      <c r="CK677" s="64">
        <f t="shared" si="97"/>
        <v>0</v>
      </c>
      <c r="CL677" s="16"/>
      <c r="CM677" s="16"/>
      <c r="CN677" s="16"/>
    </row>
    <row r="678" spans="1:96" ht="15" customHeight="1" x14ac:dyDescent="0.2">
      <c r="A678" s="1">
        <v>8908011417</v>
      </c>
      <c r="B678" s="1">
        <v>890801141</v>
      </c>
      <c r="C678" s="9">
        <v>212417524</v>
      </c>
      <c r="D678" s="10" t="s">
        <v>351</v>
      </c>
      <c r="E678" s="52" t="s">
        <v>2084</v>
      </c>
      <c r="F678" s="21"/>
      <c r="G678" s="59"/>
      <c r="H678" s="21"/>
      <c r="I678" s="59"/>
      <c r="J678" s="21"/>
      <c r="K678" s="21"/>
      <c r="L678" s="59"/>
      <c r="M678" s="60"/>
      <c r="N678" s="21"/>
      <c r="O678" s="59"/>
      <c r="P678" s="21"/>
      <c r="Q678" s="59"/>
      <c r="R678" s="21"/>
      <c r="S678" s="21"/>
      <c r="T678" s="59"/>
      <c r="U678" s="60">
        <f t="shared" si="92"/>
        <v>0</v>
      </c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>
        <v>243541760</v>
      </c>
      <c r="AN678" s="60">
        <f t="shared" si="100"/>
        <v>243541760</v>
      </c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>
        <v>114603225</v>
      </c>
      <c r="AZ678" s="60"/>
      <c r="BA678" s="60"/>
      <c r="BB678" s="60"/>
      <c r="BC678" s="61">
        <f t="shared" si="93"/>
        <v>358144985</v>
      </c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>
        <v>22920645</v>
      </c>
      <c r="BO678" s="60"/>
      <c r="BP678" s="61">
        <v>381065630</v>
      </c>
      <c r="BQ678" s="61"/>
      <c r="BR678" s="61"/>
      <c r="BS678" s="61"/>
      <c r="BT678" s="61"/>
      <c r="BU678" s="61"/>
      <c r="BV678" s="61"/>
      <c r="BW678" s="61"/>
      <c r="BX678" s="61"/>
      <c r="BY678" s="61"/>
      <c r="BZ678" s="61"/>
      <c r="CA678" s="61"/>
      <c r="CB678" s="61"/>
      <c r="CC678" s="61">
        <v>22920645</v>
      </c>
      <c r="CD678" s="61"/>
      <c r="CE678" s="61"/>
      <c r="CF678" s="61"/>
      <c r="CG678" s="61">
        <f t="shared" si="94"/>
        <v>403986275</v>
      </c>
      <c r="CH678" s="62">
        <f>VLOOKUP(B678,[1]RPTNCT049_ConsultaSaldosContabl!I$4:K$7987,3,0)</f>
        <v>160444515</v>
      </c>
      <c r="CI678" s="62">
        <f t="shared" si="95"/>
        <v>243541760</v>
      </c>
      <c r="CJ678" s="63">
        <f t="shared" si="96"/>
        <v>403986275</v>
      </c>
      <c r="CK678" s="64">
        <f t="shared" si="97"/>
        <v>0</v>
      </c>
      <c r="CL678" s="16"/>
      <c r="CM678" s="16"/>
      <c r="CN678" s="16"/>
    </row>
    <row r="679" spans="1:96" ht="15" customHeight="1" x14ac:dyDescent="0.2">
      <c r="A679" s="1">
        <v>8911027641</v>
      </c>
      <c r="B679" s="1">
        <v>891102764</v>
      </c>
      <c r="C679" s="9">
        <v>213041530</v>
      </c>
      <c r="D679" s="10" t="s">
        <v>614</v>
      </c>
      <c r="E679" s="52" t="s">
        <v>1633</v>
      </c>
      <c r="F679" s="21"/>
      <c r="G679" s="59"/>
      <c r="H679" s="21"/>
      <c r="I679" s="59"/>
      <c r="J679" s="21"/>
      <c r="K679" s="21"/>
      <c r="L679" s="59"/>
      <c r="M679" s="60"/>
      <c r="N679" s="21"/>
      <c r="O679" s="59"/>
      <c r="P679" s="21"/>
      <c r="Q679" s="59"/>
      <c r="R679" s="21"/>
      <c r="S679" s="21"/>
      <c r="T679" s="59"/>
      <c r="U679" s="60">
        <f t="shared" si="92"/>
        <v>0</v>
      </c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>
        <v>88308295</v>
      </c>
      <c r="AZ679" s="60"/>
      <c r="BA679" s="60">
        <f>VLOOKUP(B679,[2]Hoja3!J$3:K$674,2,0)</f>
        <v>206854243</v>
      </c>
      <c r="BB679" s="60"/>
      <c r="BC679" s="61">
        <f t="shared" si="93"/>
        <v>295162538</v>
      </c>
      <c r="BD679" s="60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>
        <v>17661659</v>
      </c>
      <c r="BO679" s="60"/>
      <c r="BP679" s="61">
        <v>312824197</v>
      </c>
      <c r="BQ679" s="61"/>
      <c r="BR679" s="61"/>
      <c r="BS679" s="61"/>
      <c r="BT679" s="61"/>
      <c r="BU679" s="61"/>
      <c r="BV679" s="61"/>
      <c r="BW679" s="61"/>
      <c r="BX679" s="61"/>
      <c r="BY679" s="61"/>
      <c r="BZ679" s="61"/>
      <c r="CA679" s="61"/>
      <c r="CB679" s="61"/>
      <c r="CC679" s="61">
        <v>17661659</v>
      </c>
      <c r="CD679" s="61"/>
      <c r="CE679" s="61"/>
      <c r="CF679" s="61"/>
      <c r="CG679" s="61">
        <f t="shared" si="94"/>
        <v>330485856</v>
      </c>
      <c r="CH679" s="62">
        <f>VLOOKUP(B679,[1]RPTNCT049_ConsultaSaldosContabl!I$4:K$7987,3,0)</f>
        <v>123631613</v>
      </c>
      <c r="CI679" s="62">
        <f t="shared" si="95"/>
        <v>206854243</v>
      </c>
      <c r="CJ679" s="63">
        <f t="shared" si="96"/>
        <v>330485856</v>
      </c>
      <c r="CK679" s="64">
        <f t="shared" si="97"/>
        <v>0</v>
      </c>
      <c r="CL679" s="16"/>
      <c r="CM679" s="8"/>
      <c r="CN679" s="8"/>
      <c r="CO679" s="8"/>
      <c r="CP679" s="8"/>
      <c r="CQ679" s="8"/>
      <c r="CR679" s="8"/>
    </row>
    <row r="680" spans="1:96" ht="15" customHeight="1" x14ac:dyDescent="0.2">
      <c r="A680" s="1">
        <v>8000944498</v>
      </c>
      <c r="B680" s="1">
        <v>800094449</v>
      </c>
      <c r="C680" s="9">
        <v>212008520</v>
      </c>
      <c r="D680" s="10" t="s">
        <v>2144</v>
      </c>
      <c r="E680" s="52" t="s">
        <v>1197</v>
      </c>
      <c r="F680" s="21"/>
      <c r="G680" s="59"/>
      <c r="H680" s="21"/>
      <c r="I680" s="59"/>
      <c r="J680" s="21"/>
      <c r="K680" s="21"/>
      <c r="L680" s="59"/>
      <c r="M680" s="60"/>
      <c r="N680" s="21"/>
      <c r="O680" s="59"/>
      <c r="P680" s="21"/>
      <c r="Q680" s="59"/>
      <c r="R680" s="21"/>
      <c r="S680" s="21"/>
      <c r="T680" s="59"/>
      <c r="U680" s="60">
        <f t="shared" si="92"/>
        <v>0</v>
      </c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>
        <v>286660649</v>
      </c>
      <c r="AN680" s="60">
        <f>SUBTOTAL(9,AC680:AM680)</f>
        <v>286660649</v>
      </c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>
        <v>179596765</v>
      </c>
      <c r="AZ680" s="60"/>
      <c r="BA680" s="60">
        <f>VLOOKUP(B680,[2]Hoja3!J$3:K$674,2,0)</f>
        <v>122409936</v>
      </c>
      <c r="BB680" s="60"/>
      <c r="BC680" s="61">
        <f t="shared" si="93"/>
        <v>588667350</v>
      </c>
      <c r="BD680" s="60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>
        <v>35919353</v>
      </c>
      <c r="BO680" s="60"/>
      <c r="BP680" s="61">
        <v>624586703</v>
      </c>
      <c r="BQ680" s="61"/>
      <c r="BR680" s="61"/>
      <c r="BS680" s="61"/>
      <c r="BT680" s="61"/>
      <c r="BU680" s="61"/>
      <c r="BV680" s="61"/>
      <c r="BW680" s="61"/>
      <c r="BX680" s="61"/>
      <c r="BY680" s="61"/>
      <c r="BZ680" s="61"/>
      <c r="CA680" s="61"/>
      <c r="CB680" s="61"/>
      <c r="CC680" s="61">
        <v>35919353</v>
      </c>
      <c r="CD680" s="61"/>
      <c r="CE680" s="61"/>
      <c r="CF680" s="61"/>
      <c r="CG680" s="61">
        <f t="shared" si="94"/>
        <v>660506056</v>
      </c>
      <c r="CH680" s="62">
        <f>VLOOKUP(B680,[1]RPTNCT049_ConsultaSaldosContabl!I$4:K$7987,3,0)</f>
        <v>251435471</v>
      </c>
      <c r="CI680" s="62">
        <f t="shared" si="95"/>
        <v>409070585</v>
      </c>
      <c r="CJ680" s="63">
        <f t="shared" si="96"/>
        <v>660506056</v>
      </c>
      <c r="CK680" s="64">
        <f t="shared" si="97"/>
        <v>0</v>
      </c>
      <c r="CL680" s="16"/>
      <c r="CM680" s="16"/>
      <c r="CN680" s="16"/>
    </row>
    <row r="681" spans="1:96" ht="15" customHeight="1" x14ac:dyDescent="0.2">
      <c r="A681" s="1">
        <v>8000998185</v>
      </c>
      <c r="B681" s="1">
        <v>800099818</v>
      </c>
      <c r="C681" s="9">
        <v>212268522</v>
      </c>
      <c r="D681" s="10" t="s">
        <v>863</v>
      </c>
      <c r="E681" s="52" t="s">
        <v>1876</v>
      </c>
      <c r="F681" s="21"/>
      <c r="G681" s="59"/>
      <c r="H681" s="21"/>
      <c r="I681" s="59"/>
      <c r="J681" s="21"/>
      <c r="K681" s="21"/>
      <c r="L681" s="59"/>
      <c r="M681" s="60"/>
      <c r="N681" s="21"/>
      <c r="O681" s="59"/>
      <c r="P681" s="21"/>
      <c r="Q681" s="59"/>
      <c r="R681" s="21"/>
      <c r="S681" s="21"/>
      <c r="T681" s="59"/>
      <c r="U681" s="60">
        <f t="shared" si="92"/>
        <v>0</v>
      </c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>
        <v>21221908</v>
      </c>
      <c r="AN681" s="60">
        <f>SUBTOTAL(9,AC681:AM681)</f>
        <v>21221908</v>
      </c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1">
        <f t="shared" si="93"/>
        <v>21221908</v>
      </c>
      <c r="BD681" s="60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>
        <v>0</v>
      </c>
      <c r="BO681" s="60"/>
      <c r="BP681" s="61">
        <v>21221908</v>
      </c>
      <c r="BQ681" s="61"/>
      <c r="BR681" s="61"/>
      <c r="BS681" s="61"/>
      <c r="BT681" s="61"/>
      <c r="BU681" s="61"/>
      <c r="BV681" s="61"/>
      <c r="BW681" s="61"/>
      <c r="BX681" s="61"/>
      <c r="BY681" s="61"/>
      <c r="BZ681" s="61"/>
      <c r="CA681" s="61"/>
      <c r="CB681" s="61"/>
      <c r="CC681" s="61">
        <v>0</v>
      </c>
      <c r="CD681" s="61"/>
      <c r="CE681" s="61"/>
      <c r="CF681" s="61"/>
      <c r="CG681" s="61">
        <f t="shared" si="94"/>
        <v>21221908</v>
      </c>
      <c r="CH681" s="62"/>
      <c r="CI681" s="62">
        <f t="shared" si="95"/>
        <v>21221908</v>
      </c>
      <c r="CJ681" s="63">
        <f t="shared" si="96"/>
        <v>21221908</v>
      </c>
      <c r="CK681" s="64">
        <f t="shared" si="97"/>
        <v>0</v>
      </c>
      <c r="CL681" s="16"/>
      <c r="CM681" s="16"/>
      <c r="CN681" s="16"/>
    </row>
    <row r="682" spans="1:96" ht="15" customHeight="1" x14ac:dyDescent="0.2">
      <c r="A682" s="1">
        <v>8000032532</v>
      </c>
      <c r="B682" s="1">
        <v>800003253</v>
      </c>
      <c r="C682" s="9">
        <v>212468524</v>
      </c>
      <c r="D682" s="10" t="s">
        <v>864</v>
      </c>
      <c r="E682" s="52" t="s">
        <v>1877</v>
      </c>
      <c r="F682" s="21"/>
      <c r="G682" s="59"/>
      <c r="H682" s="21"/>
      <c r="I682" s="59"/>
      <c r="J682" s="21"/>
      <c r="K682" s="21"/>
      <c r="L682" s="59"/>
      <c r="M682" s="60"/>
      <c r="N682" s="21"/>
      <c r="O682" s="59"/>
      <c r="P682" s="21"/>
      <c r="Q682" s="59"/>
      <c r="R682" s="21"/>
      <c r="S682" s="21"/>
      <c r="T682" s="59"/>
      <c r="U682" s="60">
        <f t="shared" si="92"/>
        <v>0</v>
      </c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>
        <v>37511658</v>
      </c>
      <c r="AN682" s="60">
        <f>SUBTOTAL(9,AC682:AM682)</f>
        <v>37511658</v>
      </c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>
        <v>14940980</v>
      </c>
      <c r="AZ682" s="60"/>
      <c r="BA682" s="60"/>
      <c r="BB682" s="60"/>
      <c r="BC682" s="61">
        <f t="shared" si="93"/>
        <v>52452638</v>
      </c>
      <c r="BD682" s="60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>
        <v>2988196</v>
      </c>
      <c r="BO682" s="60"/>
      <c r="BP682" s="61">
        <v>55440834</v>
      </c>
      <c r="BQ682" s="61"/>
      <c r="BR682" s="61"/>
      <c r="BS682" s="61"/>
      <c r="BT682" s="61"/>
      <c r="BU682" s="61"/>
      <c r="BV682" s="61"/>
      <c r="BW682" s="61"/>
      <c r="BX682" s="61"/>
      <c r="BY682" s="61"/>
      <c r="BZ682" s="61"/>
      <c r="CA682" s="61"/>
      <c r="CB682" s="61"/>
      <c r="CC682" s="61">
        <v>2988196</v>
      </c>
      <c r="CD682" s="61"/>
      <c r="CE682" s="61"/>
      <c r="CF682" s="61"/>
      <c r="CG682" s="61">
        <f t="shared" si="94"/>
        <v>58429030</v>
      </c>
      <c r="CH682" s="62">
        <f>VLOOKUP(B682,[1]RPTNCT049_ConsultaSaldosContabl!I$4:K$7987,3,0)</f>
        <v>20917372</v>
      </c>
      <c r="CI682" s="62">
        <f t="shared" si="95"/>
        <v>37511658</v>
      </c>
      <c r="CJ682" s="63">
        <f t="shared" si="96"/>
        <v>58429030</v>
      </c>
      <c r="CK682" s="64">
        <f t="shared" si="97"/>
        <v>0</v>
      </c>
      <c r="CL682" s="16"/>
      <c r="CM682" s="16"/>
      <c r="CN682" s="16"/>
    </row>
    <row r="683" spans="1:96" ht="15" customHeight="1" x14ac:dyDescent="0.2">
      <c r="A683" s="1">
        <v>8913800073</v>
      </c>
      <c r="B683" s="1">
        <v>891380007</v>
      </c>
      <c r="C683" s="9">
        <v>212076520</v>
      </c>
      <c r="D683" s="10" t="s">
        <v>2179</v>
      </c>
      <c r="E683" s="53" t="s">
        <v>1054</v>
      </c>
      <c r="F683" s="21"/>
      <c r="G683" s="59"/>
      <c r="H683" s="21"/>
      <c r="I683" s="66">
        <f>6073048368+89039398</f>
        <v>6162087766</v>
      </c>
      <c r="J683" s="21">
        <v>413909452</v>
      </c>
      <c r="K683" s="21">
        <v>827272074</v>
      </c>
      <c r="L683" s="59"/>
      <c r="M683" s="61">
        <f>SUM(F683:L683)</f>
        <v>7403269292</v>
      </c>
      <c r="N683" s="21"/>
      <c r="O683" s="59"/>
      <c r="P683" s="21"/>
      <c r="Q683" s="59">
        <f>5927177024+40472453</f>
        <v>5967649477</v>
      </c>
      <c r="R683" s="21">
        <v>414062811</v>
      </c>
      <c r="S683" s="21">
        <f>413362622+414062811</f>
        <v>827425433</v>
      </c>
      <c r="T683" s="59"/>
      <c r="U683" s="60">
        <f t="shared" si="92"/>
        <v>14612407013</v>
      </c>
      <c r="V683" s="60"/>
      <c r="W683" s="60"/>
      <c r="X683" s="60"/>
      <c r="Y683" s="60">
        <v>7574901386</v>
      </c>
      <c r="Z683" s="60">
        <v>386909058</v>
      </c>
      <c r="AA683" s="60">
        <v>902489393</v>
      </c>
      <c r="AB683" s="60"/>
      <c r="AC683" s="60">
        <f t="shared" ref="AC644:AC707" si="101">SUM(U683:AB683)</f>
        <v>23476706850</v>
      </c>
      <c r="AD683" s="60"/>
      <c r="AE683" s="60"/>
      <c r="AF683" s="60"/>
      <c r="AG683" s="60"/>
      <c r="AH683" s="60">
        <v>6966348500</v>
      </c>
      <c r="AI683" s="60">
        <v>539746603</v>
      </c>
      <c r="AJ683" s="60">
        <v>422028973</v>
      </c>
      <c r="AK683" s="60">
        <v>1064239290</v>
      </c>
      <c r="AL683" s="60"/>
      <c r="AM683" s="60">
        <v>3062489252</v>
      </c>
      <c r="AN683" s="60">
        <f>SUBTOTAL(9,AC683:AM683)</f>
        <v>35531559468</v>
      </c>
      <c r="AO683" s="60"/>
      <c r="AP683" s="60"/>
      <c r="AQ683" s="60">
        <v>1016251440</v>
      </c>
      <c r="AR683" s="60"/>
      <c r="AS683" s="60"/>
      <c r="AT683" s="60">
        <v>6966348500</v>
      </c>
      <c r="AU683" s="60"/>
      <c r="AV683" s="60">
        <v>422028973</v>
      </c>
      <c r="AW683" s="60">
        <v>721033874</v>
      </c>
      <c r="AX683" s="60"/>
      <c r="AY683" s="60"/>
      <c r="AZ683" s="60"/>
      <c r="BA683" s="60">
        <f>VLOOKUP(B683,[2]Hoja3!J$3:K$674,2,0)</f>
        <v>66180672</v>
      </c>
      <c r="BB683" s="60">
        <f>VLOOKUP(B683,'[3]anuladas en mayo gratuidad}'!K$2:L$55,2,0)</f>
        <v>75390113</v>
      </c>
      <c r="BC683" s="61">
        <f t="shared" si="93"/>
        <v>44648012814</v>
      </c>
      <c r="BD683" s="60"/>
      <c r="BE683" s="60"/>
      <c r="BF683" s="60">
        <v>203250288</v>
      </c>
      <c r="BG683" s="60"/>
      <c r="BH683" s="60"/>
      <c r="BI683" s="60">
        <v>6668254500</v>
      </c>
      <c r="BJ683" s="60">
        <v>404007500</v>
      </c>
      <c r="BK683" s="60">
        <v>456283360</v>
      </c>
      <c r="BL683" s="60">
        <v>1133908960</v>
      </c>
      <c r="BM683" s="60"/>
      <c r="BN683" s="60"/>
      <c r="BO683" s="60"/>
      <c r="BP683" s="61">
        <v>53513717422</v>
      </c>
      <c r="BQ683" s="61"/>
      <c r="BR683" s="61"/>
      <c r="BS683" s="61">
        <v>203250288</v>
      </c>
      <c r="BT683" s="61"/>
      <c r="BU683" s="61"/>
      <c r="BV683" s="61"/>
      <c r="BW683" s="61">
        <v>6092877256</v>
      </c>
      <c r="BX683" s="61"/>
      <c r="BY683" s="61">
        <v>2650217033</v>
      </c>
      <c r="BZ683" s="61">
        <v>426954355</v>
      </c>
      <c r="CA683" s="61">
        <v>1117075093</v>
      </c>
      <c r="CB683" s="61"/>
      <c r="CC683" s="61"/>
      <c r="CD683" s="61"/>
      <c r="CE683" s="61">
        <v>75390113</v>
      </c>
      <c r="CF683" s="61"/>
      <c r="CG683" s="61">
        <f t="shared" si="94"/>
        <v>64079481560</v>
      </c>
      <c r="CH683" s="62">
        <f>VLOOKUP(B683,[1]RPTNCT049_ConsultaSaldosContabl!I$4:K$7987,3,0)</f>
        <v>60950811636</v>
      </c>
      <c r="CI683" s="62">
        <f t="shared" si="95"/>
        <v>3128669924</v>
      </c>
      <c r="CJ683" s="63">
        <f t="shared" si="96"/>
        <v>64079481560</v>
      </c>
      <c r="CK683" s="64">
        <f t="shared" si="97"/>
        <v>0</v>
      </c>
      <c r="CL683" s="16"/>
      <c r="CM683" s="16"/>
      <c r="CN683" s="16"/>
    </row>
    <row r="684" spans="1:96" ht="15" customHeight="1" x14ac:dyDescent="0.2">
      <c r="A684" s="1">
        <v>8922003128</v>
      </c>
      <c r="B684" s="1">
        <v>892200312</v>
      </c>
      <c r="C684" s="9">
        <v>212370523</v>
      </c>
      <c r="D684" s="10" t="s">
        <v>904</v>
      </c>
      <c r="E684" s="52" t="s">
        <v>1917</v>
      </c>
      <c r="F684" s="21"/>
      <c r="G684" s="59"/>
      <c r="H684" s="21"/>
      <c r="I684" s="59"/>
      <c r="J684" s="21"/>
      <c r="K684" s="21"/>
      <c r="L684" s="59"/>
      <c r="M684" s="60"/>
      <c r="N684" s="21"/>
      <c r="O684" s="59"/>
      <c r="P684" s="21"/>
      <c r="Q684" s="59"/>
      <c r="R684" s="21"/>
      <c r="S684" s="21"/>
      <c r="T684" s="59"/>
      <c r="U684" s="60">
        <f t="shared" si="92"/>
        <v>0</v>
      </c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>
        <v>282348719</v>
      </c>
      <c r="AN684" s="60">
        <f>SUBTOTAL(9,AC684:AM684)</f>
        <v>282348719</v>
      </c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>
        <v>185494790</v>
      </c>
      <c r="AZ684" s="60"/>
      <c r="BA684" s="60"/>
      <c r="BB684" s="60"/>
      <c r="BC684" s="61">
        <f t="shared" si="93"/>
        <v>467843509</v>
      </c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>
        <v>37098958</v>
      </c>
      <c r="BO684" s="60"/>
      <c r="BP684" s="61">
        <v>504942467</v>
      </c>
      <c r="BQ684" s="61"/>
      <c r="BR684" s="61"/>
      <c r="BS684" s="61"/>
      <c r="BT684" s="61"/>
      <c r="BU684" s="61"/>
      <c r="BV684" s="61"/>
      <c r="BW684" s="61"/>
      <c r="BX684" s="61"/>
      <c r="BY684" s="61"/>
      <c r="BZ684" s="61"/>
      <c r="CA684" s="61"/>
      <c r="CB684" s="61"/>
      <c r="CC684" s="61">
        <v>37098958</v>
      </c>
      <c r="CD684" s="61"/>
      <c r="CE684" s="61"/>
      <c r="CF684" s="61"/>
      <c r="CG684" s="61">
        <f t="shared" si="94"/>
        <v>542041425</v>
      </c>
      <c r="CH684" s="62">
        <f>VLOOKUP(B684,[1]RPTNCT049_ConsultaSaldosContabl!I$4:K$7987,3,0)</f>
        <v>259692706</v>
      </c>
      <c r="CI684" s="62">
        <f t="shared" si="95"/>
        <v>282348719</v>
      </c>
      <c r="CJ684" s="63">
        <f t="shared" si="96"/>
        <v>542041425</v>
      </c>
      <c r="CK684" s="64">
        <f t="shared" si="97"/>
        <v>0</v>
      </c>
      <c r="CL684" s="16"/>
      <c r="CM684" s="16"/>
      <c r="CN684" s="16"/>
    </row>
    <row r="685" spans="1:96" ht="15" customHeight="1" x14ac:dyDescent="0.2">
      <c r="A685" s="1">
        <v>8090026375</v>
      </c>
      <c r="B685" s="1">
        <v>809002637</v>
      </c>
      <c r="C685" s="9">
        <v>212073520</v>
      </c>
      <c r="D685" s="10" t="s">
        <v>2230</v>
      </c>
      <c r="E685" s="52" t="s">
        <v>1956</v>
      </c>
      <c r="F685" s="21"/>
      <c r="G685" s="59"/>
      <c r="H685" s="21"/>
      <c r="I685" s="59"/>
      <c r="J685" s="21"/>
      <c r="K685" s="21"/>
      <c r="L685" s="59"/>
      <c r="M685" s="60"/>
      <c r="N685" s="21"/>
      <c r="O685" s="59"/>
      <c r="P685" s="21"/>
      <c r="Q685" s="59"/>
      <c r="R685" s="21"/>
      <c r="S685" s="21"/>
      <c r="T685" s="59"/>
      <c r="U685" s="60">
        <f t="shared" si="92"/>
        <v>0</v>
      </c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>
        <v>60253555</v>
      </c>
      <c r="AZ685" s="60"/>
      <c r="BA685" s="60">
        <f>VLOOKUP(B685,[2]Hoja3!J$3:K$674,2,0)</f>
        <v>136144900</v>
      </c>
      <c r="BB685" s="60"/>
      <c r="BC685" s="61">
        <f t="shared" si="93"/>
        <v>196398455</v>
      </c>
      <c r="BD685" s="60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>
        <v>12050711</v>
      </c>
      <c r="BO685" s="60"/>
      <c r="BP685" s="61">
        <v>208449166</v>
      </c>
      <c r="BQ685" s="61"/>
      <c r="BR685" s="61"/>
      <c r="BS685" s="61"/>
      <c r="BT685" s="61"/>
      <c r="BU685" s="61"/>
      <c r="BV685" s="61"/>
      <c r="BW685" s="61"/>
      <c r="BX685" s="61"/>
      <c r="BY685" s="61"/>
      <c r="BZ685" s="61"/>
      <c r="CA685" s="61"/>
      <c r="CB685" s="61"/>
      <c r="CC685" s="61">
        <v>12050711</v>
      </c>
      <c r="CD685" s="61"/>
      <c r="CE685" s="61"/>
      <c r="CF685" s="61"/>
      <c r="CG685" s="61">
        <f t="shared" si="94"/>
        <v>220499877</v>
      </c>
      <c r="CH685" s="62">
        <f>VLOOKUP(B685,[1]RPTNCT049_ConsultaSaldosContabl!I$4:K$7987,3,0)</f>
        <v>84354977</v>
      </c>
      <c r="CI685" s="62">
        <f t="shared" si="95"/>
        <v>136144900</v>
      </c>
      <c r="CJ685" s="63">
        <f t="shared" si="96"/>
        <v>220499877</v>
      </c>
      <c r="CK685" s="64">
        <f t="shared" si="97"/>
        <v>0</v>
      </c>
      <c r="CL685" s="16"/>
      <c r="CM685" s="16"/>
      <c r="CN685" s="16"/>
    </row>
    <row r="686" spans="1:96" ht="15" customHeight="1" x14ac:dyDescent="0.2">
      <c r="A686" s="1">
        <v>8000076526</v>
      </c>
      <c r="B686" s="1">
        <v>800007652</v>
      </c>
      <c r="C686" s="9">
        <v>211854518</v>
      </c>
      <c r="D686" s="10" t="s">
        <v>775</v>
      </c>
      <c r="E686" s="52" t="s">
        <v>1792</v>
      </c>
      <c r="F686" s="21"/>
      <c r="G686" s="59"/>
      <c r="H686" s="21"/>
      <c r="I686" s="59"/>
      <c r="J686" s="21"/>
      <c r="K686" s="21"/>
      <c r="L686" s="59"/>
      <c r="M686" s="60"/>
      <c r="N686" s="21"/>
      <c r="O686" s="59"/>
      <c r="P686" s="21"/>
      <c r="Q686" s="59"/>
      <c r="R686" s="21"/>
      <c r="S686" s="21"/>
      <c r="T686" s="59"/>
      <c r="U686" s="60">
        <f t="shared" si="92"/>
        <v>0</v>
      </c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>
        <v>465542125</v>
      </c>
      <c r="AN686" s="60">
        <f>SUBTOTAL(9,AC686:AM686)</f>
        <v>465542125</v>
      </c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>
        <v>295657425</v>
      </c>
      <c r="AZ686" s="60"/>
      <c r="BA686" s="60">
        <f>VLOOKUP(B686,[2]Hoja3!J$3:K$674,2,0)</f>
        <v>93343255</v>
      </c>
      <c r="BB686" s="60"/>
      <c r="BC686" s="61">
        <f t="shared" si="93"/>
        <v>854542805</v>
      </c>
      <c r="BD686" s="60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>
        <v>59131485</v>
      </c>
      <c r="BO686" s="60"/>
      <c r="BP686" s="61">
        <v>913674290</v>
      </c>
      <c r="BQ686" s="61"/>
      <c r="BR686" s="61"/>
      <c r="BS686" s="61"/>
      <c r="BT686" s="61"/>
      <c r="BU686" s="61"/>
      <c r="BV686" s="61"/>
      <c r="BW686" s="61"/>
      <c r="BX686" s="61"/>
      <c r="BY686" s="61"/>
      <c r="BZ686" s="61"/>
      <c r="CA686" s="61"/>
      <c r="CB686" s="61"/>
      <c r="CC686" s="61">
        <v>59131485</v>
      </c>
      <c r="CD686" s="61"/>
      <c r="CE686" s="61"/>
      <c r="CF686" s="61"/>
      <c r="CG686" s="61">
        <f t="shared" si="94"/>
        <v>972805775</v>
      </c>
      <c r="CH686" s="62">
        <f>VLOOKUP(B686,[1]RPTNCT049_ConsultaSaldosContabl!I$4:K$7987,3,0)</f>
        <v>413920395</v>
      </c>
      <c r="CI686" s="62">
        <f t="shared" si="95"/>
        <v>558885380</v>
      </c>
      <c r="CJ686" s="63">
        <f t="shared" si="96"/>
        <v>972805775</v>
      </c>
      <c r="CK686" s="64">
        <f t="shared" si="97"/>
        <v>0</v>
      </c>
      <c r="CL686" s="16"/>
      <c r="CM686" s="16"/>
      <c r="CN686" s="16"/>
    </row>
    <row r="687" spans="1:96" ht="15" customHeight="1" x14ac:dyDescent="0.2">
      <c r="A687" s="1">
        <v>8905061168</v>
      </c>
      <c r="B687" s="1">
        <v>890506116</v>
      </c>
      <c r="C687" s="9">
        <v>212054520</v>
      </c>
      <c r="D687" s="10" t="s">
        <v>776</v>
      </c>
      <c r="E687" s="52" t="s">
        <v>1793</v>
      </c>
      <c r="F687" s="21"/>
      <c r="G687" s="59"/>
      <c r="H687" s="21"/>
      <c r="I687" s="59"/>
      <c r="J687" s="21"/>
      <c r="K687" s="21"/>
      <c r="L687" s="59"/>
      <c r="M687" s="60"/>
      <c r="N687" s="21"/>
      <c r="O687" s="59"/>
      <c r="P687" s="21"/>
      <c r="Q687" s="59"/>
      <c r="R687" s="21"/>
      <c r="S687" s="21"/>
      <c r="T687" s="59"/>
      <c r="U687" s="60">
        <f t="shared" si="92"/>
        <v>0</v>
      </c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>
        <v>45118822</v>
      </c>
      <c r="AN687" s="60">
        <f>SUBTOTAL(9,AC687:AM687)</f>
        <v>45118822</v>
      </c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>
        <v>37955275</v>
      </c>
      <c r="AZ687" s="60"/>
      <c r="BA687" s="60">
        <f>VLOOKUP(B687,[2]Hoja3!J$3:K$674,2,0)</f>
        <v>37665089</v>
      </c>
      <c r="BB687" s="60"/>
      <c r="BC687" s="61">
        <f t="shared" si="93"/>
        <v>120739186</v>
      </c>
      <c r="BD687" s="60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>
        <v>7591055</v>
      </c>
      <c r="BO687" s="60"/>
      <c r="BP687" s="61">
        <v>128330241</v>
      </c>
      <c r="BQ687" s="61"/>
      <c r="BR687" s="61"/>
      <c r="BS687" s="61"/>
      <c r="BT687" s="61"/>
      <c r="BU687" s="61"/>
      <c r="BV687" s="61"/>
      <c r="BW687" s="61"/>
      <c r="BX687" s="61"/>
      <c r="BY687" s="61"/>
      <c r="BZ687" s="61"/>
      <c r="CA687" s="61"/>
      <c r="CB687" s="61"/>
      <c r="CC687" s="61">
        <v>7591055</v>
      </c>
      <c r="CD687" s="61"/>
      <c r="CE687" s="61"/>
      <c r="CF687" s="61"/>
      <c r="CG687" s="61">
        <f t="shared" si="94"/>
        <v>135921296</v>
      </c>
      <c r="CH687" s="62">
        <f>VLOOKUP(B687,[1]RPTNCT049_ConsultaSaldosContabl!I$4:K$7987,3,0)</f>
        <v>53137385</v>
      </c>
      <c r="CI687" s="62">
        <f t="shared" si="95"/>
        <v>82783911</v>
      </c>
      <c r="CJ687" s="63">
        <f t="shared" si="96"/>
        <v>135921296</v>
      </c>
      <c r="CK687" s="64">
        <f t="shared" si="97"/>
        <v>0</v>
      </c>
      <c r="CL687" s="16"/>
      <c r="CM687" s="8"/>
      <c r="CN687" s="8"/>
      <c r="CO687" s="8"/>
      <c r="CP687" s="8"/>
      <c r="CQ687" s="8"/>
      <c r="CR687" s="8"/>
    </row>
    <row r="688" spans="1:96" ht="15" customHeight="1" x14ac:dyDescent="0.2">
      <c r="A688" s="1">
        <v>8906801731</v>
      </c>
      <c r="B688" s="1">
        <v>890680173</v>
      </c>
      <c r="C688" s="9">
        <v>212425524</v>
      </c>
      <c r="D688" s="10" t="s">
        <v>521</v>
      </c>
      <c r="E688" s="52" t="s">
        <v>1547</v>
      </c>
      <c r="F688" s="21"/>
      <c r="G688" s="59"/>
      <c r="H688" s="21"/>
      <c r="I688" s="59"/>
      <c r="J688" s="21"/>
      <c r="K688" s="21"/>
      <c r="L688" s="59"/>
      <c r="M688" s="60"/>
      <c r="N688" s="21"/>
      <c r="O688" s="59"/>
      <c r="P688" s="21"/>
      <c r="Q688" s="59"/>
      <c r="R688" s="21"/>
      <c r="S688" s="21"/>
      <c r="T688" s="59"/>
      <c r="U688" s="60">
        <f t="shared" si="92"/>
        <v>0</v>
      </c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>
        <v>68521380</v>
      </c>
      <c r="AN688" s="60">
        <f>SUBTOTAL(9,AC688:AM688)</f>
        <v>68521380</v>
      </c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>
        <v>36800890</v>
      </c>
      <c r="AZ688" s="60"/>
      <c r="BA688" s="60"/>
      <c r="BB688" s="60"/>
      <c r="BC688" s="61">
        <f t="shared" si="93"/>
        <v>105322270</v>
      </c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>
        <v>7360178</v>
      </c>
      <c r="BO688" s="60"/>
      <c r="BP688" s="61">
        <v>112682448</v>
      </c>
      <c r="BQ688" s="61"/>
      <c r="BR688" s="61"/>
      <c r="BS688" s="61"/>
      <c r="BT688" s="61"/>
      <c r="BU688" s="61"/>
      <c r="BV688" s="61"/>
      <c r="BW688" s="61"/>
      <c r="BX688" s="61"/>
      <c r="BY688" s="61"/>
      <c r="BZ688" s="61"/>
      <c r="CA688" s="61"/>
      <c r="CB688" s="61"/>
      <c r="CC688" s="61">
        <v>7360178</v>
      </c>
      <c r="CD688" s="61"/>
      <c r="CE688" s="61"/>
      <c r="CF688" s="61"/>
      <c r="CG688" s="61">
        <f t="shared" si="94"/>
        <v>120042626</v>
      </c>
      <c r="CH688" s="62">
        <f>VLOOKUP(B688,[1]RPTNCT049_ConsultaSaldosContabl!I$4:K$7987,3,0)</f>
        <v>51521246</v>
      </c>
      <c r="CI688" s="62">
        <f t="shared" si="95"/>
        <v>68521380</v>
      </c>
      <c r="CJ688" s="63">
        <f t="shared" si="96"/>
        <v>120042626</v>
      </c>
      <c r="CK688" s="64">
        <f t="shared" si="97"/>
        <v>0</v>
      </c>
      <c r="CL688" s="16"/>
      <c r="CM688" s="16"/>
      <c r="CN688" s="16"/>
    </row>
    <row r="689" spans="1:96" ht="15" customHeight="1" x14ac:dyDescent="0.2">
      <c r="A689" s="1">
        <v>8000126289</v>
      </c>
      <c r="B689" s="1">
        <v>800012628</v>
      </c>
      <c r="C689" s="9">
        <v>212215522</v>
      </c>
      <c r="D689" s="10" t="s">
        <v>282</v>
      </c>
      <c r="E689" s="52" t="s">
        <v>1315</v>
      </c>
      <c r="F689" s="21"/>
      <c r="G689" s="59"/>
      <c r="H689" s="21"/>
      <c r="I689" s="59"/>
      <c r="J689" s="21"/>
      <c r="K689" s="21"/>
      <c r="L689" s="59"/>
      <c r="M689" s="60"/>
      <c r="N689" s="21"/>
      <c r="O689" s="59"/>
      <c r="P689" s="21"/>
      <c r="Q689" s="59"/>
      <c r="R689" s="21"/>
      <c r="S689" s="21"/>
      <c r="T689" s="59"/>
      <c r="U689" s="60">
        <f t="shared" si="92"/>
        <v>0</v>
      </c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>
        <v>14765465</v>
      </c>
      <c r="AZ689" s="60"/>
      <c r="BA689" s="60">
        <f>VLOOKUP(B689,[2]Hoja3!J$3:K$674,2,0)</f>
        <v>29151559</v>
      </c>
      <c r="BB689" s="60"/>
      <c r="BC689" s="61">
        <f t="shared" si="93"/>
        <v>43917024</v>
      </c>
      <c r="BD689" s="60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>
        <v>2953093</v>
      </c>
      <c r="BO689" s="60"/>
      <c r="BP689" s="61">
        <v>46870117</v>
      </c>
      <c r="BQ689" s="61"/>
      <c r="BR689" s="61"/>
      <c r="BS689" s="61"/>
      <c r="BT689" s="61"/>
      <c r="BU689" s="61"/>
      <c r="BV689" s="61"/>
      <c r="BW689" s="61"/>
      <c r="BX689" s="61"/>
      <c r="BY689" s="61"/>
      <c r="BZ689" s="61"/>
      <c r="CA689" s="61"/>
      <c r="CB689" s="61"/>
      <c r="CC689" s="61">
        <v>2953093</v>
      </c>
      <c r="CD689" s="61"/>
      <c r="CE689" s="61"/>
      <c r="CF689" s="61"/>
      <c r="CG689" s="61">
        <f t="shared" si="94"/>
        <v>49823210</v>
      </c>
      <c r="CH689" s="62">
        <f>VLOOKUP(B689,[1]RPTNCT049_ConsultaSaldosContabl!I$4:K$7987,3,0)</f>
        <v>20671651</v>
      </c>
      <c r="CI689" s="62">
        <f t="shared" si="95"/>
        <v>29151559</v>
      </c>
      <c r="CJ689" s="63">
        <f t="shared" si="96"/>
        <v>49823210</v>
      </c>
      <c r="CK689" s="64">
        <f t="shared" si="97"/>
        <v>0</v>
      </c>
      <c r="CL689" s="16"/>
      <c r="CM689" s="8"/>
      <c r="CN689" s="8"/>
      <c r="CO689" s="8"/>
      <c r="CP689" s="8"/>
      <c r="CQ689" s="8"/>
      <c r="CR689" s="8"/>
    </row>
    <row r="690" spans="1:96" ht="15" customHeight="1" x14ac:dyDescent="0.2">
      <c r="A690" s="1">
        <v>8000998192</v>
      </c>
      <c r="B690" s="1">
        <v>800099819</v>
      </c>
      <c r="C690" s="9">
        <v>213368533</v>
      </c>
      <c r="D690" s="10" t="s">
        <v>865</v>
      </c>
      <c r="E690" s="52" t="s">
        <v>1878</v>
      </c>
      <c r="F690" s="21"/>
      <c r="G690" s="59"/>
      <c r="H690" s="21"/>
      <c r="I690" s="59"/>
      <c r="J690" s="21"/>
      <c r="K690" s="21"/>
      <c r="L690" s="59"/>
      <c r="M690" s="60"/>
      <c r="N690" s="21"/>
      <c r="O690" s="59"/>
      <c r="P690" s="21"/>
      <c r="Q690" s="59"/>
      <c r="R690" s="21"/>
      <c r="S690" s="21"/>
      <c r="T690" s="59"/>
      <c r="U690" s="60">
        <f t="shared" si="92"/>
        <v>0</v>
      </c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>
        <v>65522676</v>
      </c>
      <c r="AN690" s="60">
        <f>SUBTOTAL(9,AC690:AM690)</f>
        <v>65522676</v>
      </c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>
        <v>21570755</v>
      </c>
      <c r="AZ690" s="60"/>
      <c r="BA690" s="60"/>
      <c r="BB690" s="60"/>
      <c r="BC690" s="61">
        <f t="shared" si="93"/>
        <v>87093431</v>
      </c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>
        <v>4314151</v>
      </c>
      <c r="BO690" s="60"/>
      <c r="BP690" s="61">
        <v>91407582</v>
      </c>
      <c r="BQ690" s="61"/>
      <c r="BR690" s="61"/>
      <c r="BS690" s="61"/>
      <c r="BT690" s="61"/>
      <c r="BU690" s="61"/>
      <c r="BV690" s="61"/>
      <c r="BW690" s="61"/>
      <c r="BX690" s="61"/>
      <c r="BY690" s="61"/>
      <c r="BZ690" s="61"/>
      <c r="CA690" s="61"/>
      <c r="CB690" s="61"/>
      <c r="CC690" s="61">
        <v>4314151</v>
      </c>
      <c r="CD690" s="61"/>
      <c r="CE690" s="61"/>
      <c r="CF690" s="61"/>
      <c r="CG690" s="61">
        <f t="shared" si="94"/>
        <v>95721733</v>
      </c>
      <c r="CH690" s="62">
        <f>VLOOKUP(B690,[1]RPTNCT049_ConsultaSaldosContabl!I$4:K$7987,3,0)</f>
        <v>30199057</v>
      </c>
      <c r="CI690" s="62">
        <f t="shared" si="95"/>
        <v>65522676</v>
      </c>
      <c r="CJ690" s="63">
        <f t="shared" si="96"/>
        <v>95721733</v>
      </c>
      <c r="CK690" s="64">
        <f t="shared" si="97"/>
        <v>0</v>
      </c>
      <c r="CL690" s="16"/>
      <c r="CM690" s="16"/>
      <c r="CN690" s="16"/>
    </row>
    <row r="691" spans="1:96" ht="15" customHeight="1" x14ac:dyDescent="0.2">
      <c r="A691" s="1">
        <v>8000741205</v>
      </c>
      <c r="B691" s="1">
        <v>800074120</v>
      </c>
      <c r="C691" s="9">
        <v>213025530</v>
      </c>
      <c r="D691" s="10" t="s">
        <v>522</v>
      </c>
      <c r="E691" s="52" t="s">
        <v>1548</v>
      </c>
      <c r="F691" s="21"/>
      <c r="G691" s="59"/>
      <c r="H691" s="21"/>
      <c r="I691" s="59"/>
      <c r="J691" s="21"/>
      <c r="K691" s="21"/>
      <c r="L691" s="59"/>
      <c r="M691" s="60"/>
      <c r="N691" s="21"/>
      <c r="O691" s="59"/>
      <c r="P691" s="21"/>
      <c r="Q691" s="59"/>
      <c r="R691" s="21"/>
      <c r="S691" s="21"/>
      <c r="T691" s="59"/>
      <c r="U691" s="60">
        <f t="shared" si="92"/>
        <v>0</v>
      </c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>
        <v>170950761</v>
      </c>
      <c r="AN691" s="60">
        <f>SUBTOTAL(9,AC691:AM691)</f>
        <v>170950761</v>
      </c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>
        <v>60383115</v>
      </c>
      <c r="AZ691" s="60"/>
      <c r="BA691" s="60"/>
      <c r="BB691" s="60"/>
      <c r="BC691" s="61">
        <f t="shared" si="93"/>
        <v>231333876</v>
      </c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>
        <v>12076623</v>
      </c>
      <c r="BO691" s="60"/>
      <c r="BP691" s="61">
        <v>243410499</v>
      </c>
      <c r="BQ691" s="61"/>
      <c r="BR691" s="61"/>
      <c r="BS691" s="61"/>
      <c r="BT691" s="61"/>
      <c r="BU691" s="61"/>
      <c r="BV691" s="61"/>
      <c r="BW691" s="61"/>
      <c r="BX691" s="61"/>
      <c r="BY691" s="61"/>
      <c r="BZ691" s="61"/>
      <c r="CA691" s="61"/>
      <c r="CB691" s="61"/>
      <c r="CC691" s="61">
        <v>12076623</v>
      </c>
      <c r="CD691" s="61"/>
      <c r="CE691" s="61"/>
      <c r="CF691" s="61"/>
      <c r="CG691" s="61">
        <f t="shared" si="94"/>
        <v>255487122</v>
      </c>
      <c r="CH691" s="62">
        <f>VLOOKUP(B691,[1]RPTNCT049_ConsultaSaldosContabl!I$4:K$7987,3,0)</f>
        <v>84536361</v>
      </c>
      <c r="CI691" s="62">
        <f t="shared" si="95"/>
        <v>170950761</v>
      </c>
      <c r="CJ691" s="63">
        <f t="shared" si="96"/>
        <v>255487122</v>
      </c>
      <c r="CK691" s="64">
        <f t="shared" si="97"/>
        <v>0</v>
      </c>
      <c r="CL691" s="16"/>
      <c r="CM691" s="16"/>
      <c r="CN691" s="16"/>
    </row>
    <row r="692" spans="1:96" ht="15" customHeight="1" x14ac:dyDescent="0.2">
      <c r="A692" s="1">
        <v>8906801541</v>
      </c>
      <c r="B692" s="1">
        <v>890680154</v>
      </c>
      <c r="C692" s="9">
        <v>213525535</v>
      </c>
      <c r="D692" s="10" t="s">
        <v>523</v>
      </c>
      <c r="E692" s="52" t="s">
        <v>1549</v>
      </c>
      <c r="F692" s="21"/>
      <c r="G692" s="59"/>
      <c r="H692" s="21"/>
      <c r="I692" s="59"/>
      <c r="J692" s="21"/>
      <c r="K692" s="21"/>
      <c r="L692" s="59"/>
      <c r="M692" s="60"/>
      <c r="N692" s="21"/>
      <c r="O692" s="59"/>
      <c r="P692" s="21"/>
      <c r="Q692" s="59"/>
      <c r="R692" s="21"/>
      <c r="S692" s="21"/>
      <c r="T692" s="59"/>
      <c r="U692" s="60">
        <f t="shared" si="92"/>
        <v>0</v>
      </c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>
        <v>181528535</v>
      </c>
      <c r="AN692" s="60">
        <f>SUBTOTAL(9,AC692:AM692)</f>
        <v>181528535</v>
      </c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>
        <v>88232765</v>
      </c>
      <c r="AZ692" s="60"/>
      <c r="BA692" s="60"/>
      <c r="BB692" s="60"/>
      <c r="BC692" s="61">
        <f t="shared" si="93"/>
        <v>269761300</v>
      </c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>
        <v>17646553</v>
      </c>
      <c r="BO692" s="60"/>
      <c r="BP692" s="61">
        <v>287407853</v>
      </c>
      <c r="BQ692" s="61"/>
      <c r="BR692" s="61"/>
      <c r="BS692" s="61"/>
      <c r="BT692" s="61"/>
      <c r="BU692" s="61"/>
      <c r="BV692" s="61"/>
      <c r="BW692" s="61"/>
      <c r="BX692" s="61"/>
      <c r="BY692" s="61"/>
      <c r="BZ692" s="61"/>
      <c r="CA692" s="61"/>
      <c r="CB692" s="61"/>
      <c r="CC692" s="61">
        <v>17646553</v>
      </c>
      <c r="CD692" s="61"/>
      <c r="CE692" s="61"/>
      <c r="CF692" s="61"/>
      <c r="CG692" s="61">
        <f t="shared" si="94"/>
        <v>305054406</v>
      </c>
      <c r="CH692" s="62">
        <f>VLOOKUP(B692,[1]RPTNCT049_ConsultaSaldosContabl!I$4:K$7987,3,0)</f>
        <v>123525871</v>
      </c>
      <c r="CI692" s="62">
        <f t="shared" si="95"/>
        <v>181528535</v>
      </c>
      <c r="CJ692" s="63">
        <f t="shared" si="96"/>
        <v>305054406</v>
      </c>
      <c r="CK692" s="64">
        <f t="shared" si="97"/>
        <v>0</v>
      </c>
      <c r="CL692" s="16"/>
      <c r="CM692" s="16"/>
      <c r="CN692" s="16"/>
    </row>
    <row r="693" spans="1:96" ht="15" customHeight="1" x14ac:dyDescent="0.2">
      <c r="A693" s="1">
        <v>8912800003</v>
      </c>
      <c r="B693" s="1">
        <v>891280000</v>
      </c>
      <c r="C693" s="9">
        <v>210152001</v>
      </c>
      <c r="D693" s="10" t="s">
        <v>2180</v>
      </c>
      <c r="E693" s="53" t="s">
        <v>1053</v>
      </c>
      <c r="F693" s="21"/>
      <c r="G693" s="59"/>
      <c r="H693" s="21"/>
      <c r="I693" s="66">
        <f>10455417641+339545569</f>
        <v>10794963210</v>
      </c>
      <c r="J693" s="21">
        <v>706971757</v>
      </c>
      <c r="K693" s="21">
        <v>1407608905</v>
      </c>
      <c r="L693" s="59"/>
      <c r="M693" s="61">
        <f>SUM(F693:L693)</f>
        <v>12909543872</v>
      </c>
      <c r="N693" s="21"/>
      <c r="O693" s="59"/>
      <c r="P693" s="21"/>
      <c r="Q693" s="59">
        <f>9909954592+154338895</f>
        <v>10064293487</v>
      </c>
      <c r="R693" s="21">
        <v>706971757</v>
      </c>
      <c r="S693" s="21">
        <f>700637148+706971757</f>
        <v>1407608905</v>
      </c>
      <c r="T693" s="59"/>
      <c r="U693" s="60">
        <f t="shared" si="92"/>
        <v>25088418021</v>
      </c>
      <c r="V693" s="60"/>
      <c r="W693" s="60"/>
      <c r="X693" s="60"/>
      <c r="Y693" s="60">
        <v>17793449635</v>
      </c>
      <c r="Z693" s="60">
        <v>733343707</v>
      </c>
      <c r="AA693" s="60">
        <v>1666145270</v>
      </c>
      <c r="AB693" s="60"/>
      <c r="AC693" s="60">
        <f t="shared" si="101"/>
        <v>45281356633</v>
      </c>
      <c r="AD693" s="60"/>
      <c r="AE693" s="60"/>
      <c r="AF693" s="60"/>
      <c r="AG693" s="60"/>
      <c r="AH693" s="60">
        <v>10675344804</v>
      </c>
      <c r="AI693" s="60">
        <v>1395406373</v>
      </c>
      <c r="AJ693" s="60">
        <v>738151242</v>
      </c>
      <c r="AK693" s="60">
        <v>1859696997</v>
      </c>
      <c r="AL693" s="60"/>
      <c r="AM693" s="60">
        <v>3055277401</v>
      </c>
      <c r="AN693" s="60">
        <f>SUBTOTAL(9,AC693:AM693)</f>
        <v>63005233450</v>
      </c>
      <c r="AO693" s="60"/>
      <c r="AP693" s="60"/>
      <c r="AQ693" s="60">
        <v>1501340580</v>
      </c>
      <c r="AR693" s="60"/>
      <c r="AS693" s="60"/>
      <c r="AT693" s="60">
        <v>10675344804</v>
      </c>
      <c r="AU693" s="60"/>
      <c r="AV693" s="60">
        <v>738151242</v>
      </c>
      <c r="AW693" s="60">
        <v>1259441977</v>
      </c>
      <c r="AX693" s="60"/>
      <c r="AY693" s="60"/>
      <c r="AZ693" s="60"/>
      <c r="BA693" s="60">
        <f>VLOOKUP(B693,[2]Hoja3!J$3:K$674,2,0)</f>
        <v>401735692</v>
      </c>
      <c r="BB693" s="60"/>
      <c r="BC693" s="61">
        <f t="shared" si="93"/>
        <v>77581247745</v>
      </c>
      <c r="BD693" s="60"/>
      <c r="BE693" s="60"/>
      <c r="BF693" s="60">
        <v>300268116</v>
      </c>
      <c r="BG693" s="60"/>
      <c r="BH693" s="60"/>
      <c r="BI693" s="60">
        <v>10658960386</v>
      </c>
      <c r="BJ693" s="60">
        <v>178190607</v>
      </c>
      <c r="BK693" s="60">
        <v>721448731</v>
      </c>
      <c r="BL693" s="60">
        <v>1839964022</v>
      </c>
      <c r="BM693" s="60"/>
      <c r="BN693" s="60"/>
      <c r="BO693" s="60"/>
      <c r="BP693" s="61">
        <v>91280079607</v>
      </c>
      <c r="BQ693" s="61"/>
      <c r="BR693" s="61"/>
      <c r="BS693" s="61">
        <v>300268116</v>
      </c>
      <c r="BT693" s="61"/>
      <c r="BU693" s="61"/>
      <c r="BV693" s="61"/>
      <c r="BW693" s="61">
        <v>11048647214</v>
      </c>
      <c r="BX693" s="61"/>
      <c r="BY693" s="61">
        <v>4996469109</v>
      </c>
      <c r="BZ693" s="61">
        <v>729002509</v>
      </c>
      <c r="CA693" s="61">
        <v>1943556229</v>
      </c>
      <c r="CB693" s="61"/>
      <c r="CC693" s="61"/>
      <c r="CD693" s="61"/>
      <c r="CE693" s="61"/>
      <c r="CF693" s="61"/>
      <c r="CG693" s="61">
        <f t="shared" si="94"/>
        <v>110298022784</v>
      </c>
      <c r="CH693" s="62">
        <f>VLOOKUP(B693,[1]RPTNCT049_ConsultaSaldosContabl!I$4:K$7987,3,0)</f>
        <v>106841009691</v>
      </c>
      <c r="CI693" s="62">
        <f t="shared" si="95"/>
        <v>3457013093</v>
      </c>
      <c r="CJ693" s="63">
        <f t="shared" si="96"/>
        <v>110298022784</v>
      </c>
      <c r="CK693" s="64">
        <f t="shared" si="97"/>
        <v>0</v>
      </c>
      <c r="CL693" s="16"/>
      <c r="CM693" s="16"/>
      <c r="CN693" s="16"/>
    </row>
    <row r="694" spans="1:96" ht="15" customHeight="1" x14ac:dyDescent="0.2">
      <c r="A694" s="1">
        <v>8915021948</v>
      </c>
      <c r="B694" s="1">
        <v>891502194</v>
      </c>
      <c r="C694" s="9">
        <v>213219532</v>
      </c>
      <c r="D694" s="10" t="s">
        <v>396</v>
      </c>
      <c r="E694" s="52" t="s">
        <v>1425</v>
      </c>
      <c r="F694" s="21"/>
      <c r="G694" s="59"/>
      <c r="H694" s="21"/>
      <c r="I694" s="59"/>
      <c r="J694" s="21"/>
      <c r="K694" s="21"/>
      <c r="L694" s="59"/>
      <c r="M694" s="60"/>
      <c r="N694" s="21"/>
      <c r="O694" s="59"/>
      <c r="P694" s="21"/>
      <c r="Q694" s="59"/>
      <c r="R694" s="21"/>
      <c r="S694" s="21"/>
      <c r="T694" s="59"/>
      <c r="U694" s="60">
        <f t="shared" si="92"/>
        <v>0</v>
      </c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>
        <v>21156569</v>
      </c>
      <c r="AN694" s="60">
        <f>SUBTOTAL(9,AC694:AM694)</f>
        <v>21156569</v>
      </c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>
        <v>233793590</v>
      </c>
      <c r="AZ694" s="60"/>
      <c r="BA694" s="60">
        <f>VLOOKUP(B694,[2]Hoja3!J$3:K$674,2,0)</f>
        <v>454918575</v>
      </c>
      <c r="BB694" s="60"/>
      <c r="BC694" s="61">
        <f t="shared" si="93"/>
        <v>709868734</v>
      </c>
      <c r="BD694" s="60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>
        <v>46758718</v>
      </c>
      <c r="BO694" s="60"/>
      <c r="BP694" s="61">
        <v>756627452</v>
      </c>
      <c r="BQ694" s="61"/>
      <c r="BR694" s="61"/>
      <c r="BS694" s="61"/>
      <c r="BT694" s="61"/>
      <c r="BU694" s="61"/>
      <c r="BV694" s="61"/>
      <c r="BW694" s="61"/>
      <c r="BX694" s="61"/>
      <c r="BY694" s="61"/>
      <c r="BZ694" s="61"/>
      <c r="CA694" s="61"/>
      <c r="CB694" s="61"/>
      <c r="CC694" s="61">
        <v>46758718</v>
      </c>
      <c r="CD694" s="61"/>
      <c r="CE694" s="61"/>
      <c r="CF694" s="61"/>
      <c r="CG694" s="61">
        <f t="shared" si="94"/>
        <v>803386170</v>
      </c>
      <c r="CH694" s="62">
        <f>VLOOKUP(B694,[1]RPTNCT049_ConsultaSaldosContabl!I$4:K$7987,3,0)</f>
        <v>327311026</v>
      </c>
      <c r="CI694" s="62">
        <f t="shared" si="95"/>
        <v>476075144</v>
      </c>
      <c r="CJ694" s="63">
        <f t="shared" si="96"/>
        <v>803386170</v>
      </c>
      <c r="CK694" s="64">
        <f t="shared" si="97"/>
        <v>0</v>
      </c>
      <c r="CL694" s="16"/>
      <c r="CM694" s="16"/>
      <c r="CN694" s="16"/>
    </row>
    <row r="695" spans="1:96" ht="15" customHeight="1" x14ac:dyDescent="0.2">
      <c r="A695" s="1">
        <v>8918013685</v>
      </c>
      <c r="B695" s="1">
        <v>891801368</v>
      </c>
      <c r="C695" s="9">
        <v>213115531</v>
      </c>
      <c r="D695" s="10" t="s">
        <v>283</v>
      </c>
      <c r="E695" s="52" t="s">
        <v>1254</v>
      </c>
      <c r="F695" s="21"/>
      <c r="G695" s="59"/>
      <c r="H695" s="21"/>
      <c r="I695" s="59"/>
      <c r="J695" s="21"/>
      <c r="K695" s="21"/>
      <c r="L695" s="59"/>
      <c r="M695" s="60"/>
      <c r="N695" s="21"/>
      <c r="O695" s="59"/>
      <c r="P695" s="21"/>
      <c r="Q695" s="59"/>
      <c r="R695" s="21"/>
      <c r="S695" s="21"/>
      <c r="T695" s="59"/>
      <c r="U695" s="60">
        <f t="shared" si="92"/>
        <v>0</v>
      </c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>
        <v>70533710</v>
      </c>
      <c r="AZ695" s="60"/>
      <c r="BA695" s="60">
        <f>VLOOKUP(B695,[2]Hoja3!J$3:K$674,2,0)</f>
        <v>127842999</v>
      </c>
      <c r="BB695" s="60"/>
      <c r="BC695" s="61">
        <f t="shared" si="93"/>
        <v>198376709</v>
      </c>
      <c r="BD695" s="60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>
        <v>14106742</v>
      </c>
      <c r="BO695" s="60"/>
      <c r="BP695" s="61">
        <v>212483451</v>
      </c>
      <c r="BQ695" s="61"/>
      <c r="BR695" s="61"/>
      <c r="BS695" s="61"/>
      <c r="BT695" s="61"/>
      <c r="BU695" s="61"/>
      <c r="BV695" s="61"/>
      <c r="BW695" s="61"/>
      <c r="BX695" s="61"/>
      <c r="BY695" s="61"/>
      <c r="BZ695" s="61"/>
      <c r="CA695" s="61"/>
      <c r="CB695" s="61"/>
      <c r="CC695" s="61">
        <v>14106742</v>
      </c>
      <c r="CD695" s="61"/>
      <c r="CE695" s="61"/>
      <c r="CF695" s="61"/>
      <c r="CG695" s="61">
        <f t="shared" si="94"/>
        <v>226590193</v>
      </c>
      <c r="CH695" s="62">
        <f>VLOOKUP(B695,[1]RPTNCT049_ConsultaSaldosContabl!I$4:K$7987,3,0)</f>
        <v>98747194</v>
      </c>
      <c r="CI695" s="62">
        <f t="shared" si="95"/>
        <v>127842999</v>
      </c>
      <c r="CJ695" s="63">
        <f t="shared" si="96"/>
        <v>226590193</v>
      </c>
      <c r="CK695" s="64">
        <f t="shared" si="97"/>
        <v>0</v>
      </c>
      <c r="CL695" s="16"/>
      <c r="CM695" s="8"/>
      <c r="CN695" s="8"/>
      <c r="CO695" s="8"/>
      <c r="CP695" s="8"/>
      <c r="CQ695" s="8"/>
      <c r="CR695" s="8"/>
    </row>
    <row r="696" spans="1:96" ht="15" customHeight="1" x14ac:dyDescent="0.2">
      <c r="A696" s="1">
        <v>8000654115</v>
      </c>
      <c r="B696" s="1">
        <v>800065411</v>
      </c>
      <c r="C696" s="9">
        <v>213315533</v>
      </c>
      <c r="D696" s="10" t="s">
        <v>284</v>
      </c>
      <c r="E696" s="52" t="s">
        <v>1316</v>
      </c>
      <c r="F696" s="21"/>
      <c r="G696" s="59"/>
      <c r="H696" s="21"/>
      <c r="I696" s="59"/>
      <c r="J696" s="21"/>
      <c r="K696" s="21"/>
      <c r="L696" s="59"/>
      <c r="M696" s="60"/>
      <c r="N696" s="21"/>
      <c r="O696" s="59"/>
      <c r="P696" s="21"/>
      <c r="Q696" s="59"/>
      <c r="R696" s="21"/>
      <c r="S696" s="21"/>
      <c r="T696" s="59"/>
      <c r="U696" s="60">
        <f t="shared" si="92"/>
        <v>0</v>
      </c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>
        <v>27545630</v>
      </c>
      <c r="AN696" s="60">
        <f>SUBTOTAL(9,AC696:AM696)</f>
        <v>27545630</v>
      </c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>
        <v>29611195</v>
      </c>
      <c r="AZ696" s="60"/>
      <c r="BA696" s="60">
        <f>VLOOKUP(B696,[2]Hoja3!J$3:K$674,2,0)</f>
        <v>18229699</v>
      </c>
      <c r="BB696" s="60"/>
      <c r="BC696" s="61">
        <f t="shared" si="93"/>
        <v>75386524</v>
      </c>
      <c r="BD696" s="60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>
        <v>5922239</v>
      </c>
      <c r="BO696" s="60"/>
      <c r="BP696" s="61">
        <v>81308763</v>
      </c>
      <c r="BQ696" s="61"/>
      <c r="BR696" s="61"/>
      <c r="BS696" s="61"/>
      <c r="BT696" s="61"/>
      <c r="BU696" s="61"/>
      <c r="BV696" s="61"/>
      <c r="BW696" s="61"/>
      <c r="BX696" s="61"/>
      <c r="BY696" s="61"/>
      <c r="BZ696" s="61"/>
      <c r="CA696" s="61"/>
      <c r="CB696" s="61"/>
      <c r="CC696" s="61">
        <v>5922239</v>
      </c>
      <c r="CD696" s="61"/>
      <c r="CE696" s="61"/>
      <c r="CF696" s="61"/>
      <c r="CG696" s="61">
        <f t="shared" si="94"/>
        <v>87231002</v>
      </c>
      <c r="CH696" s="62">
        <f>VLOOKUP(B696,[1]RPTNCT049_ConsultaSaldosContabl!I$4:K$7987,3,0)</f>
        <v>41455673</v>
      </c>
      <c r="CI696" s="62">
        <f t="shared" si="95"/>
        <v>45775329</v>
      </c>
      <c r="CJ696" s="63">
        <f t="shared" si="96"/>
        <v>87231002</v>
      </c>
      <c r="CK696" s="64">
        <f t="shared" si="97"/>
        <v>0</v>
      </c>
      <c r="CL696" s="16"/>
      <c r="CM696" s="8"/>
      <c r="CN696" s="8"/>
      <c r="CO696" s="8"/>
      <c r="CP696" s="8"/>
      <c r="CQ696" s="8"/>
      <c r="CR696" s="8"/>
    </row>
    <row r="697" spans="1:96" ht="15" customHeight="1" x14ac:dyDescent="0.2">
      <c r="A697" s="1">
        <v>8001036598</v>
      </c>
      <c r="B697" s="1">
        <v>800103659</v>
      </c>
      <c r="C697" s="9">
        <v>215085250</v>
      </c>
      <c r="D697" s="10" t="s">
        <v>964</v>
      </c>
      <c r="E697" s="52" t="s">
        <v>2024</v>
      </c>
      <c r="F697" s="21"/>
      <c r="G697" s="59"/>
      <c r="H697" s="21"/>
      <c r="I697" s="59"/>
      <c r="J697" s="21"/>
      <c r="K697" s="21"/>
      <c r="L697" s="59"/>
      <c r="M697" s="60"/>
      <c r="N697" s="21"/>
      <c r="O697" s="59"/>
      <c r="P697" s="21"/>
      <c r="Q697" s="59"/>
      <c r="R697" s="21"/>
      <c r="S697" s="21"/>
      <c r="T697" s="59"/>
      <c r="U697" s="60">
        <f t="shared" si="92"/>
        <v>0</v>
      </c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>
        <v>594659772</v>
      </c>
      <c r="AN697" s="60">
        <f>SUBTOTAL(9,AC697:AM697)</f>
        <v>594659772</v>
      </c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>
        <v>318930525</v>
      </c>
      <c r="AZ697" s="60"/>
      <c r="BA697" s="60"/>
      <c r="BB697" s="60"/>
      <c r="BC697" s="61">
        <f t="shared" si="93"/>
        <v>913590297</v>
      </c>
      <c r="BD697" s="60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>
        <v>63786105</v>
      </c>
      <c r="BO697" s="60"/>
      <c r="BP697" s="61">
        <v>977376402</v>
      </c>
      <c r="BQ697" s="61"/>
      <c r="BR697" s="61"/>
      <c r="BS697" s="61"/>
      <c r="BT697" s="61"/>
      <c r="BU697" s="61"/>
      <c r="BV697" s="61"/>
      <c r="BW697" s="61"/>
      <c r="BX697" s="61"/>
      <c r="BY697" s="61"/>
      <c r="BZ697" s="61"/>
      <c r="CA697" s="61"/>
      <c r="CB697" s="61"/>
      <c r="CC697" s="61">
        <v>63786105</v>
      </c>
      <c r="CD697" s="61"/>
      <c r="CE697" s="61"/>
      <c r="CF697" s="61"/>
      <c r="CG697" s="61">
        <f t="shared" si="94"/>
        <v>1041162507</v>
      </c>
      <c r="CH697" s="62">
        <f>VLOOKUP(B697,[1]RPTNCT049_ConsultaSaldosContabl!I$4:K$7987,3,0)</f>
        <v>446502735</v>
      </c>
      <c r="CI697" s="62">
        <f t="shared" si="95"/>
        <v>594659772</v>
      </c>
      <c r="CJ697" s="63">
        <f t="shared" si="96"/>
        <v>1041162507</v>
      </c>
      <c r="CK697" s="64">
        <f t="shared" si="97"/>
        <v>0</v>
      </c>
      <c r="CL697" s="16"/>
      <c r="CM697" s="16"/>
      <c r="CN697" s="16"/>
    </row>
    <row r="698" spans="1:96" ht="15" customHeight="1" x14ac:dyDescent="0.2">
      <c r="A698" s="1">
        <v>8918550152</v>
      </c>
      <c r="B698" s="1">
        <v>891855015</v>
      </c>
      <c r="C698" s="9">
        <v>213715537</v>
      </c>
      <c r="D698" s="10" t="s">
        <v>285</v>
      </c>
      <c r="E698" s="52" t="s">
        <v>1317</v>
      </c>
      <c r="F698" s="21"/>
      <c r="G698" s="59"/>
      <c r="H698" s="21"/>
      <c r="I698" s="59"/>
      <c r="J698" s="21"/>
      <c r="K698" s="21"/>
      <c r="L698" s="59"/>
      <c r="M698" s="60"/>
      <c r="N698" s="21"/>
      <c r="O698" s="59"/>
      <c r="P698" s="21"/>
      <c r="Q698" s="59"/>
      <c r="R698" s="21"/>
      <c r="S698" s="21"/>
      <c r="T698" s="59"/>
      <c r="U698" s="60">
        <f t="shared" si="92"/>
        <v>0</v>
      </c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>
        <v>33288440</v>
      </c>
      <c r="AZ698" s="60"/>
      <c r="BA698" s="60">
        <f>VLOOKUP(B698,[2]Hoja3!J$3:K$674,2,0)</f>
        <v>52572774</v>
      </c>
      <c r="BB698" s="60"/>
      <c r="BC698" s="61">
        <f t="shared" si="93"/>
        <v>85861214</v>
      </c>
      <c r="BD698" s="60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>
        <v>6657688</v>
      </c>
      <c r="BO698" s="60"/>
      <c r="BP698" s="61">
        <v>92518902</v>
      </c>
      <c r="BQ698" s="61"/>
      <c r="BR698" s="61"/>
      <c r="BS698" s="61"/>
      <c r="BT698" s="61"/>
      <c r="BU698" s="61"/>
      <c r="BV698" s="61"/>
      <c r="BW698" s="61"/>
      <c r="BX698" s="61"/>
      <c r="BY698" s="61"/>
      <c r="BZ698" s="61"/>
      <c r="CA698" s="61"/>
      <c r="CB698" s="61"/>
      <c r="CC698" s="61">
        <v>6657688</v>
      </c>
      <c r="CD698" s="61"/>
      <c r="CE698" s="61"/>
      <c r="CF698" s="61"/>
      <c r="CG698" s="61">
        <f t="shared" si="94"/>
        <v>99176590</v>
      </c>
      <c r="CH698" s="62">
        <f>VLOOKUP(B698,[1]RPTNCT049_ConsultaSaldosContabl!I$4:K$7987,3,0)</f>
        <v>46603816</v>
      </c>
      <c r="CI698" s="62">
        <f t="shared" si="95"/>
        <v>52572774</v>
      </c>
      <c r="CJ698" s="63">
        <f t="shared" si="96"/>
        <v>99176590</v>
      </c>
      <c r="CK698" s="64">
        <f t="shared" si="97"/>
        <v>0</v>
      </c>
      <c r="CL698" s="16"/>
      <c r="CM698" s="8"/>
      <c r="CN698" s="8"/>
      <c r="CO698" s="8"/>
      <c r="CP698" s="8"/>
      <c r="CQ698" s="8"/>
      <c r="CR698" s="8"/>
    </row>
    <row r="699" spans="1:96" ht="15" customHeight="1" x14ac:dyDescent="0.2">
      <c r="A699" s="1">
        <v>8917800481</v>
      </c>
      <c r="B699" s="1">
        <v>891780048</v>
      </c>
      <c r="C699" s="9">
        <v>214147541</v>
      </c>
      <c r="D699" s="10" t="s">
        <v>651</v>
      </c>
      <c r="E699" s="52" t="s">
        <v>1670</v>
      </c>
      <c r="F699" s="21"/>
      <c r="G699" s="59"/>
      <c r="H699" s="21"/>
      <c r="I699" s="59"/>
      <c r="J699" s="21"/>
      <c r="K699" s="21"/>
      <c r="L699" s="59"/>
      <c r="M699" s="60"/>
      <c r="N699" s="21"/>
      <c r="O699" s="59"/>
      <c r="P699" s="21"/>
      <c r="Q699" s="59"/>
      <c r="R699" s="21"/>
      <c r="S699" s="21"/>
      <c r="T699" s="59"/>
      <c r="U699" s="60">
        <f t="shared" si="92"/>
        <v>0</v>
      </c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>
        <v>183961949</v>
      </c>
      <c r="AN699" s="60">
        <f>SUBTOTAL(9,AC699:AM699)</f>
        <v>183961949</v>
      </c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>
        <v>108832845</v>
      </c>
      <c r="AZ699" s="60"/>
      <c r="BA699" s="60">
        <f>VLOOKUP(B699,[2]Hoja3!J$3:K$674,2,0)</f>
        <v>9752572</v>
      </c>
      <c r="BB699" s="60">
        <f>VLOOKUP(B699,'[3]anuladas en mayo gratuidad}'!K$2:L$55,2,0)</f>
        <v>56541667</v>
      </c>
      <c r="BC699" s="61">
        <f t="shared" si="93"/>
        <v>246005699</v>
      </c>
      <c r="BD699" s="60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>
        <v>21766569</v>
      </c>
      <c r="BO699" s="60"/>
      <c r="BP699" s="61">
        <v>267772268</v>
      </c>
      <c r="BQ699" s="61"/>
      <c r="BR699" s="61"/>
      <c r="BS699" s="61"/>
      <c r="BT699" s="61"/>
      <c r="BU699" s="61"/>
      <c r="BV699" s="61"/>
      <c r="BW699" s="61"/>
      <c r="BX699" s="61"/>
      <c r="BY699" s="61"/>
      <c r="BZ699" s="61"/>
      <c r="CA699" s="61"/>
      <c r="CB699" s="61"/>
      <c r="CC699" s="61">
        <v>21766569</v>
      </c>
      <c r="CD699" s="61"/>
      <c r="CE699" s="61">
        <v>56541667</v>
      </c>
      <c r="CF699" s="61"/>
      <c r="CG699" s="61">
        <f t="shared" si="94"/>
        <v>346080504</v>
      </c>
      <c r="CH699" s="62">
        <f>VLOOKUP(B699,[1]RPTNCT049_ConsultaSaldosContabl!I$4:K$7987,3,0)</f>
        <v>152365983</v>
      </c>
      <c r="CI699" s="62">
        <f t="shared" si="95"/>
        <v>193714521</v>
      </c>
      <c r="CJ699" s="63">
        <f t="shared" si="96"/>
        <v>346080504</v>
      </c>
      <c r="CK699" s="64">
        <f t="shared" si="97"/>
        <v>0</v>
      </c>
      <c r="CL699" s="16"/>
      <c r="CM699" s="16"/>
      <c r="CN699" s="16"/>
    </row>
    <row r="700" spans="1:96" ht="15" customHeight="1" x14ac:dyDescent="0.2">
      <c r="A700" s="1">
        <v>8000966139</v>
      </c>
      <c r="B700" s="1">
        <v>800096613</v>
      </c>
      <c r="C700" s="9">
        <v>215020550</v>
      </c>
      <c r="D700" s="10" t="s">
        <v>429</v>
      </c>
      <c r="E700" s="52" t="s">
        <v>1456</v>
      </c>
      <c r="F700" s="21"/>
      <c r="G700" s="59"/>
      <c r="H700" s="21"/>
      <c r="I700" s="59"/>
      <c r="J700" s="21"/>
      <c r="K700" s="21"/>
      <c r="L700" s="59"/>
      <c r="M700" s="60"/>
      <c r="N700" s="21"/>
      <c r="O700" s="59"/>
      <c r="P700" s="21"/>
      <c r="Q700" s="59"/>
      <c r="R700" s="21"/>
      <c r="S700" s="21"/>
      <c r="T700" s="59"/>
      <c r="U700" s="60">
        <f t="shared" si="92"/>
        <v>0</v>
      </c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>
        <v>198206155</v>
      </c>
      <c r="AZ700" s="60"/>
      <c r="BA700" s="60">
        <f>VLOOKUP(B700,[2]Hoja3!J$3:K$674,2,0)</f>
        <v>259144316</v>
      </c>
      <c r="BB700" s="60"/>
      <c r="BC700" s="61">
        <f t="shared" si="93"/>
        <v>457350471</v>
      </c>
      <c r="BD700" s="60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>
        <v>39641231</v>
      </c>
      <c r="BO700" s="60"/>
      <c r="BP700" s="61">
        <v>496991702</v>
      </c>
      <c r="BQ700" s="61"/>
      <c r="BR700" s="61"/>
      <c r="BS700" s="61"/>
      <c r="BT700" s="61"/>
      <c r="BU700" s="61"/>
      <c r="BV700" s="61"/>
      <c r="BW700" s="61"/>
      <c r="BX700" s="61"/>
      <c r="BY700" s="61"/>
      <c r="BZ700" s="61"/>
      <c r="CA700" s="61"/>
      <c r="CB700" s="61"/>
      <c r="CC700" s="61">
        <v>39641231</v>
      </c>
      <c r="CD700" s="61"/>
      <c r="CE700" s="61">
        <v>64869616</v>
      </c>
      <c r="CF700" s="61"/>
      <c r="CG700" s="61">
        <f t="shared" si="94"/>
        <v>601502549</v>
      </c>
      <c r="CH700" s="62">
        <f>VLOOKUP(B700,[1]RPTNCT049_ConsultaSaldosContabl!I$4:K$7987,3,0)</f>
        <v>277488617</v>
      </c>
      <c r="CI700" s="62">
        <f t="shared" si="95"/>
        <v>324013932</v>
      </c>
      <c r="CJ700" s="63">
        <f t="shared" si="96"/>
        <v>601502549</v>
      </c>
      <c r="CK700" s="64">
        <f t="shared" si="97"/>
        <v>0</v>
      </c>
      <c r="CL700" s="16"/>
      <c r="CM700" s="16"/>
      <c r="CN700" s="16"/>
    </row>
    <row r="701" spans="1:96" ht="15" customHeight="1" x14ac:dyDescent="0.2">
      <c r="A701" s="1">
        <v>8909809171</v>
      </c>
      <c r="B701" s="1">
        <v>890980917</v>
      </c>
      <c r="C701" s="9">
        <v>214105541</v>
      </c>
      <c r="D701" s="10" t="s">
        <v>115</v>
      </c>
      <c r="E701" s="52" t="s">
        <v>1145</v>
      </c>
      <c r="F701" s="21"/>
      <c r="G701" s="59"/>
      <c r="H701" s="21"/>
      <c r="I701" s="59"/>
      <c r="J701" s="21"/>
      <c r="K701" s="21"/>
      <c r="L701" s="59"/>
      <c r="M701" s="60"/>
      <c r="N701" s="21"/>
      <c r="O701" s="59"/>
      <c r="P701" s="21"/>
      <c r="Q701" s="59"/>
      <c r="R701" s="21"/>
      <c r="S701" s="21"/>
      <c r="T701" s="59"/>
      <c r="U701" s="60">
        <f t="shared" si="92"/>
        <v>0</v>
      </c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>
        <v>104992915</v>
      </c>
      <c r="AZ701" s="60"/>
      <c r="BA701" s="60">
        <f>VLOOKUP(B701,[2]Hoja3!J$3:K$674,2,0)</f>
        <v>214314205</v>
      </c>
      <c r="BB701" s="60"/>
      <c r="BC701" s="61">
        <f t="shared" si="93"/>
        <v>319307120</v>
      </c>
      <c r="BD701" s="60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>
        <v>20998583</v>
      </c>
      <c r="BO701" s="60"/>
      <c r="BP701" s="61">
        <v>340305703</v>
      </c>
      <c r="BQ701" s="61"/>
      <c r="BR701" s="61"/>
      <c r="BS701" s="61"/>
      <c r="BT701" s="61"/>
      <c r="BU701" s="61"/>
      <c r="BV701" s="61"/>
      <c r="BW701" s="61"/>
      <c r="BX701" s="61"/>
      <c r="BY701" s="61"/>
      <c r="BZ701" s="61"/>
      <c r="CA701" s="61"/>
      <c r="CB701" s="61"/>
      <c r="CC701" s="61">
        <v>20998583</v>
      </c>
      <c r="CD701" s="61"/>
      <c r="CE701" s="61"/>
      <c r="CF701" s="61"/>
      <c r="CG701" s="61">
        <f t="shared" si="94"/>
        <v>361304286</v>
      </c>
      <c r="CH701" s="62">
        <f>VLOOKUP(B701,[1]RPTNCT049_ConsultaSaldosContabl!I$4:K$7987,3,0)</f>
        <v>146990081</v>
      </c>
      <c r="CI701" s="62">
        <f t="shared" si="95"/>
        <v>214314205</v>
      </c>
      <c r="CJ701" s="63">
        <f t="shared" si="96"/>
        <v>361304286</v>
      </c>
      <c r="CK701" s="64">
        <f t="shared" si="97"/>
        <v>0</v>
      </c>
      <c r="CL701" s="16"/>
      <c r="CM701" s="16"/>
      <c r="CN701" s="16"/>
    </row>
    <row r="702" spans="1:96" ht="15" customHeight="1" x14ac:dyDescent="0.2">
      <c r="A702" s="1">
        <v>8908011377</v>
      </c>
      <c r="B702" s="1">
        <v>890801137</v>
      </c>
      <c r="C702" s="9">
        <v>214117541</v>
      </c>
      <c r="D702" s="10" t="s">
        <v>352</v>
      </c>
      <c r="E702" s="52" t="s">
        <v>1381</v>
      </c>
      <c r="F702" s="21"/>
      <c r="G702" s="59"/>
      <c r="H702" s="21"/>
      <c r="I702" s="59"/>
      <c r="J702" s="21"/>
      <c r="K702" s="21"/>
      <c r="L702" s="59"/>
      <c r="M702" s="60"/>
      <c r="N702" s="21"/>
      <c r="O702" s="59"/>
      <c r="P702" s="21"/>
      <c r="Q702" s="59"/>
      <c r="R702" s="21"/>
      <c r="S702" s="21"/>
      <c r="T702" s="59"/>
      <c r="U702" s="60">
        <f t="shared" si="92"/>
        <v>0</v>
      </c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>
        <v>300096666</v>
      </c>
      <c r="AN702" s="60">
        <f>SUBTOTAL(9,AC702:AM702)</f>
        <v>300096666</v>
      </c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>
        <v>162108395</v>
      </c>
      <c r="AZ702" s="60"/>
      <c r="BA702" s="60"/>
      <c r="BB702" s="60"/>
      <c r="BC702" s="61">
        <f t="shared" si="93"/>
        <v>462205061</v>
      </c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>
        <v>32421679</v>
      </c>
      <c r="BO702" s="60"/>
      <c r="BP702" s="61">
        <v>494626740</v>
      </c>
      <c r="BQ702" s="61"/>
      <c r="BR702" s="61"/>
      <c r="BS702" s="61"/>
      <c r="BT702" s="61"/>
      <c r="BU702" s="61"/>
      <c r="BV702" s="61"/>
      <c r="BW702" s="61"/>
      <c r="BX702" s="61"/>
      <c r="BY702" s="61"/>
      <c r="BZ702" s="61"/>
      <c r="CA702" s="61"/>
      <c r="CB702" s="61"/>
      <c r="CC702" s="61">
        <v>32421679</v>
      </c>
      <c r="CD702" s="61"/>
      <c r="CE702" s="61"/>
      <c r="CF702" s="61"/>
      <c r="CG702" s="61">
        <f t="shared" si="94"/>
        <v>527048419</v>
      </c>
      <c r="CH702" s="62">
        <f>VLOOKUP(B702,[1]RPTNCT049_ConsultaSaldosContabl!I$4:K$7987,3,0)</f>
        <v>226951753</v>
      </c>
      <c r="CI702" s="62">
        <f t="shared" si="95"/>
        <v>300096666</v>
      </c>
      <c r="CJ702" s="63">
        <f t="shared" si="96"/>
        <v>527048419</v>
      </c>
      <c r="CK702" s="64">
        <f t="shared" si="97"/>
        <v>0</v>
      </c>
      <c r="CL702" s="16"/>
      <c r="CM702" s="16"/>
      <c r="CN702" s="16"/>
    </row>
    <row r="703" spans="1:96" ht="15" customHeight="1" x14ac:dyDescent="0.2">
      <c r="A703" s="1">
        <v>8909823014</v>
      </c>
      <c r="B703" s="1">
        <v>890982301</v>
      </c>
      <c r="C703" s="9">
        <v>214305543</v>
      </c>
      <c r="D703" s="10" t="s">
        <v>116</v>
      </c>
      <c r="E703" s="52" t="s">
        <v>1146</v>
      </c>
      <c r="F703" s="21"/>
      <c r="G703" s="59"/>
      <c r="H703" s="21"/>
      <c r="I703" s="59"/>
      <c r="J703" s="21"/>
      <c r="K703" s="21"/>
      <c r="L703" s="59"/>
      <c r="M703" s="60"/>
      <c r="N703" s="21"/>
      <c r="O703" s="59"/>
      <c r="P703" s="21"/>
      <c r="Q703" s="59"/>
      <c r="R703" s="21"/>
      <c r="S703" s="21"/>
      <c r="T703" s="59"/>
      <c r="U703" s="60">
        <f t="shared" si="92"/>
        <v>0</v>
      </c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>
        <v>76442700</v>
      </c>
      <c r="AZ703" s="60"/>
      <c r="BA703" s="60">
        <f>VLOOKUP(B703,[2]Hoja3!J$3:K$674,2,0)</f>
        <v>126411338</v>
      </c>
      <c r="BB703" s="60"/>
      <c r="BC703" s="61">
        <f t="shared" si="93"/>
        <v>202854038</v>
      </c>
      <c r="BD703" s="60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>
        <v>15288540</v>
      </c>
      <c r="BO703" s="60"/>
      <c r="BP703" s="61">
        <v>218142578</v>
      </c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  <c r="CA703" s="61"/>
      <c r="CB703" s="61"/>
      <c r="CC703" s="61">
        <v>15288540</v>
      </c>
      <c r="CD703" s="61"/>
      <c r="CE703" s="61"/>
      <c r="CF703" s="61"/>
      <c r="CG703" s="61">
        <f t="shared" si="94"/>
        <v>233431118</v>
      </c>
      <c r="CH703" s="62">
        <f>VLOOKUP(B703,[1]RPTNCT049_ConsultaSaldosContabl!I$4:K$7987,3,0)</f>
        <v>107019780</v>
      </c>
      <c r="CI703" s="62">
        <f t="shared" si="95"/>
        <v>126411338</v>
      </c>
      <c r="CJ703" s="63">
        <f t="shared" si="96"/>
        <v>233431118</v>
      </c>
      <c r="CK703" s="64">
        <f t="shared" si="97"/>
        <v>0</v>
      </c>
      <c r="CL703" s="16"/>
      <c r="CM703" s="16"/>
      <c r="CN703" s="16"/>
    </row>
    <row r="704" spans="1:96" ht="15" customHeight="1" x14ac:dyDescent="0.2">
      <c r="A704" s="1">
        <v>8914800302</v>
      </c>
      <c r="B704" s="1">
        <v>891480030</v>
      </c>
      <c r="C704" s="9">
        <v>210166001</v>
      </c>
      <c r="D704" s="10" t="s">
        <v>2181</v>
      </c>
      <c r="E704" s="53" t="s">
        <v>1056</v>
      </c>
      <c r="F704" s="21"/>
      <c r="G704" s="59"/>
      <c r="H704" s="21"/>
      <c r="I704" s="66">
        <f>10398991823+583741396</f>
        <v>10982733219</v>
      </c>
      <c r="J704" s="21">
        <v>775045690</v>
      </c>
      <c r="K704" s="21">
        <v>1538088261</v>
      </c>
      <c r="L704" s="59"/>
      <c r="M704" s="61">
        <f>SUM(F704:L704)</f>
        <v>13295867170</v>
      </c>
      <c r="N704" s="21"/>
      <c r="O704" s="59"/>
      <c r="P704" s="21"/>
      <c r="Q704" s="59">
        <f>9904537257+265336998</f>
        <v>10169874255</v>
      </c>
      <c r="R704" s="21">
        <v>775045690</v>
      </c>
      <c r="S704" s="21">
        <f>763042571+775045690</f>
        <v>1538088261</v>
      </c>
      <c r="T704" s="59"/>
      <c r="U704" s="60">
        <f t="shared" si="92"/>
        <v>25778875376</v>
      </c>
      <c r="V704" s="60"/>
      <c r="W704" s="60"/>
      <c r="X704" s="60"/>
      <c r="Y704" s="60">
        <v>15021260523</v>
      </c>
      <c r="Z704" s="60">
        <v>742233133</v>
      </c>
      <c r="AA704" s="60">
        <v>1736164548</v>
      </c>
      <c r="AB704" s="60"/>
      <c r="AC704" s="60">
        <f t="shared" si="101"/>
        <v>43278533580</v>
      </c>
      <c r="AD704" s="60"/>
      <c r="AE704" s="60"/>
      <c r="AF704" s="60"/>
      <c r="AG704" s="60"/>
      <c r="AH704" s="60">
        <v>10750686953</v>
      </c>
      <c r="AI704" s="60">
        <v>2238634110</v>
      </c>
      <c r="AJ704" s="60">
        <v>802283216</v>
      </c>
      <c r="AK704" s="60">
        <v>2021144054</v>
      </c>
      <c r="AL704" s="60"/>
      <c r="AM704" s="60">
        <v>4629431226</v>
      </c>
      <c r="AN704" s="60">
        <f>SUBTOTAL(9,AC704:AM704)</f>
        <v>63720713139</v>
      </c>
      <c r="AO704" s="60"/>
      <c r="AP704" s="60"/>
      <c r="AQ704" s="60">
        <v>1823085020</v>
      </c>
      <c r="AR704" s="60"/>
      <c r="AS704" s="60"/>
      <c r="AT704" s="60">
        <v>10750686953</v>
      </c>
      <c r="AU704" s="60"/>
      <c r="AV704" s="60">
        <v>802283216</v>
      </c>
      <c r="AW704" s="60">
        <v>1369089740</v>
      </c>
      <c r="AX704" s="60"/>
      <c r="AY704" s="60"/>
      <c r="AZ704" s="60"/>
      <c r="BA704" s="60">
        <f>VLOOKUP(B704,[2]Hoja3!J$3:K$674,2,0)</f>
        <v>50243057</v>
      </c>
      <c r="BB704" s="60"/>
      <c r="BC704" s="61">
        <f t="shared" si="93"/>
        <v>78516101125</v>
      </c>
      <c r="BD704" s="60"/>
      <c r="BE704" s="60"/>
      <c r="BF704" s="60">
        <v>364617004</v>
      </c>
      <c r="BG704" s="60"/>
      <c r="BH704" s="60"/>
      <c r="BI704" s="60">
        <v>10869774582</v>
      </c>
      <c r="BJ704" s="60">
        <v>2303056178</v>
      </c>
      <c r="BK704" s="60">
        <v>808954547</v>
      </c>
      <c r="BL704" s="60">
        <v>2059970107</v>
      </c>
      <c r="BM704" s="60"/>
      <c r="BN704" s="60"/>
      <c r="BO704" s="60"/>
      <c r="BP704" s="61">
        <v>94922473543</v>
      </c>
      <c r="BQ704" s="61"/>
      <c r="BR704" s="61"/>
      <c r="BS704" s="61">
        <v>364617004</v>
      </c>
      <c r="BT704" s="61"/>
      <c r="BU704" s="61"/>
      <c r="BV704" s="61"/>
      <c r="BW704" s="61">
        <v>10825271065</v>
      </c>
      <c r="BX704" s="61">
        <v>1434955030</v>
      </c>
      <c r="BY704" s="61">
        <v>4914651589</v>
      </c>
      <c r="BZ704" s="61">
        <v>808522718</v>
      </c>
      <c r="CA704" s="61">
        <v>2089518680</v>
      </c>
      <c r="CB704" s="61"/>
      <c r="CC704" s="61"/>
      <c r="CD704" s="61"/>
      <c r="CE704" s="61"/>
      <c r="CF704" s="61"/>
      <c r="CG704" s="61">
        <f t="shared" si="94"/>
        <v>115360009629</v>
      </c>
      <c r="CH704" s="62">
        <f>VLOOKUP(B704,[1]RPTNCT049_ConsultaSaldosContabl!I$4:K$7987,3,0)</f>
        <v>110680335346</v>
      </c>
      <c r="CI704" s="62">
        <f t="shared" si="95"/>
        <v>4679674283</v>
      </c>
      <c r="CJ704" s="63">
        <f t="shared" si="96"/>
        <v>115360009629</v>
      </c>
      <c r="CK704" s="64">
        <f t="shared" si="97"/>
        <v>0</v>
      </c>
      <c r="CL704" s="16"/>
      <c r="CM704" s="16"/>
      <c r="CN704" s="16"/>
    </row>
    <row r="705" spans="1:96" ht="15" customHeight="1" x14ac:dyDescent="0.2">
      <c r="A705" s="1">
        <v>8918564640</v>
      </c>
      <c r="B705" s="1">
        <v>891856464</v>
      </c>
      <c r="C705" s="9">
        <v>214215542</v>
      </c>
      <c r="D705" s="10" t="s">
        <v>286</v>
      </c>
      <c r="E705" s="52" t="s">
        <v>1318</v>
      </c>
      <c r="F705" s="21"/>
      <c r="G705" s="59"/>
      <c r="H705" s="21"/>
      <c r="I705" s="59"/>
      <c r="J705" s="21"/>
      <c r="K705" s="21"/>
      <c r="L705" s="59"/>
      <c r="M705" s="60"/>
      <c r="N705" s="21"/>
      <c r="O705" s="59"/>
      <c r="P705" s="21"/>
      <c r="Q705" s="59"/>
      <c r="R705" s="21"/>
      <c r="S705" s="21"/>
      <c r="T705" s="59"/>
      <c r="U705" s="60">
        <f t="shared" si="92"/>
        <v>0</v>
      </c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>
        <v>20196208</v>
      </c>
      <c r="AN705" s="60">
        <f>SUBTOTAL(9,AC705:AM705)</f>
        <v>20196208</v>
      </c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>
        <v>53686935</v>
      </c>
      <c r="AZ705" s="60"/>
      <c r="BA705" s="60">
        <f>VLOOKUP(B705,[2]Hoja3!J$3:K$674,2,0)</f>
        <v>79758802</v>
      </c>
      <c r="BB705" s="60"/>
      <c r="BC705" s="61">
        <f t="shared" si="93"/>
        <v>153641945</v>
      </c>
      <c r="BD705" s="60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>
        <v>10737387</v>
      </c>
      <c r="BO705" s="60"/>
      <c r="BP705" s="61">
        <v>164379332</v>
      </c>
      <c r="BQ705" s="61"/>
      <c r="BR705" s="61"/>
      <c r="BS705" s="61"/>
      <c r="BT705" s="61"/>
      <c r="BU705" s="61"/>
      <c r="BV705" s="61"/>
      <c r="BW705" s="61"/>
      <c r="BX705" s="61"/>
      <c r="BY705" s="61"/>
      <c r="BZ705" s="61"/>
      <c r="CA705" s="61"/>
      <c r="CB705" s="61"/>
      <c r="CC705" s="61">
        <v>10737387</v>
      </c>
      <c r="CD705" s="61"/>
      <c r="CE705" s="61"/>
      <c r="CF705" s="61"/>
      <c r="CG705" s="61">
        <f t="shared" si="94"/>
        <v>175116719</v>
      </c>
      <c r="CH705" s="62">
        <f>VLOOKUP(B705,[1]RPTNCT049_ConsultaSaldosContabl!I$4:K$7987,3,0)</f>
        <v>75161709</v>
      </c>
      <c r="CI705" s="62">
        <f t="shared" si="95"/>
        <v>99955010</v>
      </c>
      <c r="CJ705" s="63">
        <f t="shared" si="96"/>
        <v>175116719</v>
      </c>
      <c r="CK705" s="64">
        <f t="shared" si="97"/>
        <v>0</v>
      </c>
      <c r="CL705" s="16"/>
      <c r="CM705" s="8"/>
      <c r="CN705" s="8"/>
      <c r="CO705" s="8"/>
      <c r="CP705" s="8"/>
      <c r="CQ705" s="8"/>
      <c r="CR705" s="8"/>
    </row>
    <row r="706" spans="1:96" ht="15" customHeight="1" x14ac:dyDescent="0.2">
      <c r="A706" s="1">
        <v>8170009925</v>
      </c>
      <c r="B706" s="1">
        <v>817000992</v>
      </c>
      <c r="C706" s="9">
        <v>213319533</v>
      </c>
      <c r="D706" s="10" t="s">
        <v>397</v>
      </c>
      <c r="E706" s="52" t="s">
        <v>1426</v>
      </c>
      <c r="F706" s="21"/>
      <c r="G706" s="59"/>
      <c r="H706" s="21"/>
      <c r="I706" s="59"/>
      <c r="J706" s="21"/>
      <c r="K706" s="21"/>
      <c r="L706" s="59"/>
      <c r="M706" s="60"/>
      <c r="N706" s="21"/>
      <c r="O706" s="59"/>
      <c r="P706" s="21"/>
      <c r="Q706" s="59"/>
      <c r="R706" s="21"/>
      <c r="S706" s="21"/>
      <c r="T706" s="59"/>
      <c r="U706" s="60">
        <f t="shared" si="92"/>
        <v>0</v>
      </c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>
        <v>121243415</v>
      </c>
      <c r="AZ706" s="60"/>
      <c r="BA706" s="60"/>
      <c r="BB706" s="60"/>
      <c r="BC706" s="61">
        <f t="shared" si="93"/>
        <v>121243415</v>
      </c>
      <c r="BD706" s="60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>
        <v>24248683</v>
      </c>
      <c r="BO706" s="60"/>
      <c r="BP706" s="61">
        <v>145492098</v>
      </c>
      <c r="BQ706" s="61"/>
      <c r="BR706" s="61"/>
      <c r="BS706" s="61"/>
      <c r="BT706" s="61"/>
      <c r="BU706" s="61"/>
      <c r="BV706" s="61"/>
      <c r="BW706" s="61"/>
      <c r="BX706" s="61"/>
      <c r="BY706" s="61"/>
      <c r="BZ706" s="61"/>
      <c r="CA706" s="61"/>
      <c r="CB706" s="61"/>
      <c r="CC706" s="61">
        <v>24248683</v>
      </c>
      <c r="CD706" s="61"/>
      <c r="CE706" s="61"/>
      <c r="CF706" s="61"/>
      <c r="CG706" s="61">
        <f t="shared" si="94"/>
        <v>169740781</v>
      </c>
      <c r="CH706" s="62">
        <f>VLOOKUP(B706,[1]RPTNCT049_ConsultaSaldosContabl!I$4:K$7987,3,0)</f>
        <v>169740781</v>
      </c>
      <c r="CI706" s="62">
        <f t="shared" si="95"/>
        <v>0</v>
      </c>
      <c r="CJ706" s="63">
        <f t="shared" si="96"/>
        <v>169740781</v>
      </c>
      <c r="CK706" s="64">
        <f t="shared" si="97"/>
        <v>0</v>
      </c>
      <c r="CL706" s="16"/>
      <c r="CM706" s="8"/>
      <c r="CN706" s="8"/>
      <c r="CO706" s="8"/>
      <c r="CP706" s="8"/>
      <c r="CQ706" s="8"/>
      <c r="CR706" s="8"/>
    </row>
    <row r="707" spans="1:96" ht="15" customHeight="1" x14ac:dyDescent="0.2">
      <c r="A707" s="1">
        <v>8902053836</v>
      </c>
      <c r="B707" s="1">
        <v>890205383</v>
      </c>
      <c r="C707" s="9">
        <v>214768547</v>
      </c>
      <c r="D707" s="10" t="s">
        <v>866</v>
      </c>
      <c r="E707" s="53" t="s">
        <v>1839</v>
      </c>
      <c r="F707" s="21"/>
      <c r="G707" s="59"/>
      <c r="H707" s="21"/>
      <c r="I707" s="66">
        <f>4240064464+151364276</f>
        <v>4391428740</v>
      </c>
      <c r="J707" s="21">
        <v>272631596</v>
      </c>
      <c r="K707" s="21">
        <v>549406714</v>
      </c>
      <c r="L707" s="59"/>
      <c r="M707" s="61">
        <f>SUM(F707:L707)</f>
        <v>5213467050</v>
      </c>
      <c r="N707" s="21"/>
      <c r="O707" s="59"/>
      <c r="P707" s="21"/>
      <c r="Q707" s="59">
        <f>4121189038+68801944</f>
        <v>4189990982</v>
      </c>
      <c r="R707" s="21">
        <v>272692940</v>
      </c>
      <c r="S707" s="21">
        <f>276775118+272692940</f>
        <v>549468058</v>
      </c>
      <c r="T707" s="59"/>
      <c r="U707" s="60">
        <f t="shared" ref="U707:U770" si="102">SUM(M707:T707)</f>
        <v>10225619030</v>
      </c>
      <c r="V707" s="60"/>
      <c r="W707" s="60"/>
      <c r="X707" s="60"/>
      <c r="Y707" s="60">
        <v>5118321421</v>
      </c>
      <c r="Z707" s="60">
        <v>263425771</v>
      </c>
      <c r="AA707" s="60">
        <v>598032086</v>
      </c>
      <c r="AB707" s="60"/>
      <c r="AC707" s="60">
        <f t="shared" si="101"/>
        <v>16205398308</v>
      </c>
      <c r="AD707" s="60"/>
      <c r="AE707" s="60"/>
      <c r="AF707" s="60"/>
      <c r="AG707" s="60"/>
      <c r="AH707" s="60">
        <v>4041589273</v>
      </c>
      <c r="AI707" s="60">
        <v>648184338</v>
      </c>
      <c r="AJ707" s="60">
        <v>278699847</v>
      </c>
      <c r="AK707" s="60">
        <v>702298659</v>
      </c>
      <c r="AL707" s="60"/>
      <c r="AM707" s="60">
        <v>1912126684</v>
      </c>
      <c r="AN707" s="60">
        <f>SUBTOTAL(9,AC707:AM707)</f>
        <v>23788297109</v>
      </c>
      <c r="AO707" s="60"/>
      <c r="AP707" s="60"/>
      <c r="AQ707" s="60">
        <v>658805480</v>
      </c>
      <c r="AR707" s="60"/>
      <c r="AS707" s="60"/>
      <c r="AT707" s="60">
        <v>4041589273</v>
      </c>
      <c r="AU707" s="60"/>
      <c r="AV707" s="60">
        <v>278699847</v>
      </c>
      <c r="AW707" s="60">
        <v>475681927</v>
      </c>
      <c r="AX707" s="60"/>
      <c r="AY707" s="60"/>
      <c r="AZ707" s="60"/>
      <c r="BA707" s="60"/>
      <c r="BB707" s="60"/>
      <c r="BC707" s="61">
        <f t="shared" si="93"/>
        <v>29243073636</v>
      </c>
      <c r="BD707" s="60"/>
      <c r="BE707" s="60"/>
      <c r="BF707" s="60">
        <v>131761096</v>
      </c>
      <c r="BG707" s="60"/>
      <c r="BH707" s="60"/>
      <c r="BI707" s="60">
        <v>4393101588</v>
      </c>
      <c r="BJ707" s="60">
        <v>318968048</v>
      </c>
      <c r="BK707" s="60">
        <v>457641615</v>
      </c>
      <c r="BL707" s="60">
        <v>1084501782</v>
      </c>
      <c r="BM707" s="60"/>
      <c r="BN707" s="60"/>
      <c r="BO707" s="60"/>
      <c r="BP707" s="61">
        <v>35629047765</v>
      </c>
      <c r="BQ707" s="61"/>
      <c r="BR707" s="61"/>
      <c r="BS707" s="61">
        <v>131761096</v>
      </c>
      <c r="BT707" s="61"/>
      <c r="BU707" s="61"/>
      <c r="BV707" s="61"/>
      <c r="BW707" s="61">
        <v>4198324596</v>
      </c>
      <c r="BX707" s="61"/>
      <c r="BY707" s="61">
        <v>1865528069</v>
      </c>
      <c r="BZ707" s="61">
        <v>288419530</v>
      </c>
      <c r="CA707" s="61">
        <v>754992565</v>
      </c>
      <c r="CB707" s="61"/>
      <c r="CC707" s="61"/>
      <c r="CD707" s="61"/>
      <c r="CE707" s="61"/>
      <c r="CF707" s="61"/>
      <c r="CG707" s="61">
        <f t="shared" si="94"/>
        <v>42868073621</v>
      </c>
      <c r="CH707" s="62">
        <f>VLOOKUP(B707,[1]RPTNCT049_ConsultaSaldosContabl!I$4:K$7987,3,0)</f>
        <v>40955946937</v>
      </c>
      <c r="CI707" s="62">
        <f t="shared" si="95"/>
        <v>1912126684</v>
      </c>
      <c r="CJ707" s="63">
        <f t="shared" si="96"/>
        <v>42868073621</v>
      </c>
      <c r="CK707" s="64">
        <f t="shared" si="97"/>
        <v>0</v>
      </c>
      <c r="CL707" s="16"/>
      <c r="CM707" s="16"/>
      <c r="CN707" s="16"/>
    </row>
    <row r="708" spans="1:96" ht="15" customHeight="1" x14ac:dyDescent="0.2">
      <c r="A708" s="1">
        <v>8001001364</v>
      </c>
      <c r="B708" s="1">
        <v>800100136</v>
      </c>
      <c r="C708" s="9">
        <v>214773547</v>
      </c>
      <c r="D708" s="10" t="s">
        <v>2231</v>
      </c>
      <c r="E708" s="52" t="s">
        <v>1957</v>
      </c>
      <c r="F708" s="21"/>
      <c r="G708" s="59"/>
      <c r="H708" s="21"/>
      <c r="I708" s="59"/>
      <c r="J708" s="21"/>
      <c r="K708" s="21"/>
      <c r="L708" s="59"/>
      <c r="M708" s="60"/>
      <c r="N708" s="21"/>
      <c r="O708" s="59"/>
      <c r="P708" s="21"/>
      <c r="Q708" s="59"/>
      <c r="R708" s="21"/>
      <c r="S708" s="21"/>
      <c r="T708" s="59"/>
      <c r="U708" s="60">
        <f t="shared" si="102"/>
        <v>0</v>
      </c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>
        <v>34771855</v>
      </c>
      <c r="AZ708" s="60"/>
      <c r="BA708" s="60">
        <f>VLOOKUP(B708,[2]Hoja3!J$3:K$674,2,0)</f>
        <v>89724767</v>
      </c>
      <c r="BB708" s="60"/>
      <c r="BC708" s="61">
        <f t="shared" ref="BC708:BC771" si="103">SUM(AN708:BA708)-BB708</f>
        <v>124496622</v>
      </c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>
        <v>6954371</v>
      </c>
      <c r="BO708" s="60"/>
      <c r="BP708" s="61">
        <v>131450993</v>
      </c>
      <c r="BQ708" s="61"/>
      <c r="BR708" s="61"/>
      <c r="BS708" s="61"/>
      <c r="BT708" s="61"/>
      <c r="BU708" s="61"/>
      <c r="BV708" s="61"/>
      <c r="BW708" s="61"/>
      <c r="BX708" s="61"/>
      <c r="BY708" s="61"/>
      <c r="BZ708" s="61"/>
      <c r="CA708" s="61"/>
      <c r="CB708" s="61"/>
      <c r="CC708" s="61">
        <v>6954371</v>
      </c>
      <c r="CD708" s="61"/>
      <c r="CE708" s="61"/>
      <c r="CF708" s="61"/>
      <c r="CG708" s="61">
        <f t="shared" ref="CG708:CG771" si="104">SUM(BP708:CF708)</f>
        <v>138405364</v>
      </c>
      <c r="CH708" s="62">
        <f>VLOOKUP(B708,[1]RPTNCT049_ConsultaSaldosContabl!I$4:K$7987,3,0)</f>
        <v>48680597</v>
      </c>
      <c r="CI708" s="62">
        <f t="shared" ref="CI708:CI771" si="105">+AM708+BA708-BB708+BO708+CE708+CF708</f>
        <v>89724767</v>
      </c>
      <c r="CJ708" s="63">
        <f t="shared" ref="CJ708:CJ771" si="106">+CH708+CI708</f>
        <v>138405364</v>
      </c>
      <c r="CK708" s="64">
        <f t="shared" ref="CK708:CK771" si="107">+CG708-CJ708</f>
        <v>0</v>
      </c>
      <c r="CL708" s="16"/>
      <c r="CM708" s="16"/>
      <c r="CN708" s="16"/>
    </row>
    <row r="709" spans="1:96" ht="15" customHeight="1" x14ac:dyDescent="0.2">
      <c r="A709" s="1">
        <v>8915008566</v>
      </c>
      <c r="B709" s="1">
        <v>891500856</v>
      </c>
      <c r="C709" s="9">
        <v>214819548</v>
      </c>
      <c r="D709" s="10" t="s">
        <v>398</v>
      </c>
      <c r="E709" s="52" t="s">
        <v>1427</v>
      </c>
      <c r="F709" s="21"/>
      <c r="G709" s="59"/>
      <c r="H709" s="21"/>
      <c r="I709" s="59"/>
      <c r="J709" s="21"/>
      <c r="K709" s="21"/>
      <c r="L709" s="59"/>
      <c r="M709" s="60"/>
      <c r="N709" s="21"/>
      <c r="O709" s="59"/>
      <c r="P709" s="21"/>
      <c r="Q709" s="59"/>
      <c r="R709" s="21"/>
      <c r="S709" s="21"/>
      <c r="T709" s="59"/>
      <c r="U709" s="60">
        <f t="shared" si="102"/>
        <v>0</v>
      </c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>
        <v>58848847</v>
      </c>
      <c r="AN709" s="60">
        <f>SUBTOTAL(9,AC709:AM709)</f>
        <v>58848847</v>
      </c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>
        <f>VLOOKUP(B709,[2]Hoja3!J$3:K$674,2,0)</f>
        <v>502115636</v>
      </c>
      <c r="BB709" s="60"/>
      <c r="BC709" s="61">
        <f t="shared" si="103"/>
        <v>560964483</v>
      </c>
      <c r="BD709" s="60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>
        <v>0</v>
      </c>
      <c r="BO709" s="60"/>
      <c r="BP709" s="61">
        <v>560964483</v>
      </c>
      <c r="BQ709" s="61"/>
      <c r="BR709" s="61"/>
      <c r="BS709" s="61"/>
      <c r="BT709" s="61"/>
      <c r="BU709" s="61"/>
      <c r="BV709" s="61"/>
      <c r="BW709" s="61"/>
      <c r="BX709" s="61"/>
      <c r="BY709" s="61"/>
      <c r="BZ709" s="61"/>
      <c r="CA709" s="61"/>
      <c r="CB709" s="61"/>
      <c r="CC709" s="61">
        <v>314411314</v>
      </c>
      <c r="CD709" s="61"/>
      <c r="CE709" s="61"/>
      <c r="CF709" s="61"/>
      <c r="CG709" s="61">
        <f t="shared" si="104"/>
        <v>875375797</v>
      </c>
      <c r="CH709" s="62">
        <f>VLOOKUP(B709,[1]RPTNCT049_ConsultaSaldosContabl!I$4:K$7987,3,0)</f>
        <v>314411314</v>
      </c>
      <c r="CI709" s="62">
        <f t="shared" si="105"/>
        <v>560964483</v>
      </c>
      <c r="CJ709" s="63">
        <f t="shared" si="106"/>
        <v>875375797</v>
      </c>
      <c r="CK709" s="64">
        <f t="shared" si="107"/>
        <v>0</v>
      </c>
      <c r="CL709" s="16"/>
      <c r="CM709" s="16"/>
      <c r="CN709" s="16"/>
    </row>
    <row r="710" spans="1:96" ht="15" customHeight="1" x14ac:dyDescent="0.2">
      <c r="A710" s="1">
        <v>8900011819</v>
      </c>
      <c r="B710" s="1">
        <v>890001181</v>
      </c>
      <c r="C710" s="9">
        <v>214863548</v>
      </c>
      <c r="D710" s="10" t="s">
        <v>797</v>
      </c>
      <c r="E710" s="52" t="s">
        <v>1814</v>
      </c>
      <c r="F710" s="21"/>
      <c r="G710" s="59"/>
      <c r="H710" s="21"/>
      <c r="I710" s="59"/>
      <c r="J710" s="21"/>
      <c r="K710" s="21"/>
      <c r="L710" s="59"/>
      <c r="M710" s="60"/>
      <c r="N710" s="21"/>
      <c r="O710" s="59"/>
      <c r="P710" s="21"/>
      <c r="Q710" s="59"/>
      <c r="R710" s="21"/>
      <c r="S710" s="21"/>
      <c r="T710" s="59"/>
      <c r="U710" s="60">
        <f t="shared" si="102"/>
        <v>0</v>
      </c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>
        <v>76737745</v>
      </c>
      <c r="AZ710" s="60"/>
      <c r="BA710" s="60">
        <f>VLOOKUP(B710,[2]Hoja3!J$3:K$674,2,0)</f>
        <v>82792528</v>
      </c>
      <c r="BB710" s="60"/>
      <c r="BC710" s="61">
        <f t="shared" si="103"/>
        <v>159530273</v>
      </c>
      <c r="BD710" s="60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>
        <v>15347549</v>
      </c>
      <c r="BO710" s="60"/>
      <c r="BP710" s="61">
        <v>174877822</v>
      </c>
      <c r="BQ710" s="61"/>
      <c r="BR710" s="61"/>
      <c r="BS710" s="61"/>
      <c r="BT710" s="61"/>
      <c r="BU710" s="61"/>
      <c r="BV710" s="61"/>
      <c r="BW710" s="61"/>
      <c r="BX710" s="61"/>
      <c r="BY710" s="61"/>
      <c r="BZ710" s="61"/>
      <c r="CA710" s="61"/>
      <c r="CB710" s="61"/>
      <c r="CC710" s="61">
        <v>15347549</v>
      </c>
      <c r="CD710" s="61"/>
      <c r="CE710" s="61"/>
      <c r="CF710" s="61"/>
      <c r="CG710" s="61">
        <f t="shared" si="104"/>
        <v>190225371</v>
      </c>
      <c r="CH710" s="62">
        <f>VLOOKUP(B710,[1]RPTNCT049_ConsultaSaldosContabl!I$4:K$7987,3,0)</f>
        <v>107432843</v>
      </c>
      <c r="CI710" s="62">
        <f t="shared" si="105"/>
        <v>82792528</v>
      </c>
      <c r="CJ710" s="63">
        <f t="shared" si="106"/>
        <v>190225371</v>
      </c>
      <c r="CK710" s="64">
        <f t="shared" si="107"/>
        <v>0</v>
      </c>
      <c r="CL710" s="16"/>
      <c r="CM710" s="16"/>
      <c r="CN710" s="16"/>
    </row>
    <row r="711" spans="1:96" ht="15" customHeight="1" x14ac:dyDescent="0.2">
      <c r="A711" s="1">
        <v>8190009850</v>
      </c>
      <c r="B711" s="1">
        <v>819000985</v>
      </c>
      <c r="C711" s="9">
        <v>214547545</v>
      </c>
      <c r="D711" s="10" t="s">
        <v>2125</v>
      </c>
      <c r="E711" s="52" t="s">
        <v>1671</v>
      </c>
      <c r="F711" s="21"/>
      <c r="G711" s="59"/>
      <c r="H711" s="21"/>
      <c r="I711" s="59"/>
      <c r="J711" s="21"/>
      <c r="K711" s="21"/>
      <c r="L711" s="59"/>
      <c r="M711" s="60"/>
      <c r="N711" s="21"/>
      <c r="O711" s="59"/>
      <c r="P711" s="21"/>
      <c r="Q711" s="59"/>
      <c r="R711" s="21"/>
      <c r="S711" s="21"/>
      <c r="T711" s="59"/>
      <c r="U711" s="60">
        <f t="shared" si="102"/>
        <v>0</v>
      </c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>
        <v>54852280</v>
      </c>
      <c r="AN711" s="60">
        <f>SUBTOTAL(9,AC711:AM711)</f>
        <v>54852280</v>
      </c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>
        <v>227045125</v>
      </c>
      <c r="AZ711" s="60"/>
      <c r="BA711" s="60">
        <f>VLOOKUP(B711,[2]Hoja3!J$3:K$674,2,0)</f>
        <v>263940829</v>
      </c>
      <c r="BB711" s="60"/>
      <c r="BC711" s="61">
        <f t="shared" si="103"/>
        <v>545838234</v>
      </c>
      <c r="BD711" s="60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>
        <v>45409025</v>
      </c>
      <c r="BO711" s="60"/>
      <c r="BP711" s="61">
        <v>591247259</v>
      </c>
      <c r="BQ711" s="61"/>
      <c r="BR711" s="61"/>
      <c r="BS711" s="61"/>
      <c r="BT711" s="61"/>
      <c r="BU711" s="61"/>
      <c r="BV711" s="61"/>
      <c r="BW711" s="61"/>
      <c r="BX711" s="61"/>
      <c r="BY711" s="61"/>
      <c r="BZ711" s="61"/>
      <c r="CA711" s="61"/>
      <c r="CB711" s="61"/>
      <c r="CC711" s="61">
        <v>45409025</v>
      </c>
      <c r="CD711" s="61"/>
      <c r="CE711" s="61"/>
      <c r="CF711" s="61"/>
      <c r="CG711" s="61">
        <f t="shared" si="104"/>
        <v>636656284</v>
      </c>
      <c r="CH711" s="62">
        <f>VLOOKUP(B711,[1]RPTNCT049_ConsultaSaldosContabl!I$4:K$7987,3,0)</f>
        <v>317863175</v>
      </c>
      <c r="CI711" s="62">
        <f t="shared" si="105"/>
        <v>318793109</v>
      </c>
      <c r="CJ711" s="63">
        <f t="shared" si="106"/>
        <v>636656284</v>
      </c>
      <c r="CK711" s="64">
        <f t="shared" si="107"/>
        <v>0</v>
      </c>
      <c r="CL711" s="16"/>
      <c r="CM711" s="16"/>
      <c r="CN711" s="16"/>
    </row>
    <row r="712" spans="1:96" ht="15" customHeight="1" x14ac:dyDescent="0.2">
      <c r="A712" s="1">
        <v>8902042650</v>
      </c>
      <c r="B712" s="1">
        <v>890204265</v>
      </c>
      <c r="C712" s="9">
        <v>214968549</v>
      </c>
      <c r="D712" s="10" t="s">
        <v>867</v>
      </c>
      <c r="E712" s="52" t="s">
        <v>1879</v>
      </c>
      <c r="F712" s="21"/>
      <c r="G712" s="59"/>
      <c r="H712" s="21"/>
      <c r="I712" s="59"/>
      <c r="J712" s="21"/>
      <c r="K712" s="21"/>
      <c r="L712" s="59"/>
      <c r="M712" s="60"/>
      <c r="N712" s="21"/>
      <c r="O712" s="59"/>
      <c r="P712" s="21"/>
      <c r="Q712" s="59"/>
      <c r="R712" s="21"/>
      <c r="S712" s="21"/>
      <c r="T712" s="59"/>
      <c r="U712" s="60">
        <f t="shared" si="102"/>
        <v>0</v>
      </c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>
        <v>53751077</v>
      </c>
      <c r="AN712" s="60">
        <f>SUBTOTAL(9,AC712:AM712)</f>
        <v>53751077</v>
      </c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>
        <v>24676270</v>
      </c>
      <c r="AZ712" s="60"/>
      <c r="BA712" s="60"/>
      <c r="BB712" s="60"/>
      <c r="BC712" s="61">
        <f t="shared" si="103"/>
        <v>78427347</v>
      </c>
      <c r="BD712" s="60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>
        <v>4935254</v>
      </c>
      <c r="BO712" s="60"/>
      <c r="BP712" s="61">
        <v>83362601</v>
      </c>
      <c r="BQ712" s="61"/>
      <c r="BR712" s="61"/>
      <c r="BS712" s="61"/>
      <c r="BT712" s="61"/>
      <c r="BU712" s="61"/>
      <c r="BV712" s="61"/>
      <c r="BW712" s="61"/>
      <c r="BX712" s="61"/>
      <c r="BY712" s="61"/>
      <c r="BZ712" s="61"/>
      <c r="CA712" s="61"/>
      <c r="CB712" s="61"/>
      <c r="CC712" s="61">
        <v>4935254</v>
      </c>
      <c r="CD712" s="61"/>
      <c r="CE712" s="61"/>
      <c r="CF712" s="61"/>
      <c r="CG712" s="61">
        <f t="shared" si="104"/>
        <v>88297855</v>
      </c>
      <c r="CH712" s="62">
        <f>VLOOKUP(B712,[1]RPTNCT049_ConsultaSaldosContabl!I$4:K$7987,3,0)</f>
        <v>34546778</v>
      </c>
      <c r="CI712" s="62">
        <f t="shared" si="105"/>
        <v>53751077</v>
      </c>
      <c r="CJ712" s="63">
        <f t="shared" si="106"/>
        <v>88297855</v>
      </c>
      <c r="CK712" s="64">
        <f t="shared" si="107"/>
        <v>0</v>
      </c>
      <c r="CL712" s="16"/>
      <c r="CM712" s="16"/>
      <c r="CN712" s="16"/>
    </row>
    <row r="713" spans="1:96" ht="15" customHeight="1" x14ac:dyDescent="0.2">
      <c r="A713" s="1">
        <v>8000429740</v>
      </c>
      <c r="B713" s="1">
        <v>800042974</v>
      </c>
      <c r="C713" s="9">
        <v>214913549</v>
      </c>
      <c r="D713" s="10" t="s">
        <v>200</v>
      </c>
      <c r="E713" s="52" t="s">
        <v>1231</v>
      </c>
      <c r="F713" s="21"/>
      <c r="G713" s="59"/>
      <c r="H713" s="21"/>
      <c r="I713" s="59"/>
      <c r="J713" s="21"/>
      <c r="K713" s="21"/>
      <c r="L713" s="59"/>
      <c r="M713" s="60"/>
      <c r="N713" s="21"/>
      <c r="O713" s="59"/>
      <c r="P713" s="21"/>
      <c r="Q713" s="59"/>
      <c r="R713" s="21"/>
      <c r="S713" s="21"/>
      <c r="T713" s="59"/>
      <c r="U713" s="60">
        <f t="shared" si="102"/>
        <v>0</v>
      </c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>
        <v>160402669</v>
      </c>
      <c r="AN713" s="60">
        <f>SUBTOTAL(9,AC713:AM713)</f>
        <v>160402669</v>
      </c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>
        <f>VLOOKUP(B713,[2]Hoja3!J$3:K$674,2,0)</f>
        <v>349173651</v>
      </c>
      <c r="BB713" s="60"/>
      <c r="BC713" s="61">
        <f t="shared" si="103"/>
        <v>509576320</v>
      </c>
      <c r="BD713" s="60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>
        <v>0</v>
      </c>
      <c r="BO713" s="60"/>
      <c r="BP713" s="61">
        <v>509576320</v>
      </c>
      <c r="BQ713" s="61"/>
      <c r="BR713" s="61"/>
      <c r="BS713" s="61"/>
      <c r="BT713" s="61"/>
      <c r="BU713" s="61"/>
      <c r="BV713" s="61"/>
      <c r="BW713" s="61"/>
      <c r="BX713" s="61"/>
      <c r="BY713" s="61"/>
      <c r="BZ713" s="61"/>
      <c r="CA713" s="61"/>
      <c r="CB713" s="61"/>
      <c r="CC713" s="61">
        <v>530796133</v>
      </c>
      <c r="CD713" s="61"/>
      <c r="CE713" s="61"/>
      <c r="CF713" s="61"/>
      <c r="CG713" s="61">
        <f t="shared" si="104"/>
        <v>1040372453</v>
      </c>
      <c r="CH713" s="62">
        <f>VLOOKUP(B713,[1]RPTNCT049_ConsultaSaldosContabl!I$4:K$7987,3,0)</f>
        <v>530796133</v>
      </c>
      <c r="CI713" s="62">
        <f t="shared" si="105"/>
        <v>509576320</v>
      </c>
      <c r="CJ713" s="63">
        <f t="shared" si="106"/>
        <v>1040372453</v>
      </c>
      <c r="CK713" s="64">
        <f t="shared" si="107"/>
        <v>0</v>
      </c>
      <c r="CL713" s="16"/>
      <c r="CM713" s="8"/>
      <c r="CN713" s="8"/>
      <c r="CO713" s="8"/>
      <c r="CP713" s="8"/>
      <c r="CQ713" s="8"/>
      <c r="CR713" s="8"/>
    </row>
    <row r="714" spans="1:96" ht="15" customHeight="1" x14ac:dyDescent="0.2">
      <c r="A714" s="1">
        <v>8000944577</v>
      </c>
      <c r="B714" s="1">
        <v>800094457</v>
      </c>
      <c r="C714" s="9">
        <v>214908549</v>
      </c>
      <c r="D714" s="10" t="s">
        <v>169</v>
      </c>
      <c r="E714" s="52" t="s">
        <v>1198</v>
      </c>
      <c r="F714" s="21"/>
      <c r="G714" s="59"/>
      <c r="H714" s="21"/>
      <c r="I714" s="59"/>
      <c r="J714" s="21"/>
      <c r="K714" s="21"/>
      <c r="L714" s="59"/>
      <c r="M714" s="60"/>
      <c r="N714" s="21"/>
      <c r="O714" s="59"/>
      <c r="P714" s="21"/>
      <c r="Q714" s="59"/>
      <c r="R714" s="21"/>
      <c r="S714" s="21"/>
      <c r="T714" s="59"/>
      <c r="U714" s="60">
        <f t="shared" si="102"/>
        <v>0</v>
      </c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>
        <f>VLOOKUP(B714,[2]Hoja3!J$3:K$674,2,0)</f>
        <v>82360595</v>
      </c>
      <c r="BB714" s="60"/>
      <c r="BC714" s="61">
        <f t="shared" si="103"/>
        <v>82360595</v>
      </c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>
        <v>0</v>
      </c>
      <c r="BO714" s="60"/>
      <c r="BP714" s="61">
        <v>82360595</v>
      </c>
      <c r="BQ714" s="61"/>
      <c r="BR714" s="61"/>
      <c r="BS714" s="61"/>
      <c r="BT714" s="61"/>
      <c r="BU714" s="61"/>
      <c r="BV714" s="61"/>
      <c r="BW714" s="61"/>
      <c r="BX714" s="61"/>
      <c r="BY714" s="61"/>
      <c r="BZ714" s="61"/>
      <c r="CA714" s="61"/>
      <c r="CB714" s="61"/>
      <c r="CC714" s="61">
        <v>0</v>
      </c>
      <c r="CD714" s="61"/>
      <c r="CE714" s="61"/>
      <c r="CF714" s="61"/>
      <c r="CG714" s="61">
        <f t="shared" si="104"/>
        <v>82360595</v>
      </c>
      <c r="CH714" s="62"/>
      <c r="CI714" s="62">
        <f t="shared" si="105"/>
        <v>82360595</v>
      </c>
      <c r="CJ714" s="63">
        <f t="shared" si="106"/>
        <v>82360595</v>
      </c>
      <c r="CK714" s="64">
        <f t="shared" si="107"/>
        <v>0</v>
      </c>
      <c r="CL714" s="16"/>
      <c r="CM714" s="16"/>
      <c r="CN714" s="16"/>
    </row>
    <row r="715" spans="1:96" ht="15" customHeight="1" x14ac:dyDescent="0.2">
      <c r="A715" s="1">
        <v>8000663895</v>
      </c>
      <c r="B715" s="1">
        <v>800066389</v>
      </c>
      <c r="C715" s="9">
        <v>215015550</v>
      </c>
      <c r="D715" s="10" t="s">
        <v>287</v>
      </c>
      <c r="E715" s="52" t="s">
        <v>1319</v>
      </c>
      <c r="F715" s="21"/>
      <c r="G715" s="59"/>
      <c r="H715" s="21"/>
      <c r="I715" s="59"/>
      <c r="J715" s="21"/>
      <c r="K715" s="21"/>
      <c r="L715" s="59"/>
      <c r="M715" s="60"/>
      <c r="N715" s="21"/>
      <c r="O715" s="59"/>
      <c r="P715" s="21"/>
      <c r="Q715" s="59"/>
      <c r="R715" s="21"/>
      <c r="S715" s="21"/>
      <c r="T715" s="59"/>
      <c r="U715" s="60">
        <f t="shared" si="102"/>
        <v>0</v>
      </c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>
        <f>VLOOKUP(B715,[2]Hoja3!J$3:K$674,2,0)</f>
        <v>23194870</v>
      </c>
      <c r="BB715" s="60"/>
      <c r="BC715" s="61">
        <f t="shared" si="103"/>
        <v>23194870</v>
      </c>
      <c r="BD715" s="60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>
        <v>0</v>
      </c>
      <c r="BO715" s="60"/>
      <c r="BP715" s="61">
        <v>23194870</v>
      </c>
      <c r="BQ715" s="61"/>
      <c r="BR715" s="61"/>
      <c r="BS715" s="61"/>
      <c r="BT715" s="61"/>
      <c r="BU715" s="61"/>
      <c r="BV715" s="61"/>
      <c r="BW715" s="61"/>
      <c r="BX715" s="61"/>
      <c r="BY715" s="61"/>
      <c r="BZ715" s="61"/>
      <c r="CA715" s="61"/>
      <c r="CB715" s="61"/>
      <c r="CC715" s="61">
        <v>25658129</v>
      </c>
      <c r="CD715" s="61"/>
      <c r="CE715" s="61"/>
      <c r="CF715" s="61"/>
      <c r="CG715" s="61">
        <f t="shared" si="104"/>
        <v>48852999</v>
      </c>
      <c r="CH715" s="62">
        <f>VLOOKUP(B715,[1]RPTNCT049_ConsultaSaldosContabl!I$4:K$7987,3,0)</f>
        <v>25658129</v>
      </c>
      <c r="CI715" s="62">
        <f t="shared" si="105"/>
        <v>23194870</v>
      </c>
      <c r="CJ715" s="63">
        <f t="shared" si="106"/>
        <v>48852999</v>
      </c>
      <c r="CK715" s="64">
        <f t="shared" si="107"/>
        <v>0</v>
      </c>
      <c r="CL715" s="16"/>
      <c r="CM715" s="8"/>
      <c r="CN715" s="8"/>
      <c r="CO715" s="8"/>
      <c r="CP715" s="8"/>
      <c r="CQ715" s="8"/>
      <c r="CR715" s="8"/>
    </row>
    <row r="716" spans="1:96" ht="15" customHeight="1" x14ac:dyDescent="0.2">
      <c r="A716" s="1">
        <v>8911801990</v>
      </c>
      <c r="B716" s="1">
        <v>891180199</v>
      </c>
      <c r="C716" s="9">
        <v>214841548</v>
      </c>
      <c r="D716" s="10" t="s">
        <v>615</v>
      </c>
      <c r="E716" s="52" t="s">
        <v>1634</v>
      </c>
      <c r="F716" s="21"/>
      <c r="G716" s="59"/>
      <c r="H716" s="21"/>
      <c r="I716" s="59"/>
      <c r="J716" s="21"/>
      <c r="K716" s="21"/>
      <c r="L716" s="59"/>
      <c r="M716" s="60"/>
      <c r="N716" s="21"/>
      <c r="O716" s="59"/>
      <c r="P716" s="21"/>
      <c r="Q716" s="59"/>
      <c r="R716" s="21"/>
      <c r="S716" s="21"/>
      <c r="T716" s="59"/>
      <c r="U716" s="60">
        <f t="shared" si="102"/>
        <v>0</v>
      </c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>
        <v>106046070</v>
      </c>
      <c r="AZ716" s="60"/>
      <c r="BA716" s="60">
        <f>VLOOKUP(B716,[2]Hoja3!J$3:K$674,2,0)</f>
        <v>237991190</v>
      </c>
      <c r="BB716" s="60"/>
      <c r="BC716" s="61">
        <f t="shared" si="103"/>
        <v>344037260</v>
      </c>
      <c r="BD716" s="60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>
        <v>21209214</v>
      </c>
      <c r="BO716" s="60"/>
      <c r="BP716" s="61">
        <v>365246474</v>
      </c>
      <c r="BQ716" s="61"/>
      <c r="BR716" s="61"/>
      <c r="BS716" s="61"/>
      <c r="BT716" s="61"/>
      <c r="BU716" s="61"/>
      <c r="BV716" s="61"/>
      <c r="BW716" s="61"/>
      <c r="BX716" s="61"/>
      <c r="BY716" s="61"/>
      <c r="BZ716" s="61"/>
      <c r="CA716" s="61"/>
      <c r="CB716" s="61"/>
      <c r="CC716" s="61">
        <v>21209214</v>
      </c>
      <c r="CD716" s="61"/>
      <c r="CE716" s="61"/>
      <c r="CF716" s="61"/>
      <c r="CG716" s="61">
        <f t="shared" si="104"/>
        <v>386455688</v>
      </c>
      <c r="CH716" s="62">
        <f>VLOOKUP(B716,[1]RPTNCT049_ConsultaSaldosContabl!I$4:K$7987,3,0)</f>
        <v>148464498</v>
      </c>
      <c r="CI716" s="62">
        <f t="shared" si="105"/>
        <v>237991190</v>
      </c>
      <c r="CJ716" s="63">
        <f t="shared" si="106"/>
        <v>386455688</v>
      </c>
      <c r="CK716" s="64">
        <f t="shared" si="107"/>
        <v>0</v>
      </c>
      <c r="CL716" s="16"/>
      <c r="CM716" s="16"/>
      <c r="CN716" s="16"/>
    </row>
    <row r="717" spans="1:96" ht="15" customHeight="1" x14ac:dyDescent="0.2">
      <c r="A717" s="1">
        <v>8911800770</v>
      </c>
      <c r="B717" s="1">
        <v>891180077</v>
      </c>
      <c r="C717" s="9">
        <v>215141551</v>
      </c>
      <c r="D717" s="10" t="s">
        <v>616</v>
      </c>
      <c r="E717" s="53" t="s">
        <v>1635</v>
      </c>
      <c r="F717" s="21"/>
      <c r="G717" s="59"/>
      <c r="H717" s="21"/>
      <c r="I717" s="66">
        <f>3611108562+44394334</f>
        <v>3655502896</v>
      </c>
      <c r="J717" s="21">
        <v>263963908</v>
      </c>
      <c r="K717" s="21">
        <v>528974036</v>
      </c>
      <c r="L717" s="59"/>
      <c r="M717" s="61">
        <f>SUM(F717:L717)</f>
        <v>4448440840</v>
      </c>
      <c r="N717" s="21"/>
      <c r="O717" s="59"/>
      <c r="P717" s="21"/>
      <c r="Q717" s="59">
        <f>3501171083+207000000</f>
        <v>3708171083</v>
      </c>
      <c r="R717" s="21">
        <v>264656779</v>
      </c>
      <c r="S717" s="21">
        <f>265010128+264656779</f>
        <v>529666907</v>
      </c>
      <c r="T717" s="59"/>
      <c r="U717" s="60">
        <f t="shared" si="102"/>
        <v>8950935609</v>
      </c>
      <c r="V717" s="60"/>
      <c r="W717" s="60"/>
      <c r="X717" s="60"/>
      <c r="Y717" s="60">
        <v>5641907205</v>
      </c>
      <c r="Z717" s="60">
        <v>261193406</v>
      </c>
      <c r="AA717" s="60">
        <v>596337080</v>
      </c>
      <c r="AB717" s="60"/>
      <c r="AC717" s="60">
        <f t="shared" ref="AC708:AC771" si="108">SUM(U717:AB717)</f>
        <v>15450373300</v>
      </c>
      <c r="AD717" s="60"/>
      <c r="AE717" s="60"/>
      <c r="AF717" s="60"/>
      <c r="AG717" s="60"/>
      <c r="AH717" s="60">
        <v>3723630729</v>
      </c>
      <c r="AI717" s="60">
        <v>360439441</v>
      </c>
      <c r="AJ717" s="60">
        <v>272073093</v>
      </c>
      <c r="AK717" s="60">
        <v>686198640</v>
      </c>
      <c r="AL717" s="60"/>
      <c r="AM717" s="60">
        <v>2018062343</v>
      </c>
      <c r="AN717" s="60">
        <f>SUBTOTAL(9,AC717:AM717)</f>
        <v>22510777546</v>
      </c>
      <c r="AO717" s="60"/>
      <c r="AP717" s="60"/>
      <c r="AQ717" s="60">
        <v>761832800</v>
      </c>
      <c r="AR717" s="60"/>
      <c r="AS717" s="60"/>
      <c r="AT717" s="60">
        <v>3723630729</v>
      </c>
      <c r="AU717" s="60"/>
      <c r="AV717" s="60">
        <v>272073093</v>
      </c>
      <c r="AW717" s="60">
        <v>464893600</v>
      </c>
      <c r="AX717" s="60"/>
      <c r="AY717" s="60"/>
      <c r="AZ717" s="60"/>
      <c r="BA717" s="60"/>
      <c r="BB717" s="60"/>
      <c r="BC717" s="61">
        <f t="shared" si="103"/>
        <v>27733207768</v>
      </c>
      <c r="BD717" s="60"/>
      <c r="BE717" s="60"/>
      <c r="BF717" s="60">
        <v>152366560</v>
      </c>
      <c r="BG717" s="60"/>
      <c r="BH717" s="60"/>
      <c r="BI717" s="60">
        <v>3755863565</v>
      </c>
      <c r="BJ717" s="60">
        <v>242138820</v>
      </c>
      <c r="BK717" s="60">
        <v>284664615</v>
      </c>
      <c r="BL717" s="60">
        <v>886263967</v>
      </c>
      <c r="BM717" s="60"/>
      <c r="BN717" s="60"/>
      <c r="BO717" s="60"/>
      <c r="BP717" s="61">
        <v>33054505295</v>
      </c>
      <c r="BQ717" s="61"/>
      <c r="BR717" s="61"/>
      <c r="BS717" s="61">
        <v>152366560</v>
      </c>
      <c r="BT717" s="61"/>
      <c r="BU717" s="61"/>
      <c r="BV717" s="61"/>
      <c r="BW717" s="61">
        <v>3831289001</v>
      </c>
      <c r="BX717" s="61"/>
      <c r="BY717" s="61">
        <v>1720228982</v>
      </c>
      <c r="BZ717" s="61">
        <v>279644211</v>
      </c>
      <c r="CA717" s="61">
        <v>731637110</v>
      </c>
      <c r="CB717" s="61"/>
      <c r="CC717" s="61"/>
      <c r="CD717" s="61"/>
      <c r="CE717" s="61"/>
      <c r="CF717" s="61"/>
      <c r="CG717" s="61">
        <f t="shared" si="104"/>
        <v>39769671159</v>
      </c>
      <c r="CH717" s="62">
        <f>VLOOKUP(B717,[1]RPTNCT049_ConsultaSaldosContabl!I$4:K$7987,3,0)</f>
        <v>37751608816</v>
      </c>
      <c r="CI717" s="62">
        <f t="shared" si="105"/>
        <v>2018062343</v>
      </c>
      <c r="CJ717" s="63">
        <f t="shared" si="106"/>
        <v>39769671159</v>
      </c>
      <c r="CK717" s="64">
        <f t="shared" si="107"/>
        <v>0</v>
      </c>
      <c r="CL717" s="16"/>
      <c r="CM717" s="16"/>
      <c r="CN717" s="16"/>
    </row>
    <row r="718" spans="1:96" ht="15" customHeight="1" x14ac:dyDescent="0.2">
      <c r="A718" s="1">
        <v>8917800507</v>
      </c>
      <c r="B718" s="1">
        <v>891780050</v>
      </c>
      <c r="C718" s="9">
        <v>215147551</v>
      </c>
      <c r="D718" s="10" t="s">
        <v>652</v>
      </c>
      <c r="E718" s="52" t="s">
        <v>1672</v>
      </c>
      <c r="F718" s="21"/>
      <c r="G718" s="59"/>
      <c r="H718" s="21"/>
      <c r="I718" s="59"/>
      <c r="J718" s="21"/>
      <c r="K718" s="21"/>
      <c r="L718" s="59"/>
      <c r="M718" s="60"/>
      <c r="N718" s="21"/>
      <c r="O718" s="59"/>
      <c r="P718" s="21"/>
      <c r="Q718" s="59"/>
      <c r="R718" s="21"/>
      <c r="S718" s="21"/>
      <c r="T718" s="59"/>
      <c r="U718" s="60">
        <f t="shared" si="102"/>
        <v>0</v>
      </c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>
        <v>621731963</v>
      </c>
      <c r="AN718" s="60">
        <f>SUBTOTAL(9,AC718:AM718)</f>
        <v>621731963</v>
      </c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>
        <v>355027800</v>
      </c>
      <c r="AZ718" s="60"/>
      <c r="BA718" s="60">
        <f>VLOOKUP(B718,[2]Hoja3!J$3:K$674,2,0)</f>
        <v>120746543</v>
      </c>
      <c r="BB718" s="60"/>
      <c r="BC718" s="61">
        <f t="shared" si="103"/>
        <v>1097506306</v>
      </c>
      <c r="BD718" s="60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>
        <v>71005560</v>
      </c>
      <c r="BO718" s="60"/>
      <c r="BP718" s="61">
        <v>1168511866</v>
      </c>
      <c r="BQ718" s="61"/>
      <c r="BR718" s="61"/>
      <c r="BS718" s="61"/>
      <c r="BT718" s="61"/>
      <c r="BU718" s="61"/>
      <c r="BV718" s="61"/>
      <c r="BW718" s="61"/>
      <c r="BX718" s="61"/>
      <c r="BY718" s="61"/>
      <c r="BZ718" s="61"/>
      <c r="CA718" s="61"/>
      <c r="CB718" s="61"/>
      <c r="CC718" s="61">
        <v>71005560</v>
      </c>
      <c r="CD718" s="61"/>
      <c r="CE718" s="61"/>
      <c r="CF718" s="61"/>
      <c r="CG718" s="61">
        <f t="shared" si="104"/>
        <v>1239517426</v>
      </c>
      <c r="CH718" s="62">
        <f>VLOOKUP(B718,[1]RPTNCT049_ConsultaSaldosContabl!I$4:K$7987,3,0)</f>
        <v>497038920</v>
      </c>
      <c r="CI718" s="62">
        <f t="shared" si="105"/>
        <v>742478506</v>
      </c>
      <c r="CJ718" s="63">
        <f t="shared" si="106"/>
        <v>1239517426</v>
      </c>
      <c r="CK718" s="64">
        <f t="shared" si="107"/>
        <v>0</v>
      </c>
      <c r="CL718" s="16"/>
      <c r="CM718" s="16"/>
      <c r="CN718" s="16"/>
    </row>
    <row r="719" spans="1:96" ht="15" customHeight="1" x14ac:dyDescent="0.2">
      <c r="A719" s="1">
        <v>8001001371</v>
      </c>
      <c r="B719" s="1">
        <v>800100137</v>
      </c>
      <c r="C719" s="9">
        <v>215573555</v>
      </c>
      <c r="D719" s="10" t="s">
        <v>2232</v>
      </c>
      <c r="E719" s="52" t="s">
        <v>1958</v>
      </c>
      <c r="F719" s="21"/>
      <c r="G719" s="59"/>
      <c r="H719" s="21"/>
      <c r="I719" s="59"/>
      <c r="J719" s="21"/>
      <c r="K719" s="21"/>
      <c r="L719" s="59"/>
      <c r="M719" s="60"/>
      <c r="N719" s="21"/>
      <c r="O719" s="59"/>
      <c r="P719" s="21"/>
      <c r="Q719" s="59"/>
      <c r="R719" s="21"/>
      <c r="S719" s="21"/>
      <c r="T719" s="59"/>
      <c r="U719" s="60">
        <f t="shared" si="102"/>
        <v>0</v>
      </c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>
        <v>296223605</v>
      </c>
      <c r="AZ719" s="60"/>
      <c r="BA719" s="60">
        <f>VLOOKUP(B719,[2]Hoja3!J$3:K$674,2,0)</f>
        <v>535803896</v>
      </c>
      <c r="BB719" s="60"/>
      <c r="BC719" s="61">
        <f t="shared" si="103"/>
        <v>832027501</v>
      </c>
      <c r="BD719" s="60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>
        <v>59244721</v>
      </c>
      <c r="BO719" s="60"/>
      <c r="BP719" s="61">
        <v>891272222</v>
      </c>
      <c r="BQ719" s="61"/>
      <c r="BR719" s="61"/>
      <c r="BS719" s="61"/>
      <c r="BT719" s="61"/>
      <c r="BU719" s="61"/>
      <c r="BV719" s="61"/>
      <c r="BW719" s="61"/>
      <c r="BX719" s="61"/>
      <c r="BY719" s="61"/>
      <c r="BZ719" s="61"/>
      <c r="CA719" s="61"/>
      <c r="CB719" s="61"/>
      <c r="CC719" s="61">
        <v>59244721</v>
      </c>
      <c r="CD719" s="61"/>
      <c r="CE719" s="61"/>
      <c r="CF719" s="61"/>
      <c r="CG719" s="61">
        <f t="shared" si="104"/>
        <v>950516943</v>
      </c>
      <c r="CH719" s="62">
        <f>VLOOKUP(B719,[1]RPTNCT049_ConsultaSaldosContabl!I$4:K$7987,3,0)</f>
        <v>414713047</v>
      </c>
      <c r="CI719" s="62">
        <f t="shared" si="105"/>
        <v>535803896</v>
      </c>
      <c r="CJ719" s="63">
        <f t="shared" si="106"/>
        <v>950516943</v>
      </c>
      <c r="CK719" s="64">
        <f t="shared" si="107"/>
        <v>0</v>
      </c>
      <c r="CL719" s="16"/>
      <c r="CM719" s="16"/>
      <c r="CN719" s="16"/>
    </row>
    <row r="720" spans="1:96" ht="15" customHeight="1" x14ac:dyDescent="0.2">
      <c r="A720" s="1">
        <v>8000967651</v>
      </c>
      <c r="B720" s="1">
        <v>800096765</v>
      </c>
      <c r="C720" s="9">
        <v>215523555</v>
      </c>
      <c r="D720" s="10" t="s">
        <v>450</v>
      </c>
      <c r="E720" s="52" t="s">
        <v>1477</v>
      </c>
      <c r="F720" s="21"/>
      <c r="G720" s="59"/>
      <c r="H720" s="21"/>
      <c r="I720" s="59"/>
      <c r="J720" s="21"/>
      <c r="K720" s="21"/>
      <c r="L720" s="59"/>
      <c r="M720" s="60"/>
      <c r="N720" s="21"/>
      <c r="O720" s="59"/>
      <c r="P720" s="21"/>
      <c r="Q720" s="59"/>
      <c r="R720" s="21"/>
      <c r="S720" s="21"/>
      <c r="T720" s="59"/>
      <c r="U720" s="60">
        <f t="shared" si="102"/>
        <v>0</v>
      </c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>
        <v>1136793189</v>
      </c>
      <c r="AN720" s="60">
        <f t="shared" ref="AN720:AN727" si="109">SUBTOTAL(9,AC720:AM720)</f>
        <v>1136793189</v>
      </c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1">
        <f t="shared" si="103"/>
        <v>1136793189</v>
      </c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>
        <v>0</v>
      </c>
      <c r="BO720" s="60"/>
      <c r="BP720" s="61">
        <v>1136793189</v>
      </c>
      <c r="BQ720" s="61"/>
      <c r="BR720" s="61"/>
      <c r="BS720" s="61"/>
      <c r="BT720" s="61"/>
      <c r="BU720" s="61"/>
      <c r="BV720" s="61"/>
      <c r="BW720" s="61"/>
      <c r="BX720" s="61"/>
      <c r="BY720" s="61"/>
      <c r="BZ720" s="61"/>
      <c r="CA720" s="61"/>
      <c r="CB720" s="61"/>
      <c r="CC720" s="61">
        <v>942396560</v>
      </c>
      <c r="CD720" s="61"/>
      <c r="CE720" s="61"/>
      <c r="CF720" s="61"/>
      <c r="CG720" s="61">
        <f t="shared" si="104"/>
        <v>2079189749</v>
      </c>
      <c r="CH720" s="62">
        <f>VLOOKUP(B720,[1]RPTNCT049_ConsultaSaldosContabl!I$4:K$7987,3,0)</f>
        <v>942396560</v>
      </c>
      <c r="CI720" s="62">
        <f t="shared" si="105"/>
        <v>1136793189</v>
      </c>
      <c r="CJ720" s="63">
        <f t="shared" si="106"/>
        <v>2079189749</v>
      </c>
      <c r="CK720" s="64">
        <f t="shared" si="107"/>
        <v>0</v>
      </c>
      <c r="CL720" s="16"/>
      <c r="CM720" s="16"/>
      <c r="CN720" s="16"/>
    </row>
    <row r="721" spans="1:92" ht="15" customHeight="1" x14ac:dyDescent="0.2">
      <c r="A721" s="1">
        <v>8917800514</v>
      </c>
      <c r="B721" s="1">
        <v>891780051</v>
      </c>
      <c r="C721" s="9">
        <v>215547555</v>
      </c>
      <c r="D721" s="10" t="s">
        <v>653</v>
      </c>
      <c r="E721" s="52" t="s">
        <v>1673</v>
      </c>
      <c r="F721" s="21"/>
      <c r="G721" s="59"/>
      <c r="H721" s="21"/>
      <c r="I721" s="59"/>
      <c r="J721" s="21"/>
      <c r="K721" s="21"/>
      <c r="L721" s="59"/>
      <c r="M721" s="60"/>
      <c r="N721" s="21"/>
      <c r="O721" s="59"/>
      <c r="P721" s="21"/>
      <c r="Q721" s="59"/>
      <c r="R721" s="21"/>
      <c r="S721" s="21"/>
      <c r="T721" s="59"/>
      <c r="U721" s="60">
        <f t="shared" si="102"/>
        <v>0</v>
      </c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>
        <v>856430061</v>
      </c>
      <c r="AN721" s="60">
        <f t="shared" si="109"/>
        <v>856430061</v>
      </c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>
        <f>VLOOKUP(B721,[2]Hoja3!J$3:K$674,2,0)</f>
        <v>302175842</v>
      </c>
      <c r="BB721" s="60">
        <f>VLOOKUP(B721,'[3]anuladas en mayo gratuidad}'!K$2:L$55,2,0)</f>
        <v>291831724</v>
      </c>
      <c r="BC721" s="61">
        <f t="shared" si="103"/>
        <v>866774179</v>
      </c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>
        <v>152964976</v>
      </c>
      <c r="BO721" s="60">
        <v>291831724</v>
      </c>
      <c r="BP721" s="61">
        <v>1311570879</v>
      </c>
      <c r="BQ721" s="61"/>
      <c r="BR721" s="61"/>
      <c r="BS721" s="61"/>
      <c r="BT721" s="61"/>
      <c r="BU721" s="61"/>
      <c r="BV721" s="61"/>
      <c r="BW721" s="61"/>
      <c r="BX721" s="61"/>
      <c r="BY721" s="61"/>
      <c r="BZ721" s="61"/>
      <c r="CA721" s="61"/>
      <c r="CB721" s="61"/>
      <c r="CC721" s="61">
        <v>152964976</v>
      </c>
      <c r="CD721" s="61">
        <v>764824880</v>
      </c>
      <c r="CE721" s="61"/>
      <c r="CF721" s="61"/>
      <c r="CG721" s="61">
        <f t="shared" si="104"/>
        <v>2229360735</v>
      </c>
      <c r="CH721" s="62">
        <f>VLOOKUP(B721,[1]RPTNCT049_ConsultaSaldosContabl!I$4:K$7987,3,0)</f>
        <v>1070754832</v>
      </c>
      <c r="CI721" s="62">
        <f t="shared" si="105"/>
        <v>1158605903</v>
      </c>
      <c r="CJ721" s="63">
        <f t="shared" si="106"/>
        <v>2229360735</v>
      </c>
      <c r="CK721" s="64">
        <f t="shared" si="107"/>
        <v>0</v>
      </c>
      <c r="CL721" s="16"/>
      <c r="CM721" s="16"/>
      <c r="CN721" s="16"/>
    </row>
    <row r="722" spans="1:92" ht="15" customHeight="1" x14ac:dyDescent="0.2">
      <c r="A722" s="1">
        <v>8000203249</v>
      </c>
      <c r="B722" s="1">
        <v>800020324</v>
      </c>
      <c r="C722" s="9">
        <v>214052540</v>
      </c>
      <c r="D722" s="10" t="s">
        <v>731</v>
      </c>
      <c r="E722" s="52" t="s">
        <v>1753</v>
      </c>
      <c r="F722" s="21"/>
      <c r="G722" s="59"/>
      <c r="H722" s="21"/>
      <c r="I722" s="59"/>
      <c r="J722" s="21"/>
      <c r="K722" s="21"/>
      <c r="L722" s="59"/>
      <c r="M722" s="60"/>
      <c r="N722" s="21"/>
      <c r="O722" s="59"/>
      <c r="P722" s="21"/>
      <c r="Q722" s="59"/>
      <c r="R722" s="21"/>
      <c r="S722" s="21"/>
      <c r="T722" s="59"/>
      <c r="U722" s="60">
        <f t="shared" si="102"/>
        <v>0</v>
      </c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>
        <v>161688048</v>
      </c>
      <c r="AN722" s="60">
        <f t="shared" si="109"/>
        <v>161688048</v>
      </c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>
        <f>VLOOKUP(B722,[2]Hoja3!J$3:K$674,2,0)</f>
        <v>36864787</v>
      </c>
      <c r="BB722" s="60"/>
      <c r="BC722" s="61">
        <f t="shared" si="103"/>
        <v>198552835</v>
      </c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>
        <v>0</v>
      </c>
      <c r="BO722" s="60"/>
      <c r="BP722" s="61">
        <v>198552835</v>
      </c>
      <c r="BQ722" s="61"/>
      <c r="BR722" s="61"/>
      <c r="BS722" s="61"/>
      <c r="BT722" s="61"/>
      <c r="BU722" s="61"/>
      <c r="BV722" s="61"/>
      <c r="BW722" s="61"/>
      <c r="BX722" s="61"/>
      <c r="BY722" s="61"/>
      <c r="BZ722" s="61"/>
      <c r="CA722" s="61"/>
      <c r="CB722" s="61"/>
      <c r="CC722" s="61">
        <v>0</v>
      </c>
      <c r="CD722" s="61"/>
      <c r="CE722" s="61"/>
      <c r="CF722" s="61"/>
      <c r="CG722" s="61">
        <f t="shared" si="104"/>
        <v>198552835</v>
      </c>
      <c r="CH722" s="62"/>
      <c r="CI722" s="62">
        <f t="shared" si="105"/>
        <v>198552835</v>
      </c>
      <c r="CJ722" s="63">
        <f t="shared" si="106"/>
        <v>198552835</v>
      </c>
      <c r="CK722" s="64">
        <f t="shared" si="107"/>
        <v>0</v>
      </c>
      <c r="CL722" s="16"/>
      <c r="CM722" s="16"/>
      <c r="CN722" s="16"/>
    </row>
    <row r="723" spans="1:92" ht="15" customHeight="1" x14ac:dyDescent="0.2">
      <c r="A723" s="1">
        <v>8000767511</v>
      </c>
      <c r="B723" s="1">
        <v>800076751</v>
      </c>
      <c r="C723" s="9">
        <v>215808558</v>
      </c>
      <c r="D723" s="10" t="s">
        <v>170</v>
      </c>
      <c r="E723" s="52" t="s">
        <v>1199</v>
      </c>
      <c r="F723" s="21"/>
      <c r="G723" s="59"/>
      <c r="H723" s="21"/>
      <c r="I723" s="59"/>
      <c r="J723" s="21"/>
      <c r="K723" s="21"/>
      <c r="L723" s="59"/>
      <c r="M723" s="60"/>
      <c r="N723" s="21"/>
      <c r="O723" s="59"/>
      <c r="P723" s="21"/>
      <c r="Q723" s="59"/>
      <c r="R723" s="21"/>
      <c r="S723" s="21"/>
      <c r="T723" s="59"/>
      <c r="U723" s="60">
        <f t="shared" si="102"/>
        <v>0</v>
      </c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>
        <v>244937474</v>
      </c>
      <c r="AN723" s="60">
        <f t="shared" si="109"/>
        <v>244937474</v>
      </c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1">
        <f t="shared" si="103"/>
        <v>244937474</v>
      </c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>
        <v>0</v>
      </c>
      <c r="BO723" s="60"/>
      <c r="BP723" s="61">
        <v>244937474</v>
      </c>
      <c r="BQ723" s="61"/>
      <c r="BR723" s="61"/>
      <c r="BS723" s="61"/>
      <c r="BT723" s="61"/>
      <c r="BU723" s="61"/>
      <c r="BV723" s="61"/>
      <c r="BW723" s="61"/>
      <c r="BX723" s="61"/>
      <c r="BY723" s="61"/>
      <c r="BZ723" s="61"/>
      <c r="CA723" s="61"/>
      <c r="CB723" s="61"/>
      <c r="CC723" s="61">
        <v>0</v>
      </c>
      <c r="CD723" s="61"/>
      <c r="CE723" s="61"/>
      <c r="CF723" s="61"/>
      <c r="CG723" s="61">
        <f t="shared" si="104"/>
        <v>244937474</v>
      </c>
      <c r="CH723" s="62"/>
      <c r="CI723" s="62">
        <f t="shared" si="105"/>
        <v>244937474</v>
      </c>
      <c r="CJ723" s="63">
        <f t="shared" si="106"/>
        <v>244937474</v>
      </c>
      <c r="CK723" s="64">
        <f t="shared" si="107"/>
        <v>0</v>
      </c>
      <c r="CL723" s="16"/>
      <c r="CM723" s="16"/>
      <c r="CN723" s="16"/>
    </row>
    <row r="724" spans="1:92" ht="15" customHeight="1" x14ac:dyDescent="0.2">
      <c r="A724" s="1">
        <v>8901162789</v>
      </c>
      <c r="B724" s="1">
        <v>890116278</v>
      </c>
      <c r="C724" s="9">
        <v>216008560</v>
      </c>
      <c r="D724" s="10" t="s">
        <v>171</v>
      </c>
      <c r="E724" s="52" t="s">
        <v>1200</v>
      </c>
      <c r="F724" s="21"/>
      <c r="G724" s="59"/>
      <c r="H724" s="21"/>
      <c r="I724" s="59"/>
      <c r="J724" s="21"/>
      <c r="K724" s="21"/>
      <c r="L724" s="59"/>
      <c r="M724" s="60"/>
      <c r="N724" s="21"/>
      <c r="O724" s="59"/>
      <c r="P724" s="21"/>
      <c r="Q724" s="59"/>
      <c r="R724" s="21"/>
      <c r="S724" s="21"/>
      <c r="T724" s="59"/>
      <c r="U724" s="60">
        <f t="shared" si="102"/>
        <v>0</v>
      </c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>
        <v>275175208</v>
      </c>
      <c r="AN724" s="60">
        <f t="shared" si="109"/>
        <v>275175208</v>
      </c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>
        <v>210879135</v>
      </c>
      <c r="AZ724" s="60"/>
      <c r="BA724" s="60">
        <f>VLOOKUP(B724,[2]Hoja3!J$3:K$674,2,0)</f>
        <v>131091076</v>
      </c>
      <c r="BB724" s="60"/>
      <c r="BC724" s="61">
        <f t="shared" si="103"/>
        <v>617145419</v>
      </c>
      <c r="BD724" s="60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>
        <v>42175827</v>
      </c>
      <c r="BO724" s="60"/>
      <c r="BP724" s="61">
        <v>659321246</v>
      </c>
      <c r="BQ724" s="61"/>
      <c r="BR724" s="61"/>
      <c r="BS724" s="61"/>
      <c r="BT724" s="61"/>
      <c r="BU724" s="61"/>
      <c r="BV724" s="61"/>
      <c r="BW724" s="61"/>
      <c r="BX724" s="61"/>
      <c r="BY724" s="61"/>
      <c r="BZ724" s="61"/>
      <c r="CA724" s="61"/>
      <c r="CB724" s="61"/>
      <c r="CC724" s="61">
        <v>42175827</v>
      </c>
      <c r="CD724" s="61"/>
      <c r="CE724" s="61"/>
      <c r="CF724" s="61"/>
      <c r="CG724" s="61">
        <f t="shared" si="104"/>
        <v>701497073</v>
      </c>
      <c r="CH724" s="62">
        <f>VLOOKUP(B724,[1]RPTNCT049_ConsultaSaldosContabl!I$4:K$7987,3,0)</f>
        <v>295230789</v>
      </c>
      <c r="CI724" s="62">
        <f t="shared" si="105"/>
        <v>406266284</v>
      </c>
      <c r="CJ724" s="63">
        <f t="shared" si="106"/>
        <v>701497073</v>
      </c>
      <c r="CK724" s="64">
        <f t="shared" si="107"/>
        <v>0</v>
      </c>
      <c r="CL724" s="16"/>
      <c r="CM724" s="16"/>
      <c r="CN724" s="16"/>
    </row>
    <row r="725" spans="1:92" ht="15" customHeight="1" x14ac:dyDescent="0.2">
      <c r="A725" s="1">
        <v>8915800064</v>
      </c>
      <c r="B725" s="1">
        <v>891580006</v>
      </c>
      <c r="C725" s="9">
        <v>210119001</v>
      </c>
      <c r="D725" s="10" t="s">
        <v>2112</v>
      </c>
      <c r="E725" s="53" t="s">
        <v>2059</v>
      </c>
      <c r="F725" s="21"/>
      <c r="G725" s="59"/>
      <c r="H725" s="21"/>
      <c r="I725" s="59">
        <f>6935596704+173482529</f>
        <v>7109079233</v>
      </c>
      <c r="J725" s="21">
        <v>445768393</v>
      </c>
      <c r="K725" s="21">
        <v>885522409</v>
      </c>
      <c r="L725" s="59"/>
      <c r="M725" s="61">
        <f>SUM(F725:L725)</f>
        <v>8440370035</v>
      </c>
      <c r="N725" s="21"/>
      <c r="O725" s="59"/>
      <c r="P725" s="21"/>
      <c r="Q725" s="59">
        <f>6583467577+78855695</f>
        <v>6662323272</v>
      </c>
      <c r="R725" s="21">
        <v>445768393</v>
      </c>
      <c r="S725" s="21">
        <f>439754016+445768393</f>
        <v>885522409</v>
      </c>
      <c r="T725" s="59"/>
      <c r="U725" s="60">
        <f t="shared" si="102"/>
        <v>16433984109</v>
      </c>
      <c r="V725" s="60"/>
      <c r="W725" s="60"/>
      <c r="X725" s="60"/>
      <c r="Y725" s="60">
        <v>12177493864</v>
      </c>
      <c r="Z725" s="60">
        <v>470519466</v>
      </c>
      <c r="AA725" s="60">
        <v>1081806356</v>
      </c>
      <c r="AB725" s="60"/>
      <c r="AC725" s="60">
        <f t="shared" si="108"/>
        <v>30163803795</v>
      </c>
      <c r="AD725" s="60"/>
      <c r="AE725" s="60"/>
      <c r="AF725" s="60"/>
      <c r="AG725" s="60"/>
      <c r="AH725" s="60">
        <v>6869465469</v>
      </c>
      <c r="AI725" s="60">
        <v>809084430</v>
      </c>
      <c r="AJ725" s="60">
        <v>460901873</v>
      </c>
      <c r="AK725" s="60">
        <v>1161743754</v>
      </c>
      <c r="AL725" s="60"/>
      <c r="AM725" s="60">
        <v>1818541554</v>
      </c>
      <c r="AN725" s="60">
        <f t="shared" si="109"/>
        <v>41283540875</v>
      </c>
      <c r="AO725" s="60"/>
      <c r="AP725" s="60"/>
      <c r="AQ725" s="60">
        <v>970312290</v>
      </c>
      <c r="AR725" s="60"/>
      <c r="AS725" s="60"/>
      <c r="AT725" s="60">
        <v>6869465469</v>
      </c>
      <c r="AU725" s="60"/>
      <c r="AV725" s="60">
        <v>460901873</v>
      </c>
      <c r="AW725" s="60">
        <v>786721478</v>
      </c>
      <c r="AX725" s="60"/>
      <c r="AY725" s="60"/>
      <c r="AZ725" s="60"/>
      <c r="BA725" s="60">
        <f>VLOOKUP(B725,[2]Hoja3!J$3:K$674,2,0)</f>
        <v>532985815</v>
      </c>
      <c r="BB725" s="60"/>
      <c r="BC725" s="61">
        <f t="shared" si="103"/>
        <v>50903927800</v>
      </c>
      <c r="BD725" s="60"/>
      <c r="BE725" s="60"/>
      <c r="BF725" s="60">
        <v>194062458</v>
      </c>
      <c r="BG725" s="60"/>
      <c r="BH725" s="60"/>
      <c r="BI725" s="60">
        <v>7651753151</v>
      </c>
      <c r="BJ725" s="60">
        <v>473933262</v>
      </c>
      <c r="BK725" s="60">
        <v>484115452</v>
      </c>
      <c r="BL725" s="60">
        <v>1233597236</v>
      </c>
      <c r="BM725" s="60"/>
      <c r="BN725" s="60"/>
      <c r="BO725" s="60"/>
      <c r="BP725" s="61">
        <v>60941389359</v>
      </c>
      <c r="BQ725" s="61"/>
      <c r="BR725" s="61"/>
      <c r="BS725" s="61">
        <v>194062458</v>
      </c>
      <c r="BT725" s="61"/>
      <c r="BU725" s="61"/>
      <c r="BV725" s="61"/>
      <c r="BW725" s="61">
        <v>7146065249</v>
      </c>
      <c r="BX725" s="61"/>
      <c r="BY725" s="61">
        <v>3243929597</v>
      </c>
      <c r="BZ725" s="61">
        <v>467345777</v>
      </c>
      <c r="CA725" s="61">
        <v>1226184631</v>
      </c>
      <c r="CB725" s="61"/>
      <c r="CC725" s="61"/>
      <c r="CD725" s="61"/>
      <c r="CE725" s="61"/>
      <c r="CF725" s="61"/>
      <c r="CG725" s="61">
        <f t="shared" si="104"/>
        <v>73218977071</v>
      </c>
      <c r="CH725" s="62">
        <f>VLOOKUP(B725,[1]RPTNCT049_ConsultaSaldosContabl!I$4:K$7987,3,0)</f>
        <v>70867449702</v>
      </c>
      <c r="CI725" s="62">
        <f t="shared" si="105"/>
        <v>2351527369</v>
      </c>
      <c r="CJ725" s="63">
        <f t="shared" si="106"/>
        <v>73218977071</v>
      </c>
      <c r="CK725" s="64">
        <f t="shared" si="107"/>
        <v>0</v>
      </c>
      <c r="CL725" s="16"/>
      <c r="CM725" s="16"/>
      <c r="CN725" s="16"/>
    </row>
    <row r="726" spans="1:92" ht="15" customHeight="1" x14ac:dyDescent="0.2">
      <c r="A726" s="1">
        <v>8000994293</v>
      </c>
      <c r="B726" s="1">
        <v>800099429</v>
      </c>
      <c r="C726" s="9">
        <v>216385263</v>
      </c>
      <c r="D726" s="10" t="s">
        <v>965</v>
      </c>
      <c r="E726" s="52" t="s">
        <v>2025</v>
      </c>
      <c r="F726" s="21"/>
      <c r="G726" s="59"/>
      <c r="H726" s="21"/>
      <c r="I726" s="59"/>
      <c r="J726" s="21"/>
      <c r="K726" s="21"/>
      <c r="L726" s="59"/>
      <c r="M726" s="60"/>
      <c r="N726" s="21"/>
      <c r="O726" s="59"/>
      <c r="P726" s="21"/>
      <c r="Q726" s="59"/>
      <c r="R726" s="21"/>
      <c r="S726" s="21"/>
      <c r="T726" s="59"/>
      <c r="U726" s="60">
        <f t="shared" si="102"/>
        <v>0</v>
      </c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>
        <v>191142041</v>
      </c>
      <c r="AN726" s="60">
        <f t="shared" si="109"/>
        <v>191142041</v>
      </c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>
        <v>104463625</v>
      </c>
      <c r="AZ726" s="60"/>
      <c r="BA726" s="60"/>
      <c r="BB726" s="60"/>
      <c r="BC726" s="61">
        <f t="shared" si="103"/>
        <v>295605666</v>
      </c>
      <c r="BD726" s="60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>
        <v>20892725</v>
      </c>
      <c r="BO726" s="60"/>
      <c r="BP726" s="61">
        <v>316498391</v>
      </c>
      <c r="BQ726" s="61"/>
      <c r="BR726" s="61"/>
      <c r="BS726" s="61"/>
      <c r="BT726" s="61"/>
      <c r="BU726" s="61"/>
      <c r="BV726" s="61"/>
      <c r="BW726" s="61"/>
      <c r="BX726" s="61"/>
      <c r="BY726" s="61"/>
      <c r="BZ726" s="61"/>
      <c r="CA726" s="61"/>
      <c r="CB726" s="61"/>
      <c r="CC726" s="61">
        <v>20892725</v>
      </c>
      <c r="CD726" s="61"/>
      <c r="CE726" s="61"/>
      <c r="CF726" s="61"/>
      <c r="CG726" s="61">
        <f t="shared" si="104"/>
        <v>337391116</v>
      </c>
      <c r="CH726" s="62">
        <f>VLOOKUP(B726,[1]RPTNCT049_ConsultaSaldosContabl!I$4:K$7987,3,0)</f>
        <v>146249075</v>
      </c>
      <c r="CI726" s="62">
        <f t="shared" si="105"/>
        <v>191142041</v>
      </c>
      <c r="CJ726" s="63">
        <f t="shared" si="106"/>
        <v>337391116</v>
      </c>
      <c r="CK726" s="64">
        <f t="shared" si="107"/>
        <v>0</v>
      </c>
      <c r="CL726" s="16"/>
      <c r="CM726" s="16"/>
      <c r="CN726" s="16"/>
    </row>
    <row r="727" spans="1:92" ht="15" customHeight="1" x14ac:dyDescent="0.2">
      <c r="A727" s="1">
        <v>8000372324</v>
      </c>
      <c r="B727" s="1">
        <v>800037232</v>
      </c>
      <c r="C727" s="9">
        <v>216052560</v>
      </c>
      <c r="D727" s="10" t="s">
        <v>732</v>
      </c>
      <c r="E727" s="52" t="s">
        <v>1754</v>
      </c>
      <c r="F727" s="21"/>
      <c r="G727" s="59"/>
      <c r="H727" s="21"/>
      <c r="I727" s="59"/>
      <c r="J727" s="21"/>
      <c r="K727" s="21"/>
      <c r="L727" s="59"/>
      <c r="M727" s="60"/>
      <c r="N727" s="21"/>
      <c r="O727" s="59"/>
      <c r="P727" s="21"/>
      <c r="Q727" s="59"/>
      <c r="R727" s="21"/>
      <c r="S727" s="21"/>
      <c r="T727" s="59"/>
      <c r="U727" s="60">
        <f t="shared" si="102"/>
        <v>0</v>
      </c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>
        <v>169210558</v>
      </c>
      <c r="AN727" s="60">
        <f t="shared" si="109"/>
        <v>169210558</v>
      </c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>
        <v>83460680</v>
      </c>
      <c r="AZ727" s="60"/>
      <c r="BA727" s="60"/>
      <c r="BB727" s="60"/>
      <c r="BC727" s="61">
        <f t="shared" si="103"/>
        <v>252671238</v>
      </c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>
        <v>16692136</v>
      </c>
      <c r="BO727" s="60"/>
      <c r="BP727" s="61">
        <v>269363374</v>
      </c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  <c r="CA727" s="61"/>
      <c r="CB727" s="61"/>
      <c r="CC727" s="61">
        <v>16692136</v>
      </c>
      <c r="CD727" s="61"/>
      <c r="CE727" s="61"/>
      <c r="CF727" s="61"/>
      <c r="CG727" s="61">
        <f t="shared" si="104"/>
        <v>286055510</v>
      </c>
      <c r="CH727" s="62">
        <f>VLOOKUP(B727,[1]RPTNCT049_ConsultaSaldosContabl!I$4:K$7987,3,0)</f>
        <v>116844952</v>
      </c>
      <c r="CI727" s="62">
        <f t="shared" si="105"/>
        <v>169210558</v>
      </c>
      <c r="CJ727" s="63">
        <f t="shared" si="106"/>
        <v>286055510</v>
      </c>
      <c r="CK727" s="64">
        <f t="shared" si="107"/>
        <v>0</v>
      </c>
      <c r="CL727" s="16"/>
      <c r="CM727" s="16"/>
      <c r="CN727" s="16"/>
    </row>
    <row r="728" spans="1:92" ht="15" customHeight="1" x14ac:dyDescent="0.2">
      <c r="A728" s="1">
        <v>8913801150</v>
      </c>
      <c r="B728" s="1">
        <v>891380115</v>
      </c>
      <c r="C728" s="9">
        <v>216376563</v>
      </c>
      <c r="D728" s="10" t="s">
        <v>934</v>
      </c>
      <c r="E728" s="52" t="s">
        <v>1994</v>
      </c>
      <c r="F728" s="21"/>
      <c r="G728" s="59"/>
      <c r="H728" s="21"/>
      <c r="I728" s="59"/>
      <c r="J728" s="21"/>
      <c r="K728" s="21"/>
      <c r="L728" s="59"/>
      <c r="M728" s="60"/>
      <c r="N728" s="21"/>
      <c r="O728" s="59"/>
      <c r="P728" s="21"/>
      <c r="Q728" s="59"/>
      <c r="R728" s="21"/>
      <c r="S728" s="21"/>
      <c r="T728" s="59"/>
      <c r="U728" s="60">
        <f t="shared" si="102"/>
        <v>0</v>
      </c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>
        <v>326737095</v>
      </c>
      <c r="AZ728" s="60"/>
      <c r="BA728" s="60">
        <f>VLOOKUP(B728,[2]Hoja3!J$3:K$674,2,0)</f>
        <v>615450100</v>
      </c>
      <c r="BB728" s="60"/>
      <c r="BC728" s="61">
        <f t="shared" si="103"/>
        <v>942187195</v>
      </c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>
        <v>65347419</v>
      </c>
      <c r="BO728" s="60"/>
      <c r="BP728" s="61">
        <v>1007534614</v>
      </c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  <c r="CA728" s="61"/>
      <c r="CB728" s="61"/>
      <c r="CC728" s="61">
        <v>65347419</v>
      </c>
      <c r="CD728" s="61"/>
      <c r="CE728" s="61"/>
      <c r="CF728" s="61"/>
      <c r="CG728" s="61">
        <f t="shared" si="104"/>
        <v>1072882033</v>
      </c>
      <c r="CH728" s="62">
        <f>VLOOKUP(B728,[1]RPTNCT049_ConsultaSaldosContabl!I$4:K$7987,3,0)</f>
        <v>457431933</v>
      </c>
      <c r="CI728" s="62">
        <f t="shared" si="105"/>
        <v>615450100</v>
      </c>
      <c r="CJ728" s="63">
        <f t="shared" si="106"/>
        <v>1072882033</v>
      </c>
      <c r="CK728" s="64">
        <f t="shared" si="107"/>
        <v>0</v>
      </c>
      <c r="CL728" s="16"/>
      <c r="CM728" s="16"/>
      <c r="CN728" s="16"/>
    </row>
    <row r="729" spans="1:92" ht="15" customHeight="1" x14ac:dyDescent="0.2">
      <c r="A729" s="1">
        <v>8907020381</v>
      </c>
      <c r="B729" s="1">
        <v>890702038</v>
      </c>
      <c r="C729" s="9">
        <v>216373563</v>
      </c>
      <c r="D729" s="10" t="s">
        <v>2233</v>
      </c>
      <c r="E729" s="52" t="s">
        <v>1959</v>
      </c>
      <c r="F729" s="21"/>
      <c r="G729" s="59"/>
      <c r="H729" s="21"/>
      <c r="I729" s="59"/>
      <c r="J729" s="21"/>
      <c r="K729" s="21"/>
      <c r="L729" s="59"/>
      <c r="M729" s="60"/>
      <c r="N729" s="21"/>
      <c r="O729" s="59"/>
      <c r="P729" s="21"/>
      <c r="Q729" s="59"/>
      <c r="R729" s="21"/>
      <c r="S729" s="21"/>
      <c r="T729" s="59"/>
      <c r="U729" s="60">
        <f t="shared" si="102"/>
        <v>0</v>
      </c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>
        <v>65726235</v>
      </c>
      <c r="AZ729" s="60"/>
      <c r="BA729" s="60">
        <f>VLOOKUP(B729,[2]Hoja3!J$3:K$674,2,0)</f>
        <v>136506266</v>
      </c>
      <c r="BB729" s="60"/>
      <c r="BC729" s="61">
        <f t="shared" si="103"/>
        <v>202232501</v>
      </c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>
        <v>13145247</v>
      </c>
      <c r="BO729" s="60"/>
      <c r="BP729" s="61">
        <v>215377748</v>
      </c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  <c r="CC729" s="61">
        <v>13145247</v>
      </c>
      <c r="CD729" s="61"/>
      <c r="CE729" s="61"/>
      <c r="CF729" s="61"/>
      <c r="CG729" s="61">
        <f t="shared" si="104"/>
        <v>228522995</v>
      </c>
      <c r="CH729" s="62">
        <f>VLOOKUP(B729,[1]RPTNCT049_ConsultaSaldosContabl!I$4:K$7987,3,0)</f>
        <v>92016729</v>
      </c>
      <c r="CI729" s="62">
        <f t="shared" si="105"/>
        <v>136506266</v>
      </c>
      <c r="CJ729" s="63">
        <f t="shared" si="106"/>
        <v>228522995</v>
      </c>
      <c r="CK729" s="64">
        <f t="shared" si="107"/>
        <v>0</v>
      </c>
      <c r="CL729" s="16"/>
      <c r="CM729" s="16"/>
      <c r="CN729" s="16"/>
    </row>
    <row r="730" spans="1:92" ht="15" customHeight="1" x14ac:dyDescent="0.2">
      <c r="A730" s="1">
        <v>8001030211</v>
      </c>
      <c r="B730" s="1">
        <v>800103021</v>
      </c>
      <c r="C730" s="9">
        <v>216488564</v>
      </c>
      <c r="D730" s="10" t="s">
        <v>987</v>
      </c>
      <c r="E730" s="52" t="s">
        <v>2044</v>
      </c>
      <c r="F730" s="21"/>
      <c r="G730" s="59"/>
      <c r="H730" s="21"/>
      <c r="I730" s="59"/>
      <c r="J730" s="21"/>
      <c r="K730" s="21"/>
      <c r="L730" s="59"/>
      <c r="M730" s="60"/>
      <c r="N730" s="21"/>
      <c r="O730" s="59"/>
      <c r="P730" s="21"/>
      <c r="Q730" s="59"/>
      <c r="R730" s="21"/>
      <c r="S730" s="21"/>
      <c r="T730" s="59"/>
      <c r="U730" s="60">
        <f t="shared" si="102"/>
        <v>0</v>
      </c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>
        <v>29723990</v>
      </c>
      <c r="AZ730" s="60"/>
      <c r="BA730" s="60"/>
      <c r="BB730" s="60"/>
      <c r="BC730" s="61">
        <f t="shared" si="103"/>
        <v>29723990</v>
      </c>
      <c r="BD730" s="60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>
        <v>5944798</v>
      </c>
      <c r="BO730" s="60"/>
      <c r="BP730" s="61">
        <v>35668788</v>
      </c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  <c r="CA730" s="61"/>
      <c r="CB730" s="61"/>
      <c r="CC730" s="61">
        <v>5944798</v>
      </c>
      <c r="CD730" s="61"/>
      <c r="CE730" s="61"/>
      <c r="CF730" s="61"/>
      <c r="CG730" s="61">
        <f t="shared" si="104"/>
        <v>41613586</v>
      </c>
      <c r="CH730" s="62">
        <f>VLOOKUP(B730,[1]RPTNCT049_ConsultaSaldosContabl!I$4:K$7987,3,0)</f>
        <v>41613586</v>
      </c>
      <c r="CI730" s="62">
        <f t="shared" si="105"/>
        <v>0</v>
      </c>
      <c r="CJ730" s="63">
        <f t="shared" si="106"/>
        <v>41613586</v>
      </c>
      <c r="CK730" s="64">
        <f t="shared" si="107"/>
        <v>0</v>
      </c>
      <c r="CL730" s="16"/>
      <c r="CM730" s="16"/>
      <c r="CN730" s="16"/>
    </row>
    <row r="731" spans="1:92" ht="15" customHeight="1" x14ac:dyDescent="0.2">
      <c r="A731" s="1">
        <v>8002224989</v>
      </c>
      <c r="B731" s="1">
        <v>800222498</v>
      </c>
      <c r="C731" s="9">
        <v>216552565</v>
      </c>
      <c r="D731" s="10" t="s">
        <v>733</v>
      </c>
      <c r="E731" s="52" t="s">
        <v>1755</v>
      </c>
      <c r="F731" s="21"/>
      <c r="G731" s="59"/>
      <c r="H731" s="21"/>
      <c r="I731" s="59"/>
      <c r="J731" s="21"/>
      <c r="K731" s="21"/>
      <c r="L731" s="59"/>
      <c r="M731" s="60"/>
      <c r="N731" s="21"/>
      <c r="O731" s="59"/>
      <c r="P731" s="21"/>
      <c r="Q731" s="59"/>
      <c r="R731" s="21"/>
      <c r="S731" s="21"/>
      <c r="T731" s="59"/>
      <c r="U731" s="60">
        <f t="shared" si="102"/>
        <v>0</v>
      </c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>
        <v>44202445</v>
      </c>
      <c r="AZ731" s="60"/>
      <c r="BA731" s="60">
        <f>VLOOKUP(B731,[2]Hoja3!J$3:K$674,2,0)</f>
        <v>68504000</v>
      </c>
      <c r="BB731" s="60"/>
      <c r="BC731" s="61">
        <f t="shared" si="103"/>
        <v>112706445</v>
      </c>
      <c r="BD731" s="60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>
        <v>8840489</v>
      </c>
      <c r="BO731" s="60"/>
      <c r="BP731" s="61">
        <v>121546934</v>
      </c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  <c r="CA731" s="61"/>
      <c r="CB731" s="61"/>
      <c r="CC731" s="61">
        <v>8840489</v>
      </c>
      <c r="CD731" s="61"/>
      <c r="CE731" s="61"/>
      <c r="CF731" s="61"/>
      <c r="CG731" s="61">
        <f t="shared" si="104"/>
        <v>130387423</v>
      </c>
      <c r="CH731" s="62">
        <f>VLOOKUP(B731,[1]RPTNCT049_ConsultaSaldosContabl!I$4:K$7987,3,0)</f>
        <v>61883423</v>
      </c>
      <c r="CI731" s="62">
        <f t="shared" si="105"/>
        <v>68504000</v>
      </c>
      <c r="CJ731" s="63">
        <f t="shared" si="106"/>
        <v>130387423</v>
      </c>
      <c r="CK731" s="64">
        <f t="shared" si="107"/>
        <v>0</v>
      </c>
      <c r="CL731" s="16"/>
      <c r="CM731" s="16"/>
      <c r="CN731" s="16"/>
    </row>
    <row r="732" spans="1:92" ht="15" customHeight="1" x14ac:dyDescent="0.2">
      <c r="A732" s="1">
        <v>8240016241</v>
      </c>
      <c r="B732" s="1">
        <v>824001624</v>
      </c>
      <c r="C732" s="9">
        <v>217020570</v>
      </c>
      <c r="D732" s="10" t="s">
        <v>430</v>
      </c>
      <c r="E732" s="52" t="s">
        <v>1457</v>
      </c>
      <c r="F732" s="21"/>
      <c r="G732" s="59"/>
      <c r="H732" s="21"/>
      <c r="I732" s="59"/>
      <c r="J732" s="21"/>
      <c r="K732" s="21"/>
      <c r="L732" s="59"/>
      <c r="M732" s="60"/>
      <c r="N732" s="21"/>
      <c r="O732" s="59"/>
      <c r="P732" s="21"/>
      <c r="Q732" s="59"/>
      <c r="R732" s="21"/>
      <c r="S732" s="21"/>
      <c r="T732" s="59"/>
      <c r="U732" s="60">
        <f t="shared" si="102"/>
        <v>0</v>
      </c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>
        <v>286980087</v>
      </c>
      <c r="AN732" s="60">
        <f>SUBTOTAL(9,AC732:AM732)</f>
        <v>286980087</v>
      </c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>
        <v>373984355</v>
      </c>
      <c r="AZ732" s="60"/>
      <c r="BA732" s="60">
        <f>VLOOKUP(B732,[2]Hoja3!J$3:K$674,2,0)</f>
        <v>172717433</v>
      </c>
      <c r="BB732" s="60"/>
      <c r="BC732" s="61">
        <f t="shared" si="103"/>
        <v>833681875</v>
      </c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>
        <v>74796871</v>
      </c>
      <c r="BO732" s="60"/>
      <c r="BP732" s="61">
        <v>908478746</v>
      </c>
      <c r="BQ732" s="61"/>
      <c r="BR732" s="61"/>
      <c r="BS732" s="61"/>
      <c r="BT732" s="61"/>
      <c r="BU732" s="61"/>
      <c r="BV732" s="61"/>
      <c r="BW732" s="61"/>
      <c r="BX732" s="61"/>
      <c r="BY732" s="61"/>
      <c r="BZ732" s="61"/>
      <c r="CA732" s="61"/>
      <c r="CB732" s="61"/>
      <c r="CC732" s="61">
        <v>74796871</v>
      </c>
      <c r="CD732" s="61"/>
      <c r="CE732" s="61"/>
      <c r="CF732" s="61"/>
      <c r="CG732" s="61">
        <f t="shared" si="104"/>
        <v>983275617</v>
      </c>
      <c r="CH732" s="62">
        <f>VLOOKUP(B732,[1]RPTNCT049_ConsultaSaldosContabl!I$4:K$7987,3,0)</f>
        <v>523578097</v>
      </c>
      <c r="CI732" s="62">
        <f t="shared" si="105"/>
        <v>459697520</v>
      </c>
      <c r="CJ732" s="63">
        <f t="shared" si="106"/>
        <v>983275617</v>
      </c>
      <c r="CK732" s="64">
        <f t="shared" si="107"/>
        <v>0</v>
      </c>
      <c r="CL732" s="16"/>
      <c r="CM732" s="16"/>
      <c r="CN732" s="16"/>
    </row>
    <row r="733" spans="1:92" ht="15" customHeight="1" x14ac:dyDescent="0.2">
      <c r="A733" s="1">
        <v>8000967667</v>
      </c>
      <c r="B733" s="1">
        <v>800096766</v>
      </c>
      <c r="C733" s="9">
        <v>217023570</v>
      </c>
      <c r="D733" s="10" t="s">
        <v>451</v>
      </c>
      <c r="E733" s="52" t="s">
        <v>1478</v>
      </c>
      <c r="F733" s="21"/>
      <c r="G733" s="59"/>
      <c r="H733" s="21"/>
      <c r="I733" s="59"/>
      <c r="J733" s="21"/>
      <c r="K733" s="21"/>
      <c r="L733" s="59"/>
      <c r="M733" s="60"/>
      <c r="N733" s="21"/>
      <c r="O733" s="59"/>
      <c r="P733" s="21"/>
      <c r="Q733" s="59"/>
      <c r="R733" s="21"/>
      <c r="S733" s="21"/>
      <c r="T733" s="59"/>
      <c r="U733" s="60">
        <f t="shared" si="102"/>
        <v>0</v>
      </c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>
        <v>348086186</v>
      </c>
      <c r="AN733" s="60">
        <f>SUBTOTAL(9,AC733:AM733)</f>
        <v>348086186</v>
      </c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>
        <f>VLOOKUP(B733,[2]Hoja3!J$3:K$674,2,0)</f>
        <v>37941541</v>
      </c>
      <c r="BB733" s="60"/>
      <c r="BC733" s="61">
        <f t="shared" si="103"/>
        <v>386027727</v>
      </c>
      <c r="BD733" s="60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>
        <v>0</v>
      </c>
      <c r="BO733" s="60"/>
      <c r="BP733" s="61">
        <v>386027727</v>
      </c>
      <c r="BQ733" s="61"/>
      <c r="BR733" s="61"/>
      <c r="BS733" s="61"/>
      <c r="BT733" s="61"/>
      <c r="BU733" s="61"/>
      <c r="BV733" s="61"/>
      <c r="BW733" s="61"/>
      <c r="BX733" s="61"/>
      <c r="BY733" s="61"/>
      <c r="BZ733" s="61"/>
      <c r="CA733" s="61"/>
      <c r="CB733" s="61"/>
      <c r="CC733" s="61">
        <v>0</v>
      </c>
      <c r="CD733" s="61"/>
      <c r="CE733" s="61"/>
      <c r="CF733" s="61"/>
      <c r="CG733" s="61">
        <f t="shared" si="104"/>
        <v>386027727</v>
      </c>
      <c r="CH733" s="62"/>
      <c r="CI733" s="62">
        <f t="shared" si="105"/>
        <v>386027727</v>
      </c>
      <c r="CJ733" s="63">
        <f t="shared" si="106"/>
        <v>386027727</v>
      </c>
      <c r="CK733" s="64">
        <f t="shared" si="107"/>
        <v>0</v>
      </c>
      <c r="CL733" s="16"/>
      <c r="CM733" s="16"/>
      <c r="CN733" s="16"/>
    </row>
    <row r="734" spans="1:92" ht="15" customHeight="1" x14ac:dyDescent="0.2">
      <c r="A734" s="1">
        <v>8914800311</v>
      </c>
      <c r="B734" s="1">
        <v>891480031</v>
      </c>
      <c r="C734" s="9">
        <v>217266572</v>
      </c>
      <c r="D734" s="10" t="s">
        <v>808</v>
      </c>
      <c r="E734" s="52" t="s">
        <v>1825</v>
      </c>
      <c r="F734" s="21"/>
      <c r="G734" s="59"/>
      <c r="H734" s="21"/>
      <c r="I734" s="59"/>
      <c r="J734" s="21"/>
      <c r="K734" s="21"/>
      <c r="L734" s="59"/>
      <c r="M734" s="60"/>
      <c r="N734" s="21"/>
      <c r="O734" s="59"/>
      <c r="P734" s="21"/>
      <c r="Q734" s="59"/>
      <c r="R734" s="21"/>
      <c r="S734" s="21"/>
      <c r="T734" s="59"/>
      <c r="U734" s="60">
        <f t="shared" si="102"/>
        <v>0</v>
      </c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>
        <f>VLOOKUP(B734,[2]Hoja3!J$3:K$674,2,0)</f>
        <v>333339001</v>
      </c>
      <c r="BB734" s="60"/>
      <c r="BC734" s="61">
        <f t="shared" si="103"/>
        <v>333339001</v>
      </c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>
        <v>36770905</v>
      </c>
      <c r="BO734" s="60"/>
      <c r="BP734" s="61">
        <v>370109906</v>
      </c>
      <c r="BQ734" s="61"/>
      <c r="BR734" s="61"/>
      <c r="BS734" s="61"/>
      <c r="BT734" s="61"/>
      <c r="BU734" s="61"/>
      <c r="BV734" s="61"/>
      <c r="BW734" s="61"/>
      <c r="BX734" s="61"/>
      <c r="BY734" s="61"/>
      <c r="BZ734" s="61"/>
      <c r="CA734" s="61"/>
      <c r="CB734" s="61"/>
      <c r="CC734" s="61">
        <v>36770905</v>
      </c>
      <c r="CD734" s="61">
        <v>183854525</v>
      </c>
      <c r="CE734" s="61"/>
      <c r="CF734" s="61"/>
      <c r="CG734" s="61">
        <f t="shared" si="104"/>
        <v>590735336</v>
      </c>
      <c r="CH734" s="62">
        <f>VLOOKUP(B734,[1]RPTNCT049_ConsultaSaldosContabl!I$4:K$7987,3,0)</f>
        <v>257396335</v>
      </c>
      <c r="CI734" s="62">
        <f t="shared" si="105"/>
        <v>333339001</v>
      </c>
      <c r="CJ734" s="63">
        <f t="shared" si="106"/>
        <v>590735336</v>
      </c>
      <c r="CK734" s="64">
        <f t="shared" si="107"/>
        <v>0</v>
      </c>
      <c r="CL734" s="16"/>
      <c r="CM734" s="16"/>
      <c r="CN734" s="16"/>
    </row>
    <row r="735" spans="1:92" ht="15" customHeight="1" x14ac:dyDescent="0.2">
      <c r="A735" s="1">
        <v>8917030451</v>
      </c>
      <c r="B735" s="1">
        <v>891703045</v>
      </c>
      <c r="C735" s="9">
        <v>217047570</v>
      </c>
      <c r="D735" s="10" t="s">
        <v>654</v>
      </c>
      <c r="E735" s="52" t="s">
        <v>1674</v>
      </c>
      <c r="F735" s="21"/>
      <c r="G735" s="59"/>
      <c r="H735" s="21"/>
      <c r="I735" s="59"/>
      <c r="J735" s="21"/>
      <c r="K735" s="21"/>
      <c r="L735" s="59"/>
      <c r="M735" s="60"/>
      <c r="N735" s="21"/>
      <c r="O735" s="59"/>
      <c r="P735" s="21"/>
      <c r="Q735" s="59"/>
      <c r="R735" s="21"/>
      <c r="S735" s="21"/>
      <c r="T735" s="59"/>
      <c r="U735" s="60">
        <f t="shared" si="102"/>
        <v>0</v>
      </c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>
        <v>275389620</v>
      </c>
      <c r="AZ735" s="60"/>
      <c r="BA735" s="60">
        <f>VLOOKUP(B735,[2]Hoja3!J$3:K$674,2,0)</f>
        <v>573831709</v>
      </c>
      <c r="BB735" s="60"/>
      <c r="BC735" s="61">
        <f t="shared" si="103"/>
        <v>849221329</v>
      </c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>
        <v>55077924</v>
      </c>
      <c r="BO735" s="60"/>
      <c r="BP735" s="61">
        <v>904299253</v>
      </c>
      <c r="BQ735" s="61"/>
      <c r="BR735" s="61"/>
      <c r="BS735" s="61"/>
      <c r="BT735" s="61"/>
      <c r="BU735" s="61"/>
      <c r="BV735" s="61"/>
      <c r="BW735" s="61"/>
      <c r="BX735" s="61"/>
      <c r="BY735" s="61"/>
      <c r="BZ735" s="61"/>
      <c r="CA735" s="61"/>
      <c r="CB735" s="61"/>
      <c r="CC735" s="61">
        <v>55077924</v>
      </c>
      <c r="CD735" s="61"/>
      <c r="CE735" s="61"/>
      <c r="CF735" s="61"/>
      <c r="CG735" s="61">
        <f t="shared" si="104"/>
        <v>959377177</v>
      </c>
      <c r="CH735" s="62">
        <f>VLOOKUP(B735,[1]RPTNCT049_ConsultaSaldosContabl!I$4:K$7987,3,0)</f>
        <v>385545468</v>
      </c>
      <c r="CI735" s="62">
        <f t="shared" si="105"/>
        <v>573831709</v>
      </c>
      <c r="CJ735" s="63">
        <f t="shared" si="106"/>
        <v>959377177</v>
      </c>
      <c r="CK735" s="64">
        <f t="shared" si="107"/>
        <v>0</v>
      </c>
      <c r="CL735" s="16"/>
      <c r="CM735" s="16"/>
      <c r="CN735" s="16"/>
    </row>
    <row r="736" spans="1:92" ht="15" customHeight="1" x14ac:dyDescent="0.2">
      <c r="A736" s="1">
        <v>8909811052</v>
      </c>
      <c r="B736" s="1">
        <v>890981105</v>
      </c>
      <c r="C736" s="9">
        <v>217605576</v>
      </c>
      <c r="D736" s="10" t="s">
        <v>117</v>
      </c>
      <c r="E736" s="52" t="s">
        <v>1147</v>
      </c>
      <c r="F736" s="21"/>
      <c r="G736" s="59"/>
      <c r="H736" s="21"/>
      <c r="I736" s="59"/>
      <c r="J736" s="21"/>
      <c r="K736" s="21"/>
      <c r="L736" s="59"/>
      <c r="M736" s="60"/>
      <c r="N736" s="21"/>
      <c r="O736" s="59"/>
      <c r="P736" s="21"/>
      <c r="Q736" s="59"/>
      <c r="R736" s="21"/>
      <c r="S736" s="21"/>
      <c r="T736" s="59"/>
      <c r="U736" s="60">
        <f t="shared" si="102"/>
        <v>0</v>
      </c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>
        <f>VLOOKUP(B736,[2]Hoja3!J$3:K$674,2,0)</f>
        <v>99188885</v>
      </c>
      <c r="BB736" s="60"/>
      <c r="BC736" s="61">
        <f t="shared" si="103"/>
        <v>99188885</v>
      </c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>
        <v>0</v>
      </c>
      <c r="BO736" s="60"/>
      <c r="BP736" s="61">
        <v>99188885</v>
      </c>
      <c r="BQ736" s="61"/>
      <c r="BR736" s="61"/>
      <c r="BS736" s="61"/>
      <c r="BT736" s="61"/>
      <c r="BU736" s="61"/>
      <c r="BV736" s="61"/>
      <c r="BW736" s="61"/>
      <c r="BX736" s="61"/>
      <c r="BY736" s="61"/>
      <c r="BZ736" s="61"/>
      <c r="CA736" s="61"/>
      <c r="CB736" s="61"/>
      <c r="CC736" s="61">
        <v>69107171</v>
      </c>
      <c r="CD736" s="61"/>
      <c r="CE736" s="61"/>
      <c r="CF736" s="61"/>
      <c r="CG736" s="61">
        <f t="shared" si="104"/>
        <v>168296056</v>
      </c>
      <c r="CH736" s="62">
        <f>VLOOKUP(B736,[1]RPTNCT049_ConsultaSaldosContabl!I$4:K$7987,3,0)</f>
        <v>69107171</v>
      </c>
      <c r="CI736" s="62">
        <f t="shared" si="105"/>
        <v>99188885</v>
      </c>
      <c r="CJ736" s="63">
        <f t="shared" si="106"/>
        <v>168296056</v>
      </c>
      <c r="CK736" s="64">
        <f t="shared" si="107"/>
        <v>0</v>
      </c>
      <c r="CL736" s="16"/>
      <c r="CM736" s="16"/>
      <c r="CN736" s="16"/>
    </row>
    <row r="737" spans="1:96" ht="15" customHeight="1" x14ac:dyDescent="0.2">
      <c r="A737" s="1">
        <v>8902092993</v>
      </c>
      <c r="B737" s="1">
        <v>890209299</v>
      </c>
      <c r="C737" s="9">
        <v>217268572</v>
      </c>
      <c r="D737" s="10" t="s">
        <v>868</v>
      </c>
      <c r="E737" s="52" t="s">
        <v>1880</v>
      </c>
      <c r="F737" s="21"/>
      <c r="G737" s="59"/>
      <c r="H737" s="21"/>
      <c r="I737" s="59"/>
      <c r="J737" s="21"/>
      <c r="K737" s="21"/>
      <c r="L737" s="59"/>
      <c r="M737" s="60"/>
      <c r="N737" s="21"/>
      <c r="O737" s="59"/>
      <c r="P737" s="21"/>
      <c r="Q737" s="59"/>
      <c r="R737" s="21"/>
      <c r="S737" s="21"/>
      <c r="T737" s="59"/>
      <c r="U737" s="60">
        <f t="shared" si="102"/>
        <v>0</v>
      </c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>
        <v>182327641</v>
      </c>
      <c r="AN737" s="60">
        <f>SUBTOTAL(9,AC737:AM737)</f>
        <v>182327641</v>
      </c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>
        <v>120240660</v>
      </c>
      <c r="AZ737" s="60"/>
      <c r="BA737" s="60"/>
      <c r="BB737" s="60"/>
      <c r="BC737" s="61">
        <f t="shared" si="103"/>
        <v>302568301</v>
      </c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>
        <v>24048132</v>
      </c>
      <c r="BO737" s="60"/>
      <c r="BP737" s="61">
        <v>326616433</v>
      </c>
      <c r="BQ737" s="61"/>
      <c r="BR737" s="61"/>
      <c r="BS737" s="61"/>
      <c r="BT737" s="61"/>
      <c r="BU737" s="61"/>
      <c r="BV737" s="61"/>
      <c r="BW737" s="61"/>
      <c r="BX737" s="61"/>
      <c r="BY737" s="61"/>
      <c r="BZ737" s="61"/>
      <c r="CA737" s="61"/>
      <c r="CB737" s="61"/>
      <c r="CC737" s="61">
        <v>24048132</v>
      </c>
      <c r="CD737" s="61"/>
      <c r="CE737" s="61"/>
      <c r="CF737" s="61"/>
      <c r="CG737" s="61">
        <f t="shared" si="104"/>
        <v>350664565</v>
      </c>
      <c r="CH737" s="62">
        <f>VLOOKUP(B737,[1]RPTNCT049_ConsultaSaldosContabl!I$4:K$7987,3,0)</f>
        <v>168336924</v>
      </c>
      <c r="CI737" s="62">
        <f t="shared" si="105"/>
        <v>182327641</v>
      </c>
      <c r="CJ737" s="63">
        <f t="shared" si="106"/>
        <v>350664565</v>
      </c>
      <c r="CK737" s="64">
        <f t="shared" si="107"/>
        <v>0</v>
      </c>
      <c r="CL737" s="16"/>
      <c r="CM737" s="16"/>
      <c r="CN737" s="16"/>
    </row>
    <row r="738" spans="1:96" ht="15" customHeight="1" x14ac:dyDescent="0.2">
      <c r="A738" s="1">
        <v>8000991188</v>
      </c>
      <c r="B738" s="1">
        <v>800099118</v>
      </c>
      <c r="C738" s="9">
        <v>217352573</v>
      </c>
      <c r="D738" s="10" t="s">
        <v>734</v>
      </c>
      <c r="E738" s="52" t="s">
        <v>1756</v>
      </c>
      <c r="F738" s="21"/>
      <c r="G738" s="59"/>
      <c r="H738" s="21"/>
      <c r="I738" s="59"/>
      <c r="J738" s="21"/>
      <c r="K738" s="21"/>
      <c r="L738" s="59"/>
      <c r="M738" s="60"/>
      <c r="N738" s="21"/>
      <c r="O738" s="59"/>
      <c r="P738" s="21"/>
      <c r="Q738" s="59"/>
      <c r="R738" s="21"/>
      <c r="S738" s="21"/>
      <c r="T738" s="59"/>
      <c r="U738" s="60">
        <f t="shared" si="102"/>
        <v>0</v>
      </c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>
        <v>62515675</v>
      </c>
      <c r="AZ738" s="60"/>
      <c r="BA738" s="60">
        <f>VLOOKUP(B738,[2]Hoja3!J$3:K$674,2,0)</f>
        <v>121824549</v>
      </c>
      <c r="BB738" s="60"/>
      <c r="BC738" s="61">
        <f t="shared" si="103"/>
        <v>184340224</v>
      </c>
      <c r="BD738" s="60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>
        <v>12503135</v>
      </c>
      <c r="BO738" s="60"/>
      <c r="BP738" s="61">
        <v>196843359</v>
      </c>
      <c r="BQ738" s="61"/>
      <c r="BR738" s="61"/>
      <c r="BS738" s="61"/>
      <c r="BT738" s="61"/>
      <c r="BU738" s="61"/>
      <c r="BV738" s="61"/>
      <c r="BW738" s="61"/>
      <c r="BX738" s="61"/>
      <c r="BY738" s="61"/>
      <c r="BZ738" s="61"/>
      <c r="CA738" s="61"/>
      <c r="CB738" s="61"/>
      <c r="CC738" s="61">
        <v>12503135</v>
      </c>
      <c r="CD738" s="61"/>
      <c r="CE738" s="61"/>
      <c r="CF738" s="61"/>
      <c r="CG738" s="61">
        <f t="shared" si="104"/>
        <v>209346494</v>
      </c>
      <c r="CH738" s="62">
        <f>VLOOKUP(B738,[1]RPTNCT049_ConsultaSaldosContabl!I$4:K$7987,3,0)</f>
        <v>87521945</v>
      </c>
      <c r="CI738" s="62">
        <f t="shared" si="105"/>
        <v>121824549</v>
      </c>
      <c r="CJ738" s="63">
        <f t="shared" si="106"/>
        <v>209346494</v>
      </c>
      <c r="CK738" s="64">
        <f t="shared" si="107"/>
        <v>0</v>
      </c>
      <c r="CL738" s="16"/>
      <c r="CM738" s="16"/>
      <c r="CN738" s="16"/>
    </row>
    <row r="739" spans="1:96" ht="15" customHeight="1" x14ac:dyDescent="0.2">
      <c r="A739" s="1">
        <v>8912004613</v>
      </c>
      <c r="B739" s="1">
        <v>891200461</v>
      </c>
      <c r="C739" s="9">
        <v>216886568</v>
      </c>
      <c r="D739" s="10" t="s">
        <v>977</v>
      </c>
      <c r="E739" s="52" t="s">
        <v>2035</v>
      </c>
      <c r="F739" s="21"/>
      <c r="G739" s="59"/>
      <c r="H739" s="21"/>
      <c r="I739" s="59"/>
      <c r="J739" s="21"/>
      <c r="K739" s="21"/>
      <c r="L739" s="59"/>
      <c r="M739" s="60"/>
      <c r="N739" s="21"/>
      <c r="O739" s="59"/>
      <c r="P739" s="21"/>
      <c r="Q739" s="59"/>
      <c r="R739" s="21"/>
      <c r="S739" s="21"/>
      <c r="T739" s="59"/>
      <c r="U739" s="60">
        <f t="shared" si="102"/>
        <v>0</v>
      </c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>
        <v>792088471</v>
      </c>
      <c r="AN739" s="60">
        <f>SUBTOTAL(9,AC739:AM739)</f>
        <v>792088471</v>
      </c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>
        <v>470964395</v>
      </c>
      <c r="AZ739" s="60"/>
      <c r="BA739" s="60">
        <f>VLOOKUP(B739,[2]Hoja3!J$3:K$674,2,0)</f>
        <v>296215970</v>
      </c>
      <c r="BB739" s="60"/>
      <c r="BC739" s="61">
        <f t="shared" si="103"/>
        <v>1559268836</v>
      </c>
      <c r="BD739" s="60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>
        <v>94192879</v>
      </c>
      <c r="BO739" s="60"/>
      <c r="BP739" s="61">
        <v>1653461715</v>
      </c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  <c r="CA739" s="61"/>
      <c r="CB739" s="61"/>
      <c r="CC739" s="61">
        <v>94192879</v>
      </c>
      <c r="CD739" s="61"/>
      <c r="CE739" s="61">
        <v>16331584</v>
      </c>
      <c r="CF739" s="61"/>
      <c r="CG739" s="61">
        <f t="shared" si="104"/>
        <v>1763986178</v>
      </c>
      <c r="CH739" s="62">
        <f>VLOOKUP(B739,[1]RPTNCT049_ConsultaSaldosContabl!I$4:K$7987,3,0)</f>
        <v>659350153</v>
      </c>
      <c r="CI739" s="62">
        <f t="shared" si="105"/>
        <v>1104636025</v>
      </c>
      <c r="CJ739" s="63">
        <f t="shared" si="106"/>
        <v>1763986178</v>
      </c>
      <c r="CK739" s="64">
        <f t="shared" si="107"/>
        <v>0</v>
      </c>
      <c r="CL739" s="16"/>
      <c r="CM739" s="16"/>
      <c r="CN739" s="16"/>
    </row>
    <row r="740" spans="1:96" ht="15" customHeight="1" x14ac:dyDescent="0.2">
      <c r="A740" s="1">
        <v>8909800493</v>
      </c>
      <c r="B740" s="1">
        <v>890980049</v>
      </c>
      <c r="C740" s="9">
        <v>217905579</v>
      </c>
      <c r="D740" s="10" t="s">
        <v>118</v>
      </c>
      <c r="E740" s="52" t="s">
        <v>1148</v>
      </c>
      <c r="F740" s="21"/>
      <c r="G740" s="59"/>
      <c r="H740" s="21"/>
      <c r="I740" s="59"/>
      <c r="J740" s="21"/>
      <c r="K740" s="21"/>
      <c r="L740" s="59"/>
      <c r="M740" s="60"/>
      <c r="N740" s="21"/>
      <c r="O740" s="59"/>
      <c r="P740" s="21"/>
      <c r="Q740" s="59"/>
      <c r="R740" s="21"/>
      <c r="S740" s="21"/>
      <c r="T740" s="59"/>
      <c r="U740" s="60">
        <f t="shared" si="102"/>
        <v>0</v>
      </c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>
        <v>484849508</v>
      </c>
      <c r="AN740" s="60">
        <f>SUBTOTAL(9,AC740:AM740)</f>
        <v>484849508</v>
      </c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>
        <v>233641170</v>
      </c>
      <c r="AZ740" s="60"/>
      <c r="BA740" s="60"/>
      <c r="BB740" s="60"/>
      <c r="BC740" s="61">
        <f t="shared" si="103"/>
        <v>718490678</v>
      </c>
      <c r="BD740" s="60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>
        <v>46728234</v>
      </c>
      <c r="BO740" s="60"/>
      <c r="BP740" s="61">
        <v>765218912</v>
      </c>
      <c r="BQ740" s="61"/>
      <c r="BR740" s="61"/>
      <c r="BS740" s="61"/>
      <c r="BT740" s="61"/>
      <c r="BU740" s="61"/>
      <c r="BV740" s="61"/>
      <c r="BW740" s="61"/>
      <c r="BX740" s="61"/>
      <c r="BY740" s="61"/>
      <c r="BZ740" s="61"/>
      <c r="CA740" s="61"/>
      <c r="CB740" s="61"/>
      <c r="CC740" s="61">
        <v>46728234</v>
      </c>
      <c r="CD740" s="61"/>
      <c r="CE740" s="61">
        <v>8255968</v>
      </c>
      <c r="CF740" s="61"/>
      <c r="CG740" s="61">
        <f t="shared" si="104"/>
        <v>820203114</v>
      </c>
      <c r="CH740" s="62">
        <f>VLOOKUP(B740,[1]RPTNCT049_ConsultaSaldosContabl!I$4:K$7987,3,0)</f>
        <v>327097638</v>
      </c>
      <c r="CI740" s="62">
        <f t="shared" si="105"/>
        <v>493105476</v>
      </c>
      <c r="CJ740" s="63">
        <f t="shared" si="106"/>
        <v>820203114</v>
      </c>
      <c r="CK740" s="64">
        <f t="shared" si="107"/>
        <v>0</v>
      </c>
      <c r="CL740" s="16"/>
      <c r="CM740" s="16"/>
      <c r="CN740" s="16"/>
    </row>
    <row r="741" spans="1:96" ht="15" customHeight="1" x14ac:dyDescent="0.2">
      <c r="A741" s="1">
        <v>8918004664</v>
      </c>
      <c r="B741" s="1">
        <v>891800466</v>
      </c>
      <c r="C741" s="9">
        <v>217215572</v>
      </c>
      <c r="D741" s="10" t="s">
        <v>288</v>
      </c>
      <c r="E741" s="52" t="s">
        <v>1320</v>
      </c>
      <c r="F741" s="21"/>
      <c r="G741" s="59"/>
      <c r="H741" s="21"/>
      <c r="I741" s="59"/>
      <c r="J741" s="21"/>
      <c r="K741" s="21"/>
      <c r="L741" s="59"/>
      <c r="M741" s="60"/>
      <c r="N741" s="21"/>
      <c r="O741" s="59"/>
      <c r="P741" s="21"/>
      <c r="Q741" s="59"/>
      <c r="R741" s="21"/>
      <c r="S741" s="21"/>
      <c r="T741" s="59"/>
      <c r="U741" s="60">
        <f t="shared" si="102"/>
        <v>0</v>
      </c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>
        <v>555745453</v>
      </c>
      <c r="AN741" s="60">
        <f>SUBTOTAL(9,AC741:AM741)</f>
        <v>555745453</v>
      </c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>
        <v>310691580</v>
      </c>
      <c r="AZ741" s="60"/>
      <c r="BA741" s="60">
        <f>VLOOKUP(B741,[2]Hoja3!J$3:K$674,2,0)</f>
        <v>190147714</v>
      </c>
      <c r="BB741" s="60"/>
      <c r="BC741" s="61">
        <f t="shared" si="103"/>
        <v>1056584747</v>
      </c>
      <c r="BD741" s="60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>
        <v>62138316</v>
      </c>
      <c r="BO741" s="60"/>
      <c r="BP741" s="61">
        <v>1118723063</v>
      </c>
      <c r="BQ741" s="61"/>
      <c r="BR741" s="61"/>
      <c r="BS741" s="61"/>
      <c r="BT741" s="61"/>
      <c r="BU741" s="61"/>
      <c r="BV741" s="61"/>
      <c r="BW741" s="61"/>
      <c r="BX741" s="61"/>
      <c r="BY741" s="61"/>
      <c r="BZ741" s="61"/>
      <c r="CA741" s="61"/>
      <c r="CB741" s="61"/>
      <c r="CC741" s="61">
        <v>62138316</v>
      </c>
      <c r="CD741" s="61"/>
      <c r="CE741" s="61"/>
      <c r="CF741" s="61"/>
      <c r="CG741" s="61">
        <f t="shared" si="104"/>
        <v>1180861379</v>
      </c>
      <c r="CH741" s="62">
        <f>VLOOKUP(B741,[1]RPTNCT049_ConsultaSaldosContabl!I$4:K$7987,3,0)</f>
        <v>434968212</v>
      </c>
      <c r="CI741" s="62">
        <f t="shared" si="105"/>
        <v>745893167</v>
      </c>
      <c r="CJ741" s="63">
        <f t="shared" si="106"/>
        <v>1180861379</v>
      </c>
      <c r="CK741" s="64">
        <f t="shared" si="107"/>
        <v>0</v>
      </c>
      <c r="CL741" s="16"/>
      <c r="CM741" s="8"/>
      <c r="CN741" s="8"/>
      <c r="CO741" s="8"/>
      <c r="CP741" s="8"/>
      <c r="CQ741" s="8"/>
      <c r="CR741" s="8"/>
    </row>
    <row r="742" spans="1:96" ht="15" customHeight="1" x14ac:dyDescent="0.2">
      <c r="A742" s="1">
        <v>8002298872</v>
      </c>
      <c r="B742" s="1">
        <v>800229887</v>
      </c>
      <c r="C742" s="9">
        <v>216986569</v>
      </c>
      <c r="D742" s="10" t="s">
        <v>978</v>
      </c>
      <c r="E742" s="52" t="s">
        <v>2036</v>
      </c>
      <c r="F742" s="21"/>
      <c r="G742" s="59"/>
      <c r="H742" s="21"/>
      <c r="I742" s="59"/>
      <c r="J742" s="21"/>
      <c r="K742" s="21"/>
      <c r="L742" s="59"/>
      <c r="M742" s="60"/>
      <c r="N742" s="21"/>
      <c r="O742" s="59"/>
      <c r="P742" s="21"/>
      <c r="Q742" s="59"/>
      <c r="R742" s="21"/>
      <c r="S742" s="21"/>
      <c r="T742" s="59"/>
      <c r="U742" s="60">
        <f t="shared" si="102"/>
        <v>0</v>
      </c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>
        <v>162120318</v>
      </c>
      <c r="AN742" s="60">
        <f>SUBTOTAL(9,AC742:AM742)</f>
        <v>162120318</v>
      </c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>
        <v>110149045</v>
      </c>
      <c r="AZ742" s="60"/>
      <c r="BA742" s="60">
        <f>VLOOKUP(B742,[2]Hoja3!J$3:K$674,2,0)</f>
        <v>24243092</v>
      </c>
      <c r="BB742" s="60"/>
      <c r="BC742" s="61">
        <f t="shared" si="103"/>
        <v>296512455</v>
      </c>
      <c r="BD742" s="60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>
        <v>22029809</v>
      </c>
      <c r="BO742" s="60"/>
      <c r="BP742" s="61">
        <v>318542264</v>
      </c>
      <c r="BQ742" s="61"/>
      <c r="BR742" s="61"/>
      <c r="BS742" s="61"/>
      <c r="BT742" s="61"/>
      <c r="BU742" s="61"/>
      <c r="BV742" s="61"/>
      <c r="BW742" s="61"/>
      <c r="BX742" s="61"/>
      <c r="BY742" s="61"/>
      <c r="BZ742" s="61"/>
      <c r="CA742" s="61"/>
      <c r="CB742" s="61"/>
      <c r="CC742" s="61">
        <v>22029809</v>
      </c>
      <c r="CD742" s="61"/>
      <c r="CE742" s="61"/>
      <c r="CF742" s="61"/>
      <c r="CG742" s="61">
        <f t="shared" si="104"/>
        <v>340572073</v>
      </c>
      <c r="CH742" s="62">
        <f>VLOOKUP(B742,[1]RPTNCT049_ConsultaSaldosContabl!I$4:K$7987,3,0)</f>
        <v>154208663</v>
      </c>
      <c r="CI742" s="62">
        <f t="shared" si="105"/>
        <v>186363410</v>
      </c>
      <c r="CJ742" s="63">
        <f t="shared" si="106"/>
        <v>340572073</v>
      </c>
      <c r="CK742" s="64">
        <f t="shared" si="107"/>
        <v>0</v>
      </c>
      <c r="CL742" s="16"/>
      <c r="CM742" s="16"/>
      <c r="CN742" s="16"/>
    </row>
    <row r="743" spans="1:96" ht="15" customHeight="1" x14ac:dyDescent="0.2">
      <c r="A743" s="1">
        <v>8920993053</v>
      </c>
      <c r="B743" s="1">
        <v>892099305</v>
      </c>
      <c r="C743" s="9">
        <v>210199001</v>
      </c>
      <c r="D743" s="10" t="s">
        <v>997</v>
      </c>
      <c r="E743" s="52" t="s">
        <v>2054</v>
      </c>
      <c r="F743" s="21"/>
      <c r="G743" s="59"/>
      <c r="H743" s="21"/>
      <c r="I743" s="59"/>
      <c r="J743" s="21"/>
      <c r="K743" s="21"/>
      <c r="L743" s="59"/>
      <c r="M743" s="60"/>
      <c r="N743" s="21"/>
      <c r="O743" s="59"/>
      <c r="P743" s="21"/>
      <c r="Q743" s="59"/>
      <c r="R743" s="21"/>
      <c r="S743" s="21"/>
      <c r="T743" s="59"/>
      <c r="U743" s="60">
        <f t="shared" si="102"/>
        <v>0</v>
      </c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1">
        <f t="shared" si="103"/>
        <v>0</v>
      </c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>
        <v>0</v>
      </c>
      <c r="BO743" s="60"/>
      <c r="BP743" s="60">
        <v>0</v>
      </c>
      <c r="BQ743" s="61"/>
      <c r="BR743" s="61"/>
      <c r="BS743" s="61"/>
      <c r="BT743" s="61"/>
      <c r="BU743" s="61"/>
      <c r="BV743" s="61"/>
      <c r="BW743" s="61"/>
      <c r="BX743" s="61"/>
      <c r="BY743" s="61"/>
      <c r="BZ743" s="61"/>
      <c r="CA743" s="61"/>
      <c r="CB743" s="61"/>
      <c r="CC743" s="61">
        <v>0</v>
      </c>
      <c r="CD743" s="61"/>
      <c r="CE743" s="61"/>
      <c r="CF743" s="61"/>
      <c r="CG743" s="61">
        <f t="shared" si="104"/>
        <v>0</v>
      </c>
      <c r="CH743" s="62"/>
      <c r="CI743" s="62">
        <f t="shared" si="105"/>
        <v>0</v>
      </c>
      <c r="CJ743" s="63">
        <f t="shared" si="106"/>
        <v>0</v>
      </c>
      <c r="CK743" s="64">
        <f t="shared" si="107"/>
        <v>0</v>
      </c>
      <c r="CL743" s="16"/>
      <c r="CM743" s="16"/>
      <c r="CN743" s="16"/>
    </row>
    <row r="744" spans="1:96" ht="15" customHeight="1" x14ac:dyDescent="0.2">
      <c r="A744" s="1">
        <v>8000943862</v>
      </c>
      <c r="B744" s="1">
        <v>800094386</v>
      </c>
      <c r="C744" s="9">
        <v>217308573</v>
      </c>
      <c r="D744" s="10" t="s">
        <v>172</v>
      </c>
      <c r="E744" s="52" t="s">
        <v>1201</v>
      </c>
      <c r="F744" s="21"/>
      <c r="G744" s="59"/>
      <c r="H744" s="21"/>
      <c r="I744" s="59"/>
      <c r="J744" s="21"/>
      <c r="K744" s="21"/>
      <c r="L744" s="59"/>
      <c r="M744" s="60"/>
      <c r="N744" s="21"/>
      <c r="O744" s="59"/>
      <c r="P744" s="21"/>
      <c r="Q744" s="59"/>
      <c r="R744" s="21"/>
      <c r="S744" s="21"/>
      <c r="T744" s="59"/>
      <c r="U744" s="60">
        <f t="shared" si="102"/>
        <v>0</v>
      </c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>
        <v>35690713</v>
      </c>
      <c r="AN744" s="60">
        <f t="shared" ref="AN744:AN752" si="110">SUBTOTAL(9,AC744:AM744)</f>
        <v>35690713</v>
      </c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>
        <v>152311845</v>
      </c>
      <c r="AZ744" s="60"/>
      <c r="BA744" s="60">
        <f>VLOOKUP(B744,[2]Hoja3!J$3:K$674,2,0)</f>
        <v>373787376</v>
      </c>
      <c r="BB744" s="60"/>
      <c r="BC744" s="61">
        <f t="shared" si="103"/>
        <v>561789934</v>
      </c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>
        <v>30462369</v>
      </c>
      <c r="BO744" s="60"/>
      <c r="BP744" s="61">
        <v>592252303</v>
      </c>
      <c r="BQ744" s="61"/>
      <c r="BR744" s="61"/>
      <c r="BS744" s="61"/>
      <c r="BT744" s="61"/>
      <c r="BU744" s="61"/>
      <c r="BV744" s="61"/>
      <c r="BW744" s="61"/>
      <c r="BX744" s="61"/>
      <c r="BY744" s="61"/>
      <c r="BZ744" s="61"/>
      <c r="CA744" s="61"/>
      <c r="CB744" s="61"/>
      <c r="CC744" s="61">
        <v>30462369</v>
      </c>
      <c r="CD744" s="61"/>
      <c r="CE744" s="61"/>
      <c r="CF744" s="61"/>
      <c r="CG744" s="61">
        <f t="shared" si="104"/>
        <v>622714672</v>
      </c>
      <c r="CH744" s="62">
        <f>VLOOKUP(B744,[1]RPTNCT049_ConsultaSaldosContabl!I$4:K$7987,3,0)</f>
        <v>213236583</v>
      </c>
      <c r="CI744" s="62">
        <f t="shared" si="105"/>
        <v>409478089</v>
      </c>
      <c r="CJ744" s="63">
        <f t="shared" si="106"/>
        <v>622714672</v>
      </c>
      <c r="CK744" s="64">
        <f t="shared" si="107"/>
        <v>0</v>
      </c>
      <c r="CL744" s="16"/>
      <c r="CM744" s="16"/>
      <c r="CN744" s="16"/>
    </row>
    <row r="745" spans="1:96" ht="15" customHeight="1" x14ac:dyDescent="0.2">
      <c r="A745" s="1">
        <v>8001722061</v>
      </c>
      <c r="B745" s="1">
        <v>800172206</v>
      </c>
      <c r="C745" s="9">
        <v>215050450</v>
      </c>
      <c r="D745" s="10" t="s">
        <v>682</v>
      </c>
      <c r="E745" s="52" t="s">
        <v>1703</v>
      </c>
      <c r="F745" s="21"/>
      <c r="G745" s="59"/>
      <c r="H745" s="21"/>
      <c r="I745" s="59"/>
      <c r="J745" s="21"/>
      <c r="K745" s="21"/>
      <c r="L745" s="59"/>
      <c r="M745" s="60"/>
      <c r="N745" s="21"/>
      <c r="O745" s="59"/>
      <c r="P745" s="21"/>
      <c r="Q745" s="59"/>
      <c r="R745" s="21"/>
      <c r="S745" s="21"/>
      <c r="T745" s="59"/>
      <c r="U745" s="60">
        <f t="shared" si="102"/>
        <v>0</v>
      </c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>
        <v>139798695</v>
      </c>
      <c r="AN745" s="60">
        <f t="shared" si="110"/>
        <v>139798695</v>
      </c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>
        <v>129505875</v>
      </c>
      <c r="AZ745" s="60"/>
      <c r="BA745" s="60"/>
      <c r="BB745" s="60"/>
      <c r="BC745" s="61">
        <f t="shared" si="103"/>
        <v>269304570</v>
      </c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>
        <v>25901175</v>
      </c>
      <c r="BO745" s="60"/>
      <c r="BP745" s="61">
        <v>295205745</v>
      </c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  <c r="CA745" s="61"/>
      <c r="CB745" s="61"/>
      <c r="CC745" s="61">
        <v>25901175</v>
      </c>
      <c r="CD745" s="61"/>
      <c r="CE745" s="61"/>
      <c r="CF745" s="61"/>
      <c r="CG745" s="61">
        <f t="shared" si="104"/>
        <v>321106920</v>
      </c>
      <c r="CH745" s="62">
        <f>VLOOKUP(B745,[1]RPTNCT049_ConsultaSaldosContabl!I$4:K$7987,3,0)</f>
        <v>181308225</v>
      </c>
      <c r="CI745" s="62">
        <f t="shared" si="105"/>
        <v>139798695</v>
      </c>
      <c r="CJ745" s="63">
        <f t="shared" si="106"/>
        <v>321106920</v>
      </c>
      <c r="CK745" s="64">
        <f t="shared" si="107"/>
        <v>0</v>
      </c>
      <c r="CL745" s="16"/>
      <c r="CM745" s="16"/>
      <c r="CN745" s="16"/>
    </row>
    <row r="746" spans="1:96" ht="15" customHeight="1" x14ac:dyDescent="0.2">
      <c r="A746" s="1">
        <v>8000967707</v>
      </c>
      <c r="B746" s="1">
        <v>800096770</v>
      </c>
      <c r="C746" s="9">
        <v>217423574</v>
      </c>
      <c r="D746" s="10" t="s">
        <v>452</v>
      </c>
      <c r="E746" s="52" t="s">
        <v>1479</v>
      </c>
      <c r="F746" s="21"/>
      <c r="G746" s="59"/>
      <c r="H746" s="21"/>
      <c r="I746" s="59"/>
      <c r="J746" s="21"/>
      <c r="K746" s="21"/>
      <c r="L746" s="59"/>
      <c r="M746" s="60"/>
      <c r="N746" s="21"/>
      <c r="O746" s="59"/>
      <c r="P746" s="21"/>
      <c r="Q746" s="59"/>
      <c r="R746" s="21"/>
      <c r="S746" s="21"/>
      <c r="T746" s="59"/>
      <c r="U746" s="60">
        <f t="shared" si="102"/>
        <v>0</v>
      </c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>
        <v>347075829</v>
      </c>
      <c r="AN746" s="60">
        <f t="shared" si="110"/>
        <v>347075829</v>
      </c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>
        <f>VLOOKUP(B746,[2]Hoja3!J$3:K$674,2,0)</f>
        <v>52628329</v>
      </c>
      <c r="BB746" s="60"/>
      <c r="BC746" s="61">
        <f t="shared" si="103"/>
        <v>399704158</v>
      </c>
      <c r="BD746" s="60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>
        <v>0</v>
      </c>
      <c r="BO746" s="60"/>
      <c r="BP746" s="61">
        <v>399704158</v>
      </c>
      <c r="BQ746" s="61"/>
      <c r="BR746" s="61"/>
      <c r="BS746" s="61"/>
      <c r="BT746" s="61"/>
      <c r="BU746" s="61"/>
      <c r="BV746" s="61"/>
      <c r="BW746" s="61"/>
      <c r="BX746" s="61"/>
      <c r="BY746" s="61"/>
      <c r="BZ746" s="61"/>
      <c r="CA746" s="61"/>
      <c r="CB746" s="61"/>
      <c r="CC746" s="61">
        <v>493322452</v>
      </c>
      <c r="CD746" s="61"/>
      <c r="CE746" s="61"/>
      <c r="CF746" s="61"/>
      <c r="CG746" s="61">
        <f t="shared" si="104"/>
        <v>893026610</v>
      </c>
      <c r="CH746" s="62">
        <f>VLOOKUP(B746,[1]RPTNCT049_ConsultaSaldosContabl!I$4:K$7987,3,0)</f>
        <v>493322452</v>
      </c>
      <c r="CI746" s="62">
        <f t="shared" si="105"/>
        <v>399704158</v>
      </c>
      <c r="CJ746" s="63">
        <f t="shared" si="106"/>
        <v>893026610</v>
      </c>
      <c r="CK746" s="64">
        <f t="shared" si="107"/>
        <v>0</v>
      </c>
      <c r="CL746" s="16"/>
      <c r="CM746" s="16"/>
      <c r="CN746" s="16"/>
    </row>
    <row r="747" spans="1:96" ht="15" customHeight="1" x14ac:dyDescent="0.2">
      <c r="A747" s="1">
        <v>8000790351</v>
      </c>
      <c r="B747" s="1">
        <v>800079035</v>
      </c>
      <c r="C747" s="9">
        <v>216850568</v>
      </c>
      <c r="D747" s="10" t="s">
        <v>683</v>
      </c>
      <c r="E747" s="52" t="s">
        <v>1704</v>
      </c>
      <c r="F747" s="21"/>
      <c r="G747" s="59"/>
      <c r="H747" s="21"/>
      <c r="I747" s="59"/>
      <c r="J747" s="21"/>
      <c r="K747" s="21"/>
      <c r="L747" s="59"/>
      <c r="M747" s="60"/>
      <c r="N747" s="21"/>
      <c r="O747" s="59"/>
      <c r="P747" s="21"/>
      <c r="Q747" s="59"/>
      <c r="R747" s="21"/>
      <c r="S747" s="21"/>
      <c r="T747" s="59"/>
      <c r="U747" s="60">
        <f t="shared" si="102"/>
        <v>0</v>
      </c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>
        <v>216307686</v>
      </c>
      <c r="AN747" s="60">
        <f t="shared" si="110"/>
        <v>216307686</v>
      </c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>
        <f>VLOOKUP(B747,[2]Hoja3!J$3:K$674,2,0)</f>
        <v>137205623</v>
      </c>
      <c r="BB747" s="60"/>
      <c r="BC747" s="61">
        <f t="shared" si="103"/>
        <v>353513309</v>
      </c>
      <c r="BD747" s="60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>
        <v>0</v>
      </c>
      <c r="BO747" s="60"/>
      <c r="BP747" s="61">
        <v>353513309</v>
      </c>
      <c r="BQ747" s="61"/>
      <c r="BR747" s="61"/>
      <c r="BS747" s="61"/>
      <c r="BT747" s="61"/>
      <c r="BU747" s="61"/>
      <c r="BV747" s="61"/>
      <c r="BW747" s="61"/>
      <c r="BX747" s="61"/>
      <c r="BY747" s="61"/>
      <c r="BZ747" s="61"/>
      <c r="CA747" s="61"/>
      <c r="CB747" s="61"/>
      <c r="CC747" s="61">
        <v>0</v>
      </c>
      <c r="CD747" s="61"/>
      <c r="CE747" s="61">
        <v>361082885</v>
      </c>
      <c r="CF747" s="61"/>
      <c r="CG747" s="61">
        <f t="shared" si="104"/>
        <v>714596194</v>
      </c>
      <c r="CH747" s="62"/>
      <c r="CI747" s="62">
        <f t="shared" si="105"/>
        <v>714596194</v>
      </c>
      <c r="CJ747" s="63">
        <f t="shared" si="106"/>
        <v>714596194</v>
      </c>
      <c r="CK747" s="64">
        <f t="shared" si="107"/>
        <v>0</v>
      </c>
      <c r="CL747" s="16"/>
      <c r="CM747" s="16"/>
      <c r="CN747" s="16"/>
    </row>
    <row r="748" spans="1:96" ht="15" customHeight="1" x14ac:dyDescent="0.2">
      <c r="A748" s="1">
        <v>8002224892</v>
      </c>
      <c r="B748" s="1">
        <v>800222489</v>
      </c>
      <c r="C748" s="9">
        <v>217186571</v>
      </c>
      <c r="D748" s="10" t="s">
        <v>979</v>
      </c>
      <c r="E748" s="52" t="s">
        <v>2037</v>
      </c>
      <c r="F748" s="21"/>
      <c r="G748" s="59"/>
      <c r="H748" s="21"/>
      <c r="I748" s="59"/>
      <c r="J748" s="21"/>
      <c r="K748" s="21"/>
      <c r="L748" s="59"/>
      <c r="M748" s="60"/>
      <c r="N748" s="21"/>
      <c r="O748" s="59"/>
      <c r="P748" s="21"/>
      <c r="Q748" s="59"/>
      <c r="R748" s="21"/>
      <c r="S748" s="21"/>
      <c r="T748" s="59"/>
      <c r="U748" s="60">
        <f t="shared" si="102"/>
        <v>0</v>
      </c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>
        <v>149075485</v>
      </c>
      <c r="AN748" s="60">
        <f t="shared" si="110"/>
        <v>149075485</v>
      </c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>
        <f>VLOOKUP(B748,[2]Hoja3!J$3:K$674,2,0)</f>
        <v>264508568</v>
      </c>
      <c r="BB748" s="60"/>
      <c r="BC748" s="61">
        <f t="shared" si="103"/>
        <v>413584053</v>
      </c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>
        <v>0</v>
      </c>
      <c r="BO748" s="60"/>
      <c r="BP748" s="61">
        <v>413584053</v>
      </c>
      <c r="BQ748" s="61"/>
      <c r="BR748" s="61"/>
      <c r="BS748" s="61"/>
      <c r="BT748" s="61"/>
      <c r="BU748" s="61"/>
      <c r="BV748" s="61"/>
      <c r="BW748" s="61"/>
      <c r="BX748" s="61"/>
      <c r="BY748" s="61"/>
      <c r="BZ748" s="61"/>
      <c r="CA748" s="61"/>
      <c r="CB748" s="61"/>
      <c r="CC748" s="61">
        <v>448532315</v>
      </c>
      <c r="CD748" s="61"/>
      <c r="CE748" s="61">
        <v>23435272</v>
      </c>
      <c r="CF748" s="61"/>
      <c r="CG748" s="61">
        <f t="shared" si="104"/>
        <v>885551640</v>
      </c>
      <c r="CH748" s="62">
        <f>VLOOKUP(B748,[1]RPTNCT049_ConsultaSaldosContabl!I$4:K$7987,3,0)</f>
        <v>448532315</v>
      </c>
      <c r="CI748" s="62">
        <f t="shared" si="105"/>
        <v>437019325</v>
      </c>
      <c r="CJ748" s="63">
        <f t="shared" si="106"/>
        <v>885551640</v>
      </c>
      <c r="CK748" s="64">
        <f t="shared" si="107"/>
        <v>0</v>
      </c>
      <c r="CL748" s="16"/>
      <c r="CM748" s="16"/>
      <c r="CN748" s="16"/>
    </row>
    <row r="749" spans="1:96" ht="15" customHeight="1" x14ac:dyDescent="0.2">
      <c r="A749" s="1">
        <v>8912005138</v>
      </c>
      <c r="B749" s="1">
        <v>891200513</v>
      </c>
      <c r="C749" s="9">
        <v>217386573</v>
      </c>
      <c r="D749" s="10" t="s">
        <v>980</v>
      </c>
      <c r="E749" s="52" t="s">
        <v>2080</v>
      </c>
      <c r="F749" s="21"/>
      <c r="G749" s="59"/>
      <c r="H749" s="21"/>
      <c r="I749" s="59"/>
      <c r="J749" s="21"/>
      <c r="K749" s="21"/>
      <c r="L749" s="59"/>
      <c r="M749" s="60"/>
      <c r="N749" s="21"/>
      <c r="O749" s="59"/>
      <c r="P749" s="21"/>
      <c r="Q749" s="59"/>
      <c r="R749" s="21"/>
      <c r="S749" s="21"/>
      <c r="T749" s="59"/>
      <c r="U749" s="60">
        <f t="shared" si="102"/>
        <v>0</v>
      </c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>
        <v>147575965</v>
      </c>
      <c r="AN749" s="60">
        <f t="shared" si="110"/>
        <v>147575965</v>
      </c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>
        <v>236296100</v>
      </c>
      <c r="AZ749" s="60"/>
      <c r="BA749" s="60">
        <f>VLOOKUP(B749,[2]Hoja3!J$3:K$674,2,0)</f>
        <v>304478033</v>
      </c>
      <c r="BB749" s="60"/>
      <c r="BC749" s="61">
        <f t="shared" si="103"/>
        <v>688350098</v>
      </c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>
        <v>47259220</v>
      </c>
      <c r="BO749" s="60"/>
      <c r="BP749" s="61">
        <v>735609318</v>
      </c>
      <c r="BQ749" s="61"/>
      <c r="BR749" s="61"/>
      <c r="BS749" s="61"/>
      <c r="BT749" s="61"/>
      <c r="BU749" s="61"/>
      <c r="BV749" s="61"/>
      <c r="BW749" s="61"/>
      <c r="BX749" s="61"/>
      <c r="BY749" s="61"/>
      <c r="BZ749" s="61"/>
      <c r="CA749" s="61"/>
      <c r="CB749" s="61"/>
      <c r="CC749" s="61">
        <v>47259220</v>
      </c>
      <c r="CD749" s="61"/>
      <c r="CE749" s="61"/>
      <c r="CF749" s="61"/>
      <c r="CG749" s="61">
        <f t="shared" si="104"/>
        <v>782868538</v>
      </c>
      <c r="CH749" s="62">
        <f>VLOOKUP(B749,[1]RPTNCT049_ConsultaSaldosContabl!I$4:K$7987,3,0)</f>
        <v>330814540</v>
      </c>
      <c r="CI749" s="62">
        <f t="shared" si="105"/>
        <v>452053998</v>
      </c>
      <c r="CJ749" s="63">
        <f t="shared" si="106"/>
        <v>782868538</v>
      </c>
      <c r="CK749" s="64">
        <f t="shared" si="107"/>
        <v>0</v>
      </c>
      <c r="CL749" s="16"/>
      <c r="CM749" s="16"/>
      <c r="CN749" s="16"/>
    </row>
    <row r="750" spans="1:96" ht="15" customHeight="1" x14ac:dyDescent="0.2">
      <c r="A750" s="1">
        <v>8000967721</v>
      </c>
      <c r="B750" s="1">
        <v>800096772</v>
      </c>
      <c r="C750" s="9">
        <v>218023580</v>
      </c>
      <c r="D750" s="10" t="s">
        <v>453</v>
      </c>
      <c r="E750" s="52" t="s">
        <v>1480</v>
      </c>
      <c r="F750" s="21"/>
      <c r="G750" s="59"/>
      <c r="H750" s="21"/>
      <c r="I750" s="59"/>
      <c r="J750" s="21"/>
      <c r="K750" s="21"/>
      <c r="L750" s="59"/>
      <c r="M750" s="60"/>
      <c r="N750" s="21"/>
      <c r="O750" s="59"/>
      <c r="P750" s="21"/>
      <c r="Q750" s="59"/>
      <c r="R750" s="21"/>
      <c r="S750" s="21"/>
      <c r="T750" s="59"/>
      <c r="U750" s="60">
        <f t="shared" si="102"/>
        <v>0</v>
      </c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>
        <v>628515061</v>
      </c>
      <c r="AN750" s="60">
        <f t="shared" si="110"/>
        <v>628515061</v>
      </c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>
        <v>475908180</v>
      </c>
      <c r="AZ750" s="60"/>
      <c r="BA750" s="60"/>
      <c r="BB750" s="60"/>
      <c r="BC750" s="61">
        <f t="shared" si="103"/>
        <v>1104423241</v>
      </c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>
        <v>95181636</v>
      </c>
      <c r="BO750" s="60"/>
      <c r="BP750" s="61">
        <v>1199604877</v>
      </c>
      <c r="BQ750" s="61"/>
      <c r="BR750" s="61"/>
      <c r="BS750" s="61"/>
      <c r="BT750" s="61"/>
      <c r="BU750" s="61"/>
      <c r="BV750" s="61"/>
      <c r="BW750" s="61"/>
      <c r="BX750" s="61"/>
      <c r="BY750" s="61"/>
      <c r="BZ750" s="61"/>
      <c r="CA750" s="61"/>
      <c r="CB750" s="61"/>
      <c r="CC750" s="61">
        <v>95181636</v>
      </c>
      <c r="CD750" s="61"/>
      <c r="CE750" s="61"/>
      <c r="CF750" s="61"/>
      <c r="CG750" s="61">
        <f t="shared" si="104"/>
        <v>1294786513</v>
      </c>
      <c r="CH750" s="62">
        <f>VLOOKUP(B750,[1]RPTNCT049_ConsultaSaldosContabl!I$4:K$7987,3,0)</f>
        <v>666271452</v>
      </c>
      <c r="CI750" s="62">
        <f t="shared" si="105"/>
        <v>628515061</v>
      </c>
      <c r="CJ750" s="63">
        <f t="shared" si="106"/>
        <v>1294786513</v>
      </c>
      <c r="CK750" s="64">
        <f t="shared" si="107"/>
        <v>0</v>
      </c>
      <c r="CL750" s="16"/>
      <c r="CM750" s="16"/>
      <c r="CN750" s="16"/>
    </row>
    <row r="751" spans="1:96" ht="15" customHeight="1" x14ac:dyDescent="0.2">
      <c r="A751" s="1">
        <v>8920993092</v>
      </c>
      <c r="B751" s="1">
        <v>892099309</v>
      </c>
      <c r="C751" s="9">
        <v>217750577</v>
      </c>
      <c r="D751" s="10" t="s">
        <v>685</v>
      </c>
      <c r="E751" s="52" t="s">
        <v>1706</v>
      </c>
      <c r="F751" s="21"/>
      <c r="G751" s="59"/>
      <c r="H751" s="21"/>
      <c r="I751" s="59"/>
      <c r="J751" s="21"/>
      <c r="K751" s="21"/>
      <c r="L751" s="59"/>
      <c r="M751" s="60"/>
      <c r="N751" s="21"/>
      <c r="O751" s="59"/>
      <c r="P751" s="21"/>
      <c r="Q751" s="59"/>
      <c r="R751" s="21"/>
      <c r="S751" s="21"/>
      <c r="T751" s="59"/>
      <c r="U751" s="60">
        <f t="shared" si="102"/>
        <v>0</v>
      </c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>
        <v>118554373</v>
      </c>
      <c r="AN751" s="60">
        <f t="shared" si="110"/>
        <v>118554373</v>
      </c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>
        <v>78905835</v>
      </c>
      <c r="AZ751" s="60"/>
      <c r="BA751" s="60"/>
      <c r="BB751" s="60"/>
      <c r="BC751" s="61">
        <f t="shared" si="103"/>
        <v>197460208</v>
      </c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>
        <v>15781167</v>
      </c>
      <c r="BO751" s="60"/>
      <c r="BP751" s="61">
        <v>213241375</v>
      </c>
      <c r="BQ751" s="61"/>
      <c r="BR751" s="61"/>
      <c r="BS751" s="61"/>
      <c r="BT751" s="61"/>
      <c r="BU751" s="61"/>
      <c r="BV751" s="61"/>
      <c r="BW751" s="61"/>
      <c r="BX751" s="61"/>
      <c r="BY751" s="61"/>
      <c r="BZ751" s="61"/>
      <c r="CA751" s="61"/>
      <c r="CB751" s="61"/>
      <c r="CC751" s="61">
        <v>15781167</v>
      </c>
      <c r="CD751" s="61"/>
      <c r="CE751" s="61"/>
      <c r="CF751" s="61"/>
      <c r="CG751" s="61">
        <f t="shared" si="104"/>
        <v>229022542</v>
      </c>
      <c r="CH751" s="62">
        <f>VLOOKUP(B751,[1]RPTNCT049_ConsultaSaldosContabl!I$4:K$7987,3,0)</f>
        <v>110468169</v>
      </c>
      <c r="CI751" s="62">
        <f t="shared" si="105"/>
        <v>118554373</v>
      </c>
      <c r="CJ751" s="63">
        <f t="shared" si="106"/>
        <v>229022542</v>
      </c>
      <c r="CK751" s="64">
        <f t="shared" si="107"/>
        <v>0</v>
      </c>
      <c r="CL751" s="16"/>
      <c r="CM751" s="16"/>
      <c r="CN751" s="16"/>
    </row>
    <row r="752" spans="1:96" ht="15" customHeight="1" x14ac:dyDescent="0.2">
      <c r="A752" s="1">
        <v>8920993250</v>
      </c>
      <c r="B752" s="1">
        <v>892099325</v>
      </c>
      <c r="C752" s="9">
        <v>217350573</v>
      </c>
      <c r="D752" s="10" t="s">
        <v>684</v>
      </c>
      <c r="E752" s="52" t="s">
        <v>1705</v>
      </c>
      <c r="F752" s="21"/>
      <c r="G752" s="59"/>
      <c r="H752" s="21"/>
      <c r="I752" s="59"/>
      <c r="J752" s="21"/>
      <c r="K752" s="21"/>
      <c r="L752" s="59"/>
      <c r="M752" s="60"/>
      <c r="N752" s="21"/>
      <c r="O752" s="59"/>
      <c r="P752" s="21"/>
      <c r="Q752" s="59"/>
      <c r="R752" s="21"/>
      <c r="S752" s="21"/>
      <c r="T752" s="59"/>
      <c r="U752" s="60">
        <f t="shared" si="102"/>
        <v>0</v>
      </c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>
        <v>476500138</v>
      </c>
      <c r="AN752" s="60">
        <f t="shared" si="110"/>
        <v>476500138</v>
      </c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>
        <f>VLOOKUP(B752,[2]Hoja3!J$3:K$674,2,0)</f>
        <v>121664389</v>
      </c>
      <c r="BB752" s="60"/>
      <c r="BC752" s="61">
        <f t="shared" si="103"/>
        <v>598164527</v>
      </c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>
        <v>0</v>
      </c>
      <c r="BO752" s="60"/>
      <c r="BP752" s="61">
        <v>598164527</v>
      </c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  <c r="CA752" s="61"/>
      <c r="CB752" s="61"/>
      <c r="CC752" s="61">
        <v>0</v>
      </c>
      <c r="CD752" s="61"/>
      <c r="CE752" s="61"/>
      <c r="CF752" s="61"/>
      <c r="CG752" s="61">
        <f t="shared" si="104"/>
        <v>598164527</v>
      </c>
      <c r="CH752" s="62"/>
      <c r="CI752" s="62">
        <f t="shared" si="105"/>
        <v>598164527</v>
      </c>
      <c r="CJ752" s="63">
        <f t="shared" si="106"/>
        <v>598164527</v>
      </c>
      <c r="CK752" s="64">
        <f t="shared" si="107"/>
        <v>0</v>
      </c>
      <c r="CL752" s="16"/>
      <c r="CM752" s="16"/>
      <c r="CN752" s="16"/>
    </row>
    <row r="753" spans="1:96" ht="15" customHeight="1" x14ac:dyDescent="0.2">
      <c r="A753" s="1">
        <v>8909810008</v>
      </c>
      <c r="B753" s="1">
        <v>890981000</v>
      </c>
      <c r="C753" s="9">
        <v>218505585</v>
      </c>
      <c r="D753" s="10" t="s">
        <v>119</v>
      </c>
      <c r="E753" s="52" t="s">
        <v>1149</v>
      </c>
      <c r="F753" s="21"/>
      <c r="G753" s="59"/>
      <c r="H753" s="21"/>
      <c r="I753" s="59"/>
      <c r="J753" s="21"/>
      <c r="K753" s="21"/>
      <c r="L753" s="59"/>
      <c r="M753" s="60"/>
      <c r="N753" s="21"/>
      <c r="O753" s="59"/>
      <c r="P753" s="21"/>
      <c r="Q753" s="59"/>
      <c r="R753" s="21"/>
      <c r="S753" s="21"/>
      <c r="T753" s="59"/>
      <c r="U753" s="60">
        <f t="shared" si="102"/>
        <v>0</v>
      </c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>
        <f>VLOOKUP(B753,[2]Hoja3!J$3:K$674,2,0)</f>
        <v>210304322</v>
      </c>
      <c r="BB753" s="60"/>
      <c r="BC753" s="61">
        <f t="shared" si="103"/>
        <v>210304322</v>
      </c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>
        <v>20391394</v>
      </c>
      <c r="BO753" s="60"/>
      <c r="BP753" s="61">
        <v>230695716</v>
      </c>
      <c r="BQ753" s="61"/>
      <c r="BR753" s="61"/>
      <c r="BS753" s="61"/>
      <c r="BT753" s="61"/>
      <c r="BU753" s="61"/>
      <c r="BV753" s="61"/>
      <c r="BW753" s="61"/>
      <c r="BX753" s="61"/>
      <c r="BY753" s="61"/>
      <c r="BZ753" s="61"/>
      <c r="CA753" s="61"/>
      <c r="CB753" s="61"/>
      <c r="CC753" s="61">
        <v>20391394</v>
      </c>
      <c r="CD753" s="61">
        <v>101956970</v>
      </c>
      <c r="CE753" s="61"/>
      <c r="CF753" s="61"/>
      <c r="CG753" s="61">
        <f t="shared" si="104"/>
        <v>353044080</v>
      </c>
      <c r="CH753" s="62">
        <f>VLOOKUP(B753,[1]RPTNCT049_ConsultaSaldosContabl!I$4:K$7987,3,0)</f>
        <v>142739758</v>
      </c>
      <c r="CI753" s="62">
        <f t="shared" si="105"/>
        <v>210304322</v>
      </c>
      <c r="CJ753" s="63">
        <f t="shared" si="106"/>
        <v>353044080</v>
      </c>
      <c r="CK753" s="64">
        <f t="shared" si="107"/>
        <v>0</v>
      </c>
      <c r="CL753" s="16"/>
      <c r="CM753" s="16"/>
      <c r="CN753" s="16"/>
    </row>
    <row r="754" spans="1:96" ht="15" customHeight="1" x14ac:dyDescent="0.2">
      <c r="A754" s="1">
        <v>8001031612</v>
      </c>
      <c r="B754" s="1">
        <v>800103161</v>
      </c>
      <c r="C754" s="9">
        <v>214091540</v>
      </c>
      <c r="D754" s="10" t="s">
        <v>989</v>
      </c>
      <c r="E754" s="52" t="s">
        <v>2045</v>
      </c>
      <c r="F754" s="21"/>
      <c r="G754" s="59"/>
      <c r="H754" s="21"/>
      <c r="I754" s="59"/>
      <c r="J754" s="21"/>
      <c r="K754" s="21"/>
      <c r="L754" s="59"/>
      <c r="M754" s="60"/>
      <c r="N754" s="21"/>
      <c r="O754" s="59"/>
      <c r="P754" s="21"/>
      <c r="Q754" s="59"/>
      <c r="R754" s="21"/>
      <c r="S754" s="21"/>
      <c r="T754" s="59"/>
      <c r="U754" s="60">
        <f t="shared" si="102"/>
        <v>0</v>
      </c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>
        <v>159020783</v>
      </c>
      <c r="AN754" s="60">
        <f>SUBTOTAL(9,AC754:AM754)</f>
        <v>159020783</v>
      </c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>
        <v>83541260</v>
      </c>
      <c r="AZ754" s="60"/>
      <c r="BA754" s="60"/>
      <c r="BB754" s="60"/>
      <c r="BC754" s="61">
        <f t="shared" si="103"/>
        <v>242562043</v>
      </c>
      <c r="BD754" s="60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>
        <v>16708252</v>
      </c>
      <c r="BO754" s="60"/>
      <c r="BP754" s="61">
        <v>259270295</v>
      </c>
      <c r="BQ754" s="61"/>
      <c r="BR754" s="61"/>
      <c r="BS754" s="61"/>
      <c r="BT754" s="61"/>
      <c r="BU754" s="61"/>
      <c r="BV754" s="61"/>
      <c r="BW754" s="61"/>
      <c r="BX754" s="61"/>
      <c r="BY754" s="61"/>
      <c r="BZ754" s="61"/>
      <c r="CA754" s="61"/>
      <c r="CB754" s="61"/>
      <c r="CC754" s="61">
        <v>16708252</v>
      </c>
      <c r="CD754" s="61"/>
      <c r="CE754" s="61"/>
      <c r="CF754" s="61"/>
      <c r="CG754" s="61">
        <f t="shared" si="104"/>
        <v>275978547</v>
      </c>
      <c r="CH754" s="62">
        <f>VLOOKUP(B754,[1]RPTNCT049_ConsultaSaldosContabl!I$4:K$7987,3,0)</f>
        <v>116957764</v>
      </c>
      <c r="CI754" s="62">
        <f t="shared" si="105"/>
        <v>159020783</v>
      </c>
      <c r="CJ754" s="63">
        <f t="shared" si="106"/>
        <v>275978547</v>
      </c>
      <c r="CK754" s="64">
        <f t="shared" si="107"/>
        <v>0</v>
      </c>
      <c r="CL754" s="16"/>
      <c r="CM754" s="16"/>
      <c r="CN754" s="16"/>
    </row>
    <row r="755" spans="1:96" ht="15" customHeight="1" x14ac:dyDescent="0.2">
      <c r="A755" s="1">
        <v>8000605253</v>
      </c>
      <c r="B755" s="1">
        <v>800060525</v>
      </c>
      <c r="C755" s="9">
        <v>217368573</v>
      </c>
      <c r="D755" s="10" t="s">
        <v>869</v>
      </c>
      <c r="E755" s="52" t="s">
        <v>1881</v>
      </c>
      <c r="F755" s="21"/>
      <c r="G755" s="59"/>
      <c r="H755" s="21"/>
      <c r="I755" s="59"/>
      <c r="J755" s="21"/>
      <c r="K755" s="21"/>
      <c r="L755" s="59"/>
      <c r="M755" s="60"/>
      <c r="N755" s="21"/>
      <c r="O755" s="59"/>
      <c r="P755" s="21"/>
      <c r="Q755" s="59"/>
      <c r="R755" s="21"/>
      <c r="S755" s="21"/>
      <c r="T755" s="59"/>
      <c r="U755" s="60">
        <f t="shared" si="102"/>
        <v>0</v>
      </c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>
        <v>121310169</v>
      </c>
      <c r="AN755" s="60">
        <f>SUBTOTAL(9,AC755:AM755)</f>
        <v>121310169</v>
      </c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>
        <v>63544780</v>
      </c>
      <c r="AZ755" s="60"/>
      <c r="BA755" s="60"/>
      <c r="BB755" s="60"/>
      <c r="BC755" s="61">
        <f t="shared" si="103"/>
        <v>184854949</v>
      </c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>
        <v>12708956</v>
      </c>
      <c r="BO755" s="60"/>
      <c r="BP755" s="61">
        <v>197563905</v>
      </c>
      <c r="BQ755" s="61"/>
      <c r="BR755" s="61"/>
      <c r="BS755" s="61"/>
      <c r="BT755" s="61"/>
      <c r="BU755" s="61"/>
      <c r="BV755" s="61"/>
      <c r="BW755" s="61"/>
      <c r="BX755" s="61"/>
      <c r="BY755" s="61"/>
      <c r="BZ755" s="61"/>
      <c r="CA755" s="61"/>
      <c r="CB755" s="61"/>
      <c r="CC755" s="61">
        <v>12708956</v>
      </c>
      <c r="CD755" s="61"/>
      <c r="CE755" s="61"/>
      <c r="CF755" s="61"/>
      <c r="CG755" s="61">
        <f t="shared" si="104"/>
        <v>210272861</v>
      </c>
      <c r="CH755" s="62">
        <f>VLOOKUP(B755,[1]RPTNCT049_ConsultaSaldosContabl!I$4:K$7987,3,0)</f>
        <v>88962692</v>
      </c>
      <c r="CI755" s="62">
        <f t="shared" si="105"/>
        <v>121310169</v>
      </c>
      <c r="CJ755" s="63">
        <f t="shared" si="106"/>
        <v>210272861</v>
      </c>
      <c r="CK755" s="64">
        <f t="shared" si="107"/>
        <v>0</v>
      </c>
      <c r="CL755" s="16"/>
      <c r="CM755" s="16"/>
      <c r="CN755" s="16"/>
    </row>
    <row r="756" spans="1:96" ht="15" customHeight="1" x14ac:dyDescent="0.2">
      <c r="A756" s="1">
        <v>8000957759</v>
      </c>
      <c r="B756" s="1">
        <v>800095775</v>
      </c>
      <c r="C756" s="9">
        <v>219218592</v>
      </c>
      <c r="D756" s="10" t="s">
        <v>369</v>
      </c>
      <c r="E756" s="52" t="s">
        <v>1399</v>
      </c>
      <c r="F756" s="21"/>
      <c r="G756" s="59"/>
      <c r="H756" s="21"/>
      <c r="I756" s="59"/>
      <c r="J756" s="21"/>
      <c r="K756" s="21"/>
      <c r="L756" s="59"/>
      <c r="M756" s="60"/>
      <c r="N756" s="21"/>
      <c r="O756" s="59"/>
      <c r="P756" s="21"/>
      <c r="Q756" s="59"/>
      <c r="R756" s="21"/>
      <c r="S756" s="21"/>
      <c r="T756" s="59"/>
      <c r="U756" s="60">
        <f t="shared" si="102"/>
        <v>0</v>
      </c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>
        <v>121650377</v>
      </c>
      <c r="AN756" s="60">
        <f>SUBTOTAL(9,AC756:AM756)</f>
        <v>121650377</v>
      </c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>
        <v>332550095</v>
      </c>
      <c r="AZ756" s="60"/>
      <c r="BA756" s="60">
        <f>VLOOKUP(B756,[2]Hoja3!J$3:K$674,2,0)</f>
        <v>381427879</v>
      </c>
      <c r="BB756" s="60"/>
      <c r="BC756" s="61">
        <f t="shared" si="103"/>
        <v>835628351</v>
      </c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>
        <v>66510019</v>
      </c>
      <c r="BO756" s="60"/>
      <c r="BP756" s="61">
        <v>902138370</v>
      </c>
      <c r="BQ756" s="61"/>
      <c r="BR756" s="61"/>
      <c r="BS756" s="61"/>
      <c r="BT756" s="61"/>
      <c r="BU756" s="61"/>
      <c r="BV756" s="61"/>
      <c r="BW756" s="61"/>
      <c r="BX756" s="61"/>
      <c r="BY756" s="61"/>
      <c r="BZ756" s="61"/>
      <c r="CA756" s="61"/>
      <c r="CB756" s="61"/>
      <c r="CC756" s="61">
        <v>66510019</v>
      </c>
      <c r="CD756" s="61"/>
      <c r="CE756" s="61"/>
      <c r="CF756" s="61"/>
      <c r="CG756" s="61">
        <f t="shared" si="104"/>
        <v>968648389</v>
      </c>
      <c r="CH756" s="62">
        <f>VLOOKUP(B756,[1]RPTNCT049_ConsultaSaldosContabl!I$4:K$7987,3,0)</f>
        <v>465570133</v>
      </c>
      <c r="CI756" s="62">
        <f t="shared" si="105"/>
        <v>503078256</v>
      </c>
      <c r="CJ756" s="63">
        <f t="shared" si="106"/>
        <v>968648389</v>
      </c>
      <c r="CK756" s="64">
        <f t="shared" si="107"/>
        <v>0</v>
      </c>
      <c r="CL756" s="16"/>
      <c r="CM756" s="16"/>
      <c r="CN756" s="16"/>
    </row>
    <row r="757" spans="1:96" ht="15" customHeight="1" x14ac:dyDescent="0.2">
      <c r="A757" s="1">
        <v>8000981950</v>
      </c>
      <c r="B757" s="1">
        <v>800098195</v>
      </c>
      <c r="C757" s="9">
        <v>219050590</v>
      </c>
      <c r="D757" s="10" t="s">
        <v>686</v>
      </c>
      <c r="E757" s="52" t="s">
        <v>1707</v>
      </c>
      <c r="F757" s="21"/>
      <c r="G757" s="59"/>
      <c r="H757" s="21"/>
      <c r="I757" s="59"/>
      <c r="J757" s="21"/>
      <c r="K757" s="21"/>
      <c r="L757" s="59"/>
      <c r="M757" s="60"/>
      <c r="N757" s="21"/>
      <c r="O757" s="59"/>
      <c r="P757" s="21"/>
      <c r="Q757" s="59"/>
      <c r="R757" s="21"/>
      <c r="S757" s="21"/>
      <c r="T757" s="59"/>
      <c r="U757" s="60">
        <f t="shared" si="102"/>
        <v>0</v>
      </c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>
        <v>79357444</v>
      </c>
      <c r="AN757" s="60">
        <f>SUBTOTAL(9,AC757:AM757)</f>
        <v>79357444</v>
      </c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>
        <f>VLOOKUP(B757,[2]Hoja3!J$3:K$674,2,0)</f>
        <v>106201255</v>
      </c>
      <c r="BB757" s="60"/>
      <c r="BC757" s="61">
        <f t="shared" si="103"/>
        <v>185558699</v>
      </c>
      <c r="BD757" s="60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>
        <v>0</v>
      </c>
      <c r="BO757" s="60"/>
      <c r="BP757" s="61">
        <v>185558699</v>
      </c>
      <c r="BQ757" s="61"/>
      <c r="BR757" s="61"/>
      <c r="BS757" s="61"/>
      <c r="BT757" s="61"/>
      <c r="BU757" s="61"/>
      <c r="BV757" s="61"/>
      <c r="BW757" s="61"/>
      <c r="BX757" s="61"/>
      <c r="BY757" s="61"/>
      <c r="BZ757" s="61"/>
      <c r="CA757" s="61"/>
      <c r="CB757" s="61"/>
      <c r="CC757" s="61">
        <v>0</v>
      </c>
      <c r="CD757" s="61"/>
      <c r="CE757" s="61"/>
      <c r="CF757" s="61"/>
      <c r="CG757" s="61">
        <f t="shared" si="104"/>
        <v>185558699</v>
      </c>
      <c r="CH757" s="62"/>
      <c r="CI757" s="62">
        <f t="shared" si="105"/>
        <v>185558699</v>
      </c>
      <c r="CJ757" s="63">
        <f t="shared" si="106"/>
        <v>185558699</v>
      </c>
      <c r="CK757" s="64">
        <f t="shared" si="107"/>
        <v>0</v>
      </c>
      <c r="CL757" s="16"/>
      <c r="CM757" s="8"/>
      <c r="CN757" s="8"/>
      <c r="CO757" s="8"/>
      <c r="CP757" s="8"/>
      <c r="CQ757" s="8"/>
      <c r="CR757" s="8"/>
    </row>
    <row r="758" spans="1:96" ht="15" customHeight="1" x14ac:dyDescent="0.2">
      <c r="A758" s="1">
        <v>8001027989</v>
      </c>
      <c r="B758" s="1">
        <v>800102798</v>
      </c>
      <c r="C758" s="9">
        <v>219181591</v>
      </c>
      <c r="D758" s="10" t="s">
        <v>952</v>
      </c>
      <c r="E758" s="52" t="s">
        <v>2012</v>
      </c>
      <c r="F758" s="21"/>
      <c r="G758" s="59"/>
      <c r="H758" s="21"/>
      <c r="I758" s="59"/>
      <c r="J758" s="21"/>
      <c r="K758" s="21"/>
      <c r="L758" s="59"/>
      <c r="M758" s="60"/>
      <c r="N758" s="21"/>
      <c r="O758" s="59"/>
      <c r="P758" s="21"/>
      <c r="Q758" s="59"/>
      <c r="R758" s="21"/>
      <c r="S758" s="21"/>
      <c r="T758" s="59"/>
      <c r="U758" s="60">
        <f t="shared" si="102"/>
        <v>0</v>
      </c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>
        <v>31186410</v>
      </c>
      <c r="AZ758" s="60"/>
      <c r="BA758" s="60">
        <f>VLOOKUP(B758,[2]Hoja3!J$3:K$674,2,0)</f>
        <v>54401070</v>
      </c>
      <c r="BB758" s="60"/>
      <c r="BC758" s="61">
        <f t="shared" si="103"/>
        <v>85587480</v>
      </c>
      <c r="BD758" s="60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>
        <v>6237282</v>
      </c>
      <c r="BO758" s="60"/>
      <c r="BP758" s="61">
        <v>91824762</v>
      </c>
      <c r="BQ758" s="61"/>
      <c r="BR758" s="61"/>
      <c r="BS758" s="61"/>
      <c r="BT758" s="61"/>
      <c r="BU758" s="61"/>
      <c r="BV758" s="61"/>
      <c r="BW758" s="61"/>
      <c r="BX758" s="61"/>
      <c r="BY758" s="61"/>
      <c r="BZ758" s="61"/>
      <c r="CA758" s="61"/>
      <c r="CB758" s="61"/>
      <c r="CC758" s="61">
        <v>6237282</v>
      </c>
      <c r="CD758" s="61"/>
      <c r="CE758" s="61"/>
      <c r="CF758" s="61"/>
      <c r="CG758" s="61">
        <f t="shared" si="104"/>
        <v>98062044</v>
      </c>
      <c r="CH758" s="62">
        <f>VLOOKUP(B758,[1]RPTNCT049_ConsultaSaldosContabl!I$4:K$7987,3,0)</f>
        <v>43660974</v>
      </c>
      <c r="CI758" s="62">
        <f t="shared" si="105"/>
        <v>54401070</v>
      </c>
      <c r="CJ758" s="63">
        <f t="shared" si="106"/>
        <v>98062044</v>
      </c>
      <c r="CK758" s="64">
        <f t="shared" si="107"/>
        <v>0</v>
      </c>
      <c r="CL758" s="16"/>
      <c r="CM758" s="16"/>
      <c r="CN758" s="16"/>
    </row>
    <row r="759" spans="1:96" ht="15" customHeight="1" x14ac:dyDescent="0.2">
      <c r="A759" s="1">
        <v>8999994138</v>
      </c>
      <c r="B759" s="1">
        <v>899999413</v>
      </c>
      <c r="C759" s="9">
        <v>217225572</v>
      </c>
      <c r="D759" s="10" t="s">
        <v>524</v>
      </c>
      <c r="E759" s="52" t="s">
        <v>1550</v>
      </c>
      <c r="F759" s="21"/>
      <c r="G759" s="59"/>
      <c r="H759" s="21"/>
      <c r="I759" s="59"/>
      <c r="J759" s="21"/>
      <c r="K759" s="21"/>
      <c r="L759" s="59"/>
      <c r="M759" s="60"/>
      <c r="N759" s="21"/>
      <c r="O759" s="59"/>
      <c r="P759" s="21"/>
      <c r="Q759" s="59"/>
      <c r="R759" s="21"/>
      <c r="S759" s="21"/>
      <c r="T759" s="59"/>
      <c r="U759" s="60">
        <f t="shared" si="102"/>
        <v>0</v>
      </c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>
        <v>204870037</v>
      </c>
      <c r="AN759" s="60">
        <f>SUBTOTAL(9,AC759:AM759)</f>
        <v>204870037</v>
      </c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>
        <v>104824095</v>
      </c>
      <c r="AZ759" s="60"/>
      <c r="BA759" s="60"/>
      <c r="BB759" s="60"/>
      <c r="BC759" s="61">
        <f t="shared" si="103"/>
        <v>309694132</v>
      </c>
      <c r="BD759" s="60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>
        <v>20964819</v>
      </c>
      <c r="BO759" s="60"/>
      <c r="BP759" s="61">
        <v>330658951</v>
      </c>
      <c r="BQ759" s="61"/>
      <c r="BR759" s="61"/>
      <c r="BS759" s="61"/>
      <c r="BT759" s="61"/>
      <c r="BU759" s="61"/>
      <c r="BV759" s="61"/>
      <c r="BW759" s="61"/>
      <c r="BX759" s="61"/>
      <c r="BY759" s="61"/>
      <c r="BZ759" s="61"/>
      <c r="CA759" s="61"/>
      <c r="CB759" s="61"/>
      <c r="CC759" s="61">
        <v>20964819</v>
      </c>
      <c r="CD759" s="61"/>
      <c r="CE759" s="61"/>
      <c r="CF759" s="61"/>
      <c r="CG759" s="61">
        <f t="shared" si="104"/>
        <v>351623770</v>
      </c>
      <c r="CH759" s="62">
        <f>VLOOKUP(B759,[1]RPTNCT049_ConsultaSaldosContabl!I$4:K$7987,3,0)</f>
        <v>146753733</v>
      </c>
      <c r="CI759" s="62">
        <f t="shared" si="105"/>
        <v>204870037</v>
      </c>
      <c r="CJ759" s="63">
        <f t="shared" si="106"/>
        <v>351623770</v>
      </c>
      <c r="CK759" s="64">
        <f t="shared" si="107"/>
        <v>0</v>
      </c>
      <c r="CL759" s="16"/>
      <c r="CM759" s="16"/>
      <c r="CN759" s="16"/>
    </row>
    <row r="760" spans="1:96" ht="15" customHeight="1" x14ac:dyDescent="0.2">
      <c r="A760" s="1">
        <v>8002508531</v>
      </c>
      <c r="B760" s="1">
        <v>800250853</v>
      </c>
      <c r="C760" s="9">
        <v>215354553</v>
      </c>
      <c r="D760" s="10" t="s">
        <v>777</v>
      </c>
      <c r="E760" s="52" t="s">
        <v>1794</v>
      </c>
      <c r="F760" s="21"/>
      <c r="G760" s="59"/>
      <c r="H760" s="21"/>
      <c r="I760" s="59"/>
      <c r="J760" s="21"/>
      <c r="K760" s="21"/>
      <c r="L760" s="59"/>
      <c r="M760" s="60"/>
      <c r="N760" s="21"/>
      <c r="O760" s="59"/>
      <c r="P760" s="21"/>
      <c r="Q760" s="59"/>
      <c r="R760" s="21"/>
      <c r="S760" s="21"/>
      <c r="T760" s="59"/>
      <c r="U760" s="60">
        <f t="shared" si="102"/>
        <v>0</v>
      </c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>
        <v>66005540</v>
      </c>
      <c r="AZ760" s="60"/>
      <c r="BA760" s="60">
        <f>VLOOKUP(B760,[2]Hoja3!J$3:K$674,2,0)</f>
        <v>123377280</v>
      </c>
      <c r="BB760" s="60"/>
      <c r="BC760" s="61">
        <f t="shared" si="103"/>
        <v>189382820</v>
      </c>
      <c r="BD760" s="60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>
        <v>13201108</v>
      </c>
      <c r="BO760" s="60"/>
      <c r="BP760" s="61">
        <v>202583928</v>
      </c>
      <c r="BQ760" s="61"/>
      <c r="BR760" s="61"/>
      <c r="BS760" s="61"/>
      <c r="BT760" s="61"/>
      <c r="BU760" s="61"/>
      <c r="BV760" s="61"/>
      <c r="BW760" s="61"/>
      <c r="BX760" s="61"/>
      <c r="BY760" s="61"/>
      <c r="BZ760" s="61"/>
      <c r="CA760" s="61"/>
      <c r="CB760" s="61"/>
      <c r="CC760" s="61">
        <v>13201108</v>
      </c>
      <c r="CD760" s="61"/>
      <c r="CE760" s="61"/>
      <c r="CF760" s="61"/>
      <c r="CG760" s="61">
        <f t="shared" si="104"/>
        <v>215785036</v>
      </c>
      <c r="CH760" s="62">
        <f>VLOOKUP(B760,[1]RPTNCT049_ConsultaSaldosContabl!I$4:K$7987,3,0)</f>
        <v>92407756</v>
      </c>
      <c r="CI760" s="62">
        <f t="shared" si="105"/>
        <v>123377280</v>
      </c>
      <c r="CJ760" s="63">
        <f t="shared" si="106"/>
        <v>215785036</v>
      </c>
      <c r="CK760" s="64">
        <f t="shared" si="107"/>
        <v>0</v>
      </c>
      <c r="CL760" s="16"/>
      <c r="CM760" s="8"/>
      <c r="CN760" s="8"/>
      <c r="CO760" s="8"/>
      <c r="CP760" s="8"/>
      <c r="CQ760" s="8"/>
      <c r="CR760" s="8"/>
    </row>
    <row r="761" spans="1:96" ht="15" customHeight="1" x14ac:dyDescent="0.2">
      <c r="A761" s="1">
        <v>8915005809</v>
      </c>
      <c r="B761" s="1">
        <v>891500580</v>
      </c>
      <c r="C761" s="9">
        <v>217319573</v>
      </c>
      <c r="D761" s="10" t="s">
        <v>399</v>
      </c>
      <c r="E761" s="55" t="s">
        <v>2106</v>
      </c>
      <c r="F761" s="21"/>
      <c r="G761" s="59"/>
      <c r="H761" s="21"/>
      <c r="I761" s="59"/>
      <c r="J761" s="21"/>
      <c r="K761" s="21"/>
      <c r="L761" s="59"/>
      <c r="M761" s="60"/>
      <c r="N761" s="21"/>
      <c r="O761" s="59"/>
      <c r="P761" s="21"/>
      <c r="Q761" s="59"/>
      <c r="R761" s="21"/>
      <c r="S761" s="21"/>
      <c r="T761" s="59"/>
      <c r="U761" s="60">
        <f t="shared" si="102"/>
        <v>0</v>
      </c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>
        <v>143622853</v>
      </c>
      <c r="AN761" s="60">
        <f>SUBTOTAL(9,AC761:AM761)</f>
        <v>143622853</v>
      </c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>
        <v>295549095</v>
      </c>
      <c r="AZ761" s="60"/>
      <c r="BA761" s="60">
        <f>VLOOKUP(B761,[2]Hoja3!J$3:K$674,2,0)</f>
        <v>325800203</v>
      </c>
      <c r="BB761" s="60"/>
      <c r="BC761" s="61">
        <f t="shared" si="103"/>
        <v>764972151</v>
      </c>
      <c r="BD761" s="60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>
        <v>59109819</v>
      </c>
      <c r="BO761" s="60"/>
      <c r="BP761" s="61">
        <v>824081970</v>
      </c>
      <c r="BQ761" s="61"/>
      <c r="BR761" s="61"/>
      <c r="BS761" s="61"/>
      <c r="BT761" s="61"/>
      <c r="BU761" s="61"/>
      <c r="BV761" s="61"/>
      <c r="BW761" s="61"/>
      <c r="BX761" s="61"/>
      <c r="BY761" s="61"/>
      <c r="BZ761" s="61"/>
      <c r="CA761" s="61"/>
      <c r="CB761" s="61"/>
      <c r="CC761" s="61">
        <v>59109819</v>
      </c>
      <c r="CD761" s="61"/>
      <c r="CE761" s="61"/>
      <c r="CF761" s="61"/>
      <c r="CG761" s="61">
        <f t="shared" si="104"/>
        <v>883191789</v>
      </c>
      <c r="CH761" s="62">
        <f>VLOOKUP(B761,[1]RPTNCT049_ConsultaSaldosContabl!I$4:K$7987,3,0)</f>
        <v>413768733</v>
      </c>
      <c r="CI761" s="62">
        <f t="shared" si="105"/>
        <v>469423056</v>
      </c>
      <c r="CJ761" s="63">
        <f t="shared" si="106"/>
        <v>883191789</v>
      </c>
      <c r="CK761" s="64">
        <f t="shared" si="107"/>
        <v>0</v>
      </c>
      <c r="CL761" s="16"/>
      <c r="CM761" s="16"/>
      <c r="CN761" s="16"/>
    </row>
    <row r="762" spans="1:96" ht="15" customHeight="1" x14ac:dyDescent="0.2">
      <c r="A762" s="1">
        <v>8909839064</v>
      </c>
      <c r="B762" s="1">
        <v>890983906</v>
      </c>
      <c r="C762" s="9">
        <v>219105591</v>
      </c>
      <c r="D762" s="10" t="s">
        <v>120</v>
      </c>
      <c r="E762" s="52" t="s">
        <v>1150</v>
      </c>
      <c r="F762" s="21"/>
      <c r="G762" s="59"/>
      <c r="H762" s="21"/>
      <c r="I762" s="59"/>
      <c r="J762" s="21"/>
      <c r="K762" s="21"/>
      <c r="L762" s="59"/>
      <c r="M762" s="60"/>
      <c r="N762" s="21"/>
      <c r="O762" s="59"/>
      <c r="P762" s="21"/>
      <c r="Q762" s="59"/>
      <c r="R762" s="21"/>
      <c r="S762" s="21"/>
      <c r="T762" s="59"/>
      <c r="U762" s="60">
        <f t="shared" si="102"/>
        <v>0</v>
      </c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>
        <f>VLOOKUP(B762,[2]Hoja3!J$3:K$674,2,0)</f>
        <v>283786388</v>
      </c>
      <c r="BB762" s="60"/>
      <c r="BC762" s="61">
        <f t="shared" si="103"/>
        <v>283786388</v>
      </c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>
        <v>0</v>
      </c>
      <c r="BO762" s="60"/>
      <c r="BP762" s="61">
        <v>283786388</v>
      </c>
      <c r="BQ762" s="61"/>
      <c r="BR762" s="61"/>
      <c r="BS762" s="61"/>
      <c r="BT762" s="61"/>
      <c r="BU762" s="61"/>
      <c r="BV762" s="61"/>
      <c r="BW762" s="61"/>
      <c r="BX762" s="61"/>
      <c r="BY762" s="61"/>
      <c r="BZ762" s="61"/>
      <c r="CA762" s="61"/>
      <c r="CB762" s="61"/>
      <c r="CC762" s="61">
        <v>0</v>
      </c>
      <c r="CD762" s="61"/>
      <c r="CE762" s="61"/>
      <c r="CF762" s="61"/>
      <c r="CG762" s="61">
        <f t="shared" si="104"/>
        <v>283786388</v>
      </c>
      <c r="CH762" s="62"/>
      <c r="CI762" s="62">
        <f t="shared" si="105"/>
        <v>283786388</v>
      </c>
      <c r="CJ762" s="63">
        <f t="shared" si="106"/>
        <v>283786388</v>
      </c>
      <c r="CK762" s="64">
        <f t="shared" si="107"/>
        <v>0</v>
      </c>
      <c r="CL762" s="16"/>
      <c r="CM762" s="16"/>
      <c r="CN762" s="16"/>
    </row>
    <row r="763" spans="1:96" ht="15" customHeight="1" x14ac:dyDescent="0.2">
      <c r="A763" s="1">
        <v>8902011903</v>
      </c>
      <c r="B763" s="1">
        <v>890201190</v>
      </c>
      <c r="C763" s="9">
        <v>217568575</v>
      </c>
      <c r="D763" s="10" t="s">
        <v>870</v>
      </c>
      <c r="E763" s="52" t="s">
        <v>1882</v>
      </c>
      <c r="F763" s="21"/>
      <c r="G763" s="59"/>
      <c r="H763" s="21"/>
      <c r="I763" s="59"/>
      <c r="J763" s="21"/>
      <c r="K763" s="21"/>
      <c r="L763" s="59"/>
      <c r="M763" s="60"/>
      <c r="N763" s="21"/>
      <c r="O763" s="59"/>
      <c r="P763" s="21"/>
      <c r="Q763" s="59"/>
      <c r="R763" s="21"/>
      <c r="S763" s="21"/>
      <c r="T763" s="59"/>
      <c r="U763" s="60">
        <f t="shared" si="102"/>
        <v>0</v>
      </c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>
        <v>287441265</v>
      </c>
      <c r="AZ763" s="60"/>
      <c r="BA763" s="60">
        <f>VLOOKUP(B763,[2]Hoja3!J$3:K$674,2,0)</f>
        <v>609354724</v>
      </c>
      <c r="BB763" s="60"/>
      <c r="BC763" s="61">
        <f t="shared" si="103"/>
        <v>896795989</v>
      </c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>
        <v>57488253</v>
      </c>
      <c r="BO763" s="60"/>
      <c r="BP763" s="61">
        <v>954284242</v>
      </c>
      <c r="BQ763" s="61"/>
      <c r="BR763" s="61"/>
      <c r="BS763" s="61"/>
      <c r="BT763" s="61"/>
      <c r="BU763" s="61"/>
      <c r="BV763" s="61"/>
      <c r="BW763" s="61"/>
      <c r="BX763" s="61"/>
      <c r="BY763" s="61"/>
      <c r="BZ763" s="61"/>
      <c r="CA763" s="61"/>
      <c r="CB763" s="61"/>
      <c r="CC763" s="61">
        <v>57488253</v>
      </c>
      <c r="CD763" s="61"/>
      <c r="CE763" s="61"/>
      <c r="CF763" s="61"/>
      <c r="CG763" s="61">
        <f t="shared" si="104"/>
        <v>1011772495</v>
      </c>
      <c r="CH763" s="62">
        <f>VLOOKUP(B763,[1]RPTNCT049_ConsultaSaldosContabl!I$4:K$7987,3,0)</f>
        <v>402417771</v>
      </c>
      <c r="CI763" s="62">
        <f t="shared" si="105"/>
        <v>609354724</v>
      </c>
      <c r="CJ763" s="63">
        <f t="shared" si="106"/>
        <v>1011772495</v>
      </c>
      <c r="CK763" s="64">
        <f t="shared" si="107"/>
        <v>0</v>
      </c>
      <c r="CL763" s="16"/>
      <c r="CM763" s="16"/>
      <c r="CN763" s="16"/>
    </row>
    <row r="764" spans="1:96" ht="15" customHeight="1" x14ac:dyDescent="0.2">
      <c r="A764" s="1">
        <v>8000856124</v>
      </c>
      <c r="B764" s="1">
        <v>800085612</v>
      </c>
      <c r="C764" s="9">
        <v>218025580</v>
      </c>
      <c r="D764" s="10" t="s">
        <v>525</v>
      </c>
      <c r="E764" s="52" t="s">
        <v>1551</v>
      </c>
      <c r="F764" s="21"/>
      <c r="G764" s="59"/>
      <c r="H764" s="21"/>
      <c r="I764" s="59"/>
      <c r="J764" s="21"/>
      <c r="K764" s="21"/>
      <c r="L764" s="59"/>
      <c r="M764" s="60"/>
      <c r="N764" s="21"/>
      <c r="O764" s="59"/>
      <c r="P764" s="21"/>
      <c r="Q764" s="59"/>
      <c r="R764" s="21"/>
      <c r="S764" s="21"/>
      <c r="T764" s="59"/>
      <c r="U764" s="60">
        <f t="shared" si="102"/>
        <v>0</v>
      </c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>
        <v>36931174</v>
      </c>
      <c r="AN764" s="60">
        <f t="shared" ref="AN764:AN775" si="111">SUBTOTAL(9,AC764:AM764)</f>
        <v>36931174</v>
      </c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1">
        <f t="shared" si="103"/>
        <v>36931174</v>
      </c>
      <c r="BD764" s="60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>
        <v>0</v>
      </c>
      <c r="BO764" s="60"/>
      <c r="BP764" s="61">
        <v>36931174</v>
      </c>
      <c r="BQ764" s="61"/>
      <c r="BR764" s="61"/>
      <c r="BS764" s="61"/>
      <c r="BT764" s="61"/>
      <c r="BU764" s="61"/>
      <c r="BV764" s="61"/>
      <c r="BW764" s="61"/>
      <c r="BX764" s="61"/>
      <c r="BY764" s="61"/>
      <c r="BZ764" s="61"/>
      <c r="CA764" s="61"/>
      <c r="CB764" s="61"/>
      <c r="CC764" s="61">
        <v>0</v>
      </c>
      <c r="CD764" s="61"/>
      <c r="CE764" s="61"/>
      <c r="CF764" s="61"/>
      <c r="CG764" s="61">
        <f t="shared" si="104"/>
        <v>36931174</v>
      </c>
      <c r="CH764" s="62"/>
      <c r="CI764" s="62">
        <f t="shared" si="105"/>
        <v>36931174</v>
      </c>
      <c r="CJ764" s="63">
        <f t="shared" si="106"/>
        <v>36931174</v>
      </c>
      <c r="CK764" s="64">
        <f t="shared" si="107"/>
        <v>0</v>
      </c>
      <c r="CL764" s="16"/>
      <c r="CM764" s="16"/>
      <c r="CN764" s="16"/>
    </row>
    <row r="765" spans="1:96" ht="15" customHeight="1" x14ac:dyDescent="0.2">
      <c r="A765" s="1">
        <v>8000991228</v>
      </c>
      <c r="B765" s="1">
        <v>800099122</v>
      </c>
      <c r="C765" s="9">
        <v>218552585</v>
      </c>
      <c r="D765" s="10" t="s">
        <v>735</v>
      </c>
      <c r="E765" s="52" t="s">
        <v>1757</v>
      </c>
      <c r="F765" s="21"/>
      <c r="G765" s="59"/>
      <c r="H765" s="21"/>
      <c r="I765" s="59"/>
      <c r="J765" s="21"/>
      <c r="K765" s="21"/>
      <c r="L765" s="59"/>
      <c r="M765" s="60"/>
      <c r="N765" s="21"/>
      <c r="O765" s="59"/>
      <c r="P765" s="21"/>
      <c r="Q765" s="59"/>
      <c r="R765" s="21"/>
      <c r="S765" s="21"/>
      <c r="T765" s="59"/>
      <c r="U765" s="60">
        <f t="shared" si="102"/>
        <v>0</v>
      </c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>
        <v>69373167</v>
      </c>
      <c r="AN765" s="60">
        <f t="shared" si="111"/>
        <v>69373167</v>
      </c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>
        <v>126865795</v>
      </c>
      <c r="AZ765" s="60"/>
      <c r="BA765" s="60">
        <f>VLOOKUP(B765,[2]Hoja3!J$3:K$674,2,0)</f>
        <v>183127700</v>
      </c>
      <c r="BB765" s="60"/>
      <c r="BC765" s="61">
        <f t="shared" si="103"/>
        <v>379366662</v>
      </c>
      <c r="BD765" s="60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>
        <v>25373159</v>
      </c>
      <c r="BO765" s="60"/>
      <c r="BP765" s="61">
        <v>404739821</v>
      </c>
      <c r="BQ765" s="61"/>
      <c r="BR765" s="61"/>
      <c r="BS765" s="61"/>
      <c r="BT765" s="61"/>
      <c r="BU765" s="61"/>
      <c r="BV765" s="61"/>
      <c r="BW765" s="61"/>
      <c r="BX765" s="61"/>
      <c r="BY765" s="61"/>
      <c r="BZ765" s="61"/>
      <c r="CA765" s="61"/>
      <c r="CB765" s="61"/>
      <c r="CC765" s="61">
        <v>25373159</v>
      </c>
      <c r="CD765" s="61"/>
      <c r="CE765" s="61"/>
      <c r="CF765" s="61"/>
      <c r="CG765" s="61">
        <f t="shared" si="104"/>
        <v>430112980</v>
      </c>
      <c r="CH765" s="62">
        <f>VLOOKUP(B765,[1]RPTNCT049_ConsultaSaldosContabl!I$4:K$7987,3,0)</f>
        <v>177612113</v>
      </c>
      <c r="CI765" s="62">
        <f t="shared" si="105"/>
        <v>252500867</v>
      </c>
      <c r="CJ765" s="63">
        <f t="shared" si="106"/>
        <v>430112980</v>
      </c>
      <c r="CK765" s="64">
        <f t="shared" si="107"/>
        <v>0</v>
      </c>
      <c r="CL765" s="16"/>
      <c r="CM765" s="16"/>
      <c r="CN765" s="16"/>
    </row>
    <row r="766" spans="1:96" ht="15" customHeight="1" x14ac:dyDescent="0.2">
      <c r="A766" s="1">
        <v>8915007210</v>
      </c>
      <c r="B766" s="1">
        <v>891500721</v>
      </c>
      <c r="C766" s="9">
        <v>218519585</v>
      </c>
      <c r="D766" s="10" t="s">
        <v>400</v>
      </c>
      <c r="E766" s="52" t="s">
        <v>1428</v>
      </c>
      <c r="F766" s="21"/>
      <c r="G766" s="59"/>
      <c r="H766" s="21"/>
      <c r="I766" s="59"/>
      <c r="J766" s="21"/>
      <c r="K766" s="21"/>
      <c r="L766" s="59"/>
      <c r="M766" s="60"/>
      <c r="N766" s="21"/>
      <c r="O766" s="59"/>
      <c r="P766" s="21"/>
      <c r="Q766" s="59"/>
      <c r="R766" s="21"/>
      <c r="S766" s="21"/>
      <c r="T766" s="59"/>
      <c r="U766" s="60">
        <f t="shared" si="102"/>
        <v>0</v>
      </c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>
        <v>49158381</v>
      </c>
      <c r="AN766" s="60">
        <f t="shared" si="111"/>
        <v>49158381</v>
      </c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>
        <v>130580085</v>
      </c>
      <c r="AZ766" s="60"/>
      <c r="BA766" s="60"/>
      <c r="BB766" s="60"/>
      <c r="BC766" s="61">
        <f t="shared" si="103"/>
        <v>179738466</v>
      </c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>
        <v>26116017</v>
      </c>
      <c r="BO766" s="60"/>
      <c r="BP766" s="61">
        <v>205854483</v>
      </c>
      <c r="BQ766" s="61"/>
      <c r="BR766" s="61"/>
      <c r="BS766" s="61"/>
      <c r="BT766" s="61"/>
      <c r="BU766" s="61"/>
      <c r="BV766" s="61"/>
      <c r="BW766" s="61"/>
      <c r="BX766" s="61"/>
      <c r="BY766" s="61"/>
      <c r="BZ766" s="61"/>
      <c r="CA766" s="61"/>
      <c r="CB766" s="61"/>
      <c r="CC766" s="61">
        <v>26116017</v>
      </c>
      <c r="CD766" s="61"/>
      <c r="CE766" s="61"/>
      <c r="CF766" s="61"/>
      <c r="CG766" s="61">
        <f t="shared" si="104"/>
        <v>231970500</v>
      </c>
      <c r="CH766" s="62">
        <f>VLOOKUP(B766,[1]RPTNCT049_ConsultaSaldosContabl!I$4:K$7987,3,0)</f>
        <v>182812119</v>
      </c>
      <c r="CI766" s="62">
        <f t="shared" si="105"/>
        <v>49158381</v>
      </c>
      <c r="CJ766" s="63">
        <f t="shared" si="106"/>
        <v>231970500</v>
      </c>
      <c r="CK766" s="64">
        <f t="shared" si="107"/>
        <v>0</v>
      </c>
      <c r="CL766" s="16"/>
      <c r="CM766" s="16"/>
      <c r="CN766" s="16"/>
    </row>
    <row r="767" spans="1:96" ht="15" customHeight="1" x14ac:dyDescent="0.2">
      <c r="A767" s="1">
        <v>8907010774</v>
      </c>
      <c r="B767" s="1">
        <v>890701077</v>
      </c>
      <c r="C767" s="9">
        <v>218573585</v>
      </c>
      <c r="D767" s="10" t="s">
        <v>2244</v>
      </c>
      <c r="E767" s="52" t="s">
        <v>1960</v>
      </c>
      <c r="F767" s="21"/>
      <c r="G767" s="59"/>
      <c r="H767" s="21"/>
      <c r="I767" s="59"/>
      <c r="J767" s="21"/>
      <c r="K767" s="21"/>
      <c r="L767" s="59"/>
      <c r="M767" s="60"/>
      <c r="N767" s="21"/>
      <c r="O767" s="59"/>
      <c r="P767" s="21"/>
      <c r="Q767" s="59"/>
      <c r="R767" s="21"/>
      <c r="S767" s="21"/>
      <c r="T767" s="59"/>
      <c r="U767" s="60">
        <f t="shared" si="102"/>
        <v>0</v>
      </c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>
        <v>216187717</v>
      </c>
      <c r="AN767" s="60">
        <f t="shared" si="111"/>
        <v>216187717</v>
      </c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>
        <v>154777350</v>
      </c>
      <c r="AZ767" s="60"/>
      <c r="BA767" s="60">
        <f>VLOOKUP(B767,[2]Hoja3!J$3:K$674,2,0)</f>
        <v>98660792</v>
      </c>
      <c r="BB767" s="60"/>
      <c r="BC767" s="61">
        <f t="shared" si="103"/>
        <v>469625859</v>
      </c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>
        <v>30955470</v>
      </c>
      <c r="BO767" s="60"/>
      <c r="BP767" s="61">
        <v>500581329</v>
      </c>
      <c r="BQ767" s="61"/>
      <c r="BR767" s="61"/>
      <c r="BS767" s="61"/>
      <c r="BT767" s="61"/>
      <c r="BU767" s="61"/>
      <c r="BV767" s="61"/>
      <c r="BW767" s="61"/>
      <c r="BX767" s="61"/>
      <c r="BY767" s="61"/>
      <c r="BZ767" s="61"/>
      <c r="CA767" s="61"/>
      <c r="CB767" s="61"/>
      <c r="CC767" s="61">
        <v>30955470</v>
      </c>
      <c r="CD767" s="61"/>
      <c r="CE767" s="61"/>
      <c r="CF767" s="61"/>
      <c r="CG767" s="61">
        <f t="shared" si="104"/>
        <v>531536799</v>
      </c>
      <c r="CH767" s="62">
        <f>VLOOKUP(B767,[1]RPTNCT049_ConsultaSaldosContabl!I$4:K$7987,3,0)</f>
        <v>216688290</v>
      </c>
      <c r="CI767" s="62">
        <f t="shared" si="105"/>
        <v>314848509</v>
      </c>
      <c r="CJ767" s="63">
        <f t="shared" si="106"/>
        <v>531536799</v>
      </c>
      <c r="CK767" s="64">
        <f t="shared" si="107"/>
        <v>0</v>
      </c>
      <c r="CL767" s="16"/>
      <c r="CM767" s="16"/>
      <c r="CN767" s="16"/>
    </row>
    <row r="768" spans="1:96" ht="15" customHeight="1" x14ac:dyDescent="0.2">
      <c r="A768" s="1">
        <v>8000791627</v>
      </c>
      <c r="B768" s="1">
        <v>800079162</v>
      </c>
      <c r="C768" s="9">
        <v>218623586</v>
      </c>
      <c r="D768" s="10" t="s">
        <v>454</v>
      </c>
      <c r="E768" s="52" t="s">
        <v>2061</v>
      </c>
      <c r="F768" s="21"/>
      <c r="G768" s="59"/>
      <c r="H768" s="21"/>
      <c r="I768" s="59"/>
      <c r="J768" s="21"/>
      <c r="K768" s="21"/>
      <c r="L768" s="59"/>
      <c r="M768" s="60"/>
      <c r="N768" s="21"/>
      <c r="O768" s="59"/>
      <c r="P768" s="21"/>
      <c r="Q768" s="59"/>
      <c r="R768" s="21"/>
      <c r="S768" s="21"/>
      <c r="T768" s="59"/>
      <c r="U768" s="60">
        <f t="shared" si="102"/>
        <v>0</v>
      </c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>
        <v>231023281</v>
      </c>
      <c r="AN768" s="60">
        <f t="shared" si="111"/>
        <v>231023281</v>
      </c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>
        <v>164222190</v>
      </c>
      <c r="AZ768" s="60"/>
      <c r="BA768" s="60"/>
      <c r="BB768" s="60"/>
      <c r="BC768" s="61">
        <f t="shared" si="103"/>
        <v>395245471</v>
      </c>
      <c r="BD768" s="60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>
        <v>32844438</v>
      </c>
      <c r="BO768" s="60"/>
      <c r="BP768" s="61">
        <v>428089909</v>
      </c>
      <c r="BQ768" s="61"/>
      <c r="BR768" s="61"/>
      <c r="BS768" s="61"/>
      <c r="BT768" s="61"/>
      <c r="BU768" s="61"/>
      <c r="BV768" s="61"/>
      <c r="BW768" s="61"/>
      <c r="BX768" s="61"/>
      <c r="BY768" s="61"/>
      <c r="BZ768" s="61"/>
      <c r="CA768" s="61"/>
      <c r="CB768" s="61"/>
      <c r="CC768" s="61">
        <v>32844438</v>
      </c>
      <c r="CD768" s="61"/>
      <c r="CE768" s="61"/>
      <c r="CF768" s="61"/>
      <c r="CG768" s="61">
        <f t="shared" si="104"/>
        <v>460934347</v>
      </c>
      <c r="CH768" s="62">
        <f>VLOOKUP(B768,[1]RPTNCT049_ConsultaSaldosContabl!I$4:K$7987,3,0)</f>
        <v>229911066</v>
      </c>
      <c r="CI768" s="62">
        <f t="shared" si="105"/>
        <v>231023281</v>
      </c>
      <c r="CJ768" s="63">
        <f t="shared" si="106"/>
        <v>460934347</v>
      </c>
      <c r="CK768" s="64">
        <f t="shared" si="107"/>
        <v>0</v>
      </c>
      <c r="CL768" s="16"/>
      <c r="CM768" s="16"/>
      <c r="CN768" s="16"/>
    </row>
    <row r="769" spans="1:96" ht="15" customHeight="1" x14ac:dyDescent="0.2">
      <c r="A769" s="1">
        <v>8999994328</v>
      </c>
      <c r="B769" s="1">
        <v>899999432</v>
      </c>
      <c r="C769" s="9">
        <v>219225592</v>
      </c>
      <c r="D769" s="10" t="s">
        <v>526</v>
      </c>
      <c r="E769" s="52" t="s">
        <v>2072</v>
      </c>
      <c r="F769" s="21"/>
      <c r="G769" s="59"/>
      <c r="H769" s="21"/>
      <c r="I769" s="59"/>
      <c r="J769" s="21"/>
      <c r="K769" s="21"/>
      <c r="L769" s="59"/>
      <c r="M769" s="60"/>
      <c r="N769" s="21"/>
      <c r="O769" s="59"/>
      <c r="P769" s="21"/>
      <c r="Q769" s="59"/>
      <c r="R769" s="21"/>
      <c r="S769" s="21"/>
      <c r="T769" s="59"/>
      <c r="U769" s="60">
        <f t="shared" si="102"/>
        <v>0</v>
      </c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>
        <v>74664272</v>
      </c>
      <c r="AN769" s="60">
        <f t="shared" si="111"/>
        <v>74664272</v>
      </c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>
        <v>29017770</v>
      </c>
      <c r="AZ769" s="60"/>
      <c r="BA769" s="60"/>
      <c r="BB769" s="60"/>
      <c r="BC769" s="61">
        <f t="shared" si="103"/>
        <v>103682042</v>
      </c>
      <c r="BD769" s="60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>
        <v>5803554</v>
      </c>
      <c r="BO769" s="60"/>
      <c r="BP769" s="61">
        <v>109485596</v>
      </c>
      <c r="BQ769" s="61"/>
      <c r="BR769" s="61"/>
      <c r="BS769" s="61"/>
      <c r="BT769" s="61"/>
      <c r="BU769" s="61"/>
      <c r="BV769" s="61"/>
      <c r="BW769" s="61"/>
      <c r="BX769" s="61"/>
      <c r="BY769" s="61"/>
      <c r="BZ769" s="61"/>
      <c r="CA769" s="61"/>
      <c r="CB769" s="61"/>
      <c r="CC769" s="61">
        <v>5803554</v>
      </c>
      <c r="CD769" s="61"/>
      <c r="CE769" s="61"/>
      <c r="CF769" s="61"/>
      <c r="CG769" s="61">
        <f t="shared" si="104"/>
        <v>115289150</v>
      </c>
      <c r="CH769" s="62">
        <f>VLOOKUP(B769,[1]RPTNCT049_ConsultaSaldosContabl!I$4:K$7987,3,0)</f>
        <v>40624878</v>
      </c>
      <c r="CI769" s="62">
        <f t="shared" si="105"/>
        <v>74664272</v>
      </c>
      <c r="CJ769" s="63">
        <f t="shared" si="106"/>
        <v>115289150</v>
      </c>
      <c r="CK769" s="64">
        <f t="shared" si="107"/>
        <v>0</v>
      </c>
      <c r="CL769" s="16"/>
      <c r="CM769" s="16"/>
      <c r="CN769" s="16"/>
    </row>
    <row r="770" spans="1:96" ht="15" customHeight="1" x14ac:dyDescent="0.2">
      <c r="A770" s="1">
        <v>8000947161</v>
      </c>
      <c r="B770" s="1">
        <v>800094716</v>
      </c>
      <c r="C770" s="9">
        <v>219425594</v>
      </c>
      <c r="D770" s="10" t="s">
        <v>527</v>
      </c>
      <c r="E770" s="52" t="s">
        <v>1552</v>
      </c>
      <c r="F770" s="21"/>
      <c r="G770" s="59"/>
      <c r="H770" s="21"/>
      <c r="I770" s="59"/>
      <c r="J770" s="21"/>
      <c r="K770" s="21"/>
      <c r="L770" s="59"/>
      <c r="M770" s="60"/>
      <c r="N770" s="21"/>
      <c r="O770" s="59"/>
      <c r="P770" s="21"/>
      <c r="Q770" s="59"/>
      <c r="R770" s="21"/>
      <c r="S770" s="21"/>
      <c r="T770" s="59"/>
      <c r="U770" s="60">
        <f t="shared" si="102"/>
        <v>0</v>
      </c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>
        <v>121488105</v>
      </c>
      <c r="AN770" s="60">
        <f t="shared" si="111"/>
        <v>121488105</v>
      </c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>
        <v>44210615</v>
      </c>
      <c r="AZ770" s="60"/>
      <c r="BA770" s="60"/>
      <c r="BB770" s="60"/>
      <c r="BC770" s="61">
        <f t="shared" si="103"/>
        <v>165698720</v>
      </c>
      <c r="BD770" s="60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>
        <v>8842123</v>
      </c>
      <c r="BO770" s="60"/>
      <c r="BP770" s="61">
        <v>174540843</v>
      </c>
      <c r="BQ770" s="61"/>
      <c r="BR770" s="61"/>
      <c r="BS770" s="61"/>
      <c r="BT770" s="61"/>
      <c r="BU770" s="61"/>
      <c r="BV770" s="61"/>
      <c r="BW770" s="61"/>
      <c r="BX770" s="61"/>
      <c r="BY770" s="61"/>
      <c r="BZ770" s="61"/>
      <c r="CA770" s="61"/>
      <c r="CB770" s="61"/>
      <c r="CC770" s="61">
        <v>8842123</v>
      </c>
      <c r="CD770" s="61"/>
      <c r="CE770" s="61"/>
      <c r="CF770" s="61"/>
      <c r="CG770" s="61">
        <f t="shared" si="104"/>
        <v>183382966</v>
      </c>
      <c r="CH770" s="62">
        <f>VLOOKUP(B770,[1]RPTNCT049_ConsultaSaldosContabl!I$4:K$7987,3,0)</f>
        <v>61894861</v>
      </c>
      <c r="CI770" s="62">
        <f t="shared" si="105"/>
        <v>121488105</v>
      </c>
      <c r="CJ770" s="63">
        <f t="shared" si="106"/>
        <v>183382966</v>
      </c>
      <c r="CK770" s="64">
        <f t="shared" si="107"/>
        <v>0</v>
      </c>
      <c r="CL770" s="16"/>
      <c r="CM770" s="16"/>
      <c r="CN770" s="16"/>
    </row>
    <row r="771" spans="1:96" ht="15" customHeight="1" x14ac:dyDescent="0.2">
      <c r="A771" s="1">
        <v>8916800110</v>
      </c>
      <c r="B771" s="1">
        <v>891680011</v>
      </c>
      <c r="C771" s="9">
        <v>210127001</v>
      </c>
      <c r="D771" s="10" t="s">
        <v>2198</v>
      </c>
      <c r="E771" s="53" t="s">
        <v>1059</v>
      </c>
      <c r="F771" s="21"/>
      <c r="G771" s="59"/>
      <c r="H771" s="21"/>
      <c r="I771" s="59">
        <f>5531319458+80732259</f>
        <v>5612051717</v>
      </c>
      <c r="J771" s="21">
        <v>387466960</v>
      </c>
      <c r="K771" s="21">
        <v>771372899</v>
      </c>
      <c r="L771" s="59"/>
      <c r="M771" s="61">
        <f>SUM(F771:L771)</f>
        <v>6770891576</v>
      </c>
      <c r="N771" s="21"/>
      <c r="O771" s="59"/>
      <c r="P771" s="21"/>
      <c r="Q771" s="59">
        <f>5119020699+661254000+36696481</f>
        <v>5816971180</v>
      </c>
      <c r="R771" s="21">
        <v>387466960</v>
      </c>
      <c r="S771" s="21">
        <f>383905939+387466960</f>
        <v>771372899</v>
      </c>
      <c r="T771" s="59"/>
      <c r="U771" s="60">
        <f t="shared" ref="U771:U834" si="112">SUM(M771:T771)</f>
        <v>13746702615</v>
      </c>
      <c r="V771" s="60"/>
      <c r="W771" s="60"/>
      <c r="X771" s="60"/>
      <c r="Y771" s="60">
        <v>8815706288</v>
      </c>
      <c r="Z771" s="60">
        <v>399172544</v>
      </c>
      <c r="AA771" s="60">
        <v>906145530</v>
      </c>
      <c r="AB771" s="60"/>
      <c r="AC771" s="60">
        <f t="shared" si="108"/>
        <v>23867726977</v>
      </c>
      <c r="AD771" s="60"/>
      <c r="AE771" s="60"/>
      <c r="AF771" s="60"/>
      <c r="AG771" s="60"/>
      <c r="AH771" s="60">
        <v>5790771394</v>
      </c>
      <c r="AI771" s="60">
        <v>513151628</v>
      </c>
      <c r="AJ771" s="60">
        <v>400662263</v>
      </c>
      <c r="AK771" s="60">
        <v>1010955132</v>
      </c>
      <c r="AL771" s="60"/>
      <c r="AM771" s="60">
        <v>1521674598</v>
      </c>
      <c r="AN771" s="60">
        <f t="shared" si="111"/>
        <v>33104941992</v>
      </c>
      <c r="AO771" s="60"/>
      <c r="AP771" s="60"/>
      <c r="AQ771" s="60">
        <v>1934807865</v>
      </c>
      <c r="AR771" s="60"/>
      <c r="AS771" s="60"/>
      <c r="AT771" s="60">
        <v>5790771394</v>
      </c>
      <c r="AU771" s="60">
        <v>299990747</v>
      </c>
      <c r="AV771" s="60">
        <v>400662263</v>
      </c>
      <c r="AW771" s="60">
        <v>684641924</v>
      </c>
      <c r="AX771" s="60"/>
      <c r="AY771" s="60"/>
      <c r="AZ771" s="60"/>
      <c r="BA771" s="60">
        <f>VLOOKUP(B771,[2]Hoja3!J$3:K$674,2,0)</f>
        <v>658832398</v>
      </c>
      <c r="BB771" s="60"/>
      <c r="BC771" s="61">
        <f t="shared" si="103"/>
        <v>42874648583</v>
      </c>
      <c r="BD771" s="60"/>
      <c r="BE771" s="60"/>
      <c r="BF771" s="60">
        <v>386961573</v>
      </c>
      <c r="BG771" s="60"/>
      <c r="BH771" s="60"/>
      <c r="BI771" s="60">
        <v>5920235838</v>
      </c>
      <c r="BJ771" s="60">
        <v>411595415</v>
      </c>
      <c r="BK771" s="60">
        <v>373089292</v>
      </c>
      <c r="BL771" s="60">
        <v>953285380</v>
      </c>
      <c r="BM771" s="60"/>
      <c r="BN771" s="60"/>
      <c r="BO771" s="60"/>
      <c r="BP771" s="61">
        <v>50919816081</v>
      </c>
      <c r="BQ771" s="61"/>
      <c r="BR771" s="61"/>
      <c r="BS771" s="61">
        <v>386961573</v>
      </c>
      <c r="BT771" s="61"/>
      <c r="BU771" s="61"/>
      <c r="BV771" s="61"/>
      <c r="BW771" s="61">
        <v>5699215784</v>
      </c>
      <c r="BX771" s="61"/>
      <c r="BY771" s="61">
        <v>2598227997</v>
      </c>
      <c r="BZ771" s="61">
        <v>392733766</v>
      </c>
      <c r="CA771" s="61">
        <v>1046409095</v>
      </c>
      <c r="CB771" s="61"/>
      <c r="CC771" s="61"/>
      <c r="CD771" s="61"/>
      <c r="CE771" s="61"/>
      <c r="CF771" s="61"/>
      <c r="CG771" s="61">
        <f t="shared" si="104"/>
        <v>61043364296</v>
      </c>
      <c r="CH771" s="62">
        <f>VLOOKUP(B771,[1]RPTNCT049_ConsultaSaldosContabl!I$4:K$7987,3,0)</f>
        <v>58862857300</v>
      </c>
      <c r="CI771" s="62">
        <f t="shared" si="105"/>
        <v>2180506996</v>
      </c>
      <c r="CJ771" s="63">
        <f t="shared" si="106"/>
        <v>61043364296</v>
      </c>
      <c r="CK771" s="64">
        <f t="shared" si="107"/>
        <v>0</v>
      </c>
      <c r="CL771" s="16"/>
      <c r="CM771" s="16"/>
      <c r="CN771" s="16"/>
    </row>
    <row r="772" spans="1:96" ht="15" customHeight="1" x14ac:dyDescent="0.2">
      <c r="A772" s="1">
        <v>8900006134</v>
      </c>
      <c r="B772" s="1">
        <v>890000613</v>
      </c>
      <c r="C772" s="9">
        <v>219463594</v>
      </c>
      <c r="D772" s="10" t="s">
        <v>798</v>
      </c>
      <c r="E772" s="52" t="s">
        <v>1815</v>
      </c>
      <c r="F772" s="21"/>
      <c r="G772" s="59"/>
      <c r="H772" s="21"/>
      <c r="I772" s="59"/>
      <c r="J772" s="21"/>
      <c r="K772" s="21"/>
      <c r="L772" s="59"/>
      <c r="M772" s="60"/>
      <c r="N772" s="21"/>
      <c r="O772" s="59"/>
      <c r="P772" s="21"/>
      <c r="Q772" s="59"/>
      <c r="R772" s="21"/>
      <c r="S772" s="21"/>
      <c r="T772" s="59"/>
      <c r="U772" s="60">
        <f t="shared" si="112"/>
        <v>0</v>
      </c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>
        <v>395320219</v>
      </c>
      <c r="AN772" s="60">
        <f t="shared" si="111"/>
        <v>395320219</v>
      </c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>
        <v>228619770</v>
      </c>
      <c r="AZ772" s="60"/>
      <c r="BA772" s="60"/>
      <c r="BB772" s="60"/>
      <c r="BC772" s="61">
        <f t="shared" ref="BC772:BC835" si="113">SUM(AN772:BA772)-BB772</f>
        <v>623939989</v>
      </c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>
        <v>45723954</v>
      </c>
      <c r="BO772" s="60"/>
      <c r="BP772" s="61">
        <v>669663943</v>
      </c>
      <c r="BQ772" s="61"/>
      <c r="BR772" s="61"/>
      <c r="BS772" s="61"/>
      <c r="BT772" s="61"/>
      <c r="BU772" s="61"/>
      <c r="BV772" s="61"/>
      <c r="BW772" s="61"/>
      <c r="BX772" s="61"/>
      <c r="BY772" s="61"/>
      <c r="BZ772" s="61"/>
      <c r="CA772" s="61"/>
      <c r="CB772" s="61"/>
      <c r="CC772" s="61">
        <v>45723954</v>
      </c>
      <c r="CD772" s="61"/>
      <c r="CE772" s="61"/>
      <c r="CF772" s="61"/>
      <c r="CG772" s="61">
        <f t="shared" ref="CG772:CG835" si="114">SUM(BP772:CF772)</f>
        <v>715387897</v>
      </c>
      <c r="CH772" s="62">
        <f>VLOOKUP(B772,[1]RPTNCT049_ConsultaSaldosContabl!I$4:K$7987,3,0)</f>
        <v>320067678</v>
      </c>
      <c r="CI772" s="62">
        <f t="shared" ref="CI772:CI835" si="115">+AM772+BA772-BB772+BO772+CE772+CF772</f>
        <v>395320219</v>
      </c>
      <c r="CJ772" s="63">
        <f t="shared" ref="CJ772:CJ835" si="116">+CH772+CI772</f>
        <v>715387897</v>
      </c>
      <c r="CK772" s="64">
        <f t="shared" ref="CK772:CK835" si="117">+CG772-CJ772</f>
        <v>0</v>
      </c>
      <c r="CL772" s="16"/>
      <c r="CM772" s="16"/>
      <c r="CN772" s="16"/>
    </row>
    <row r="773" spans="1:96" ht="15" customHeight="1" x14ac:dyDescent="0.2">
      <c r="A773" s="1">
        <v>8914800327</v>
      </c>
      <c r="B773" s="1">
        <v>891480032</v>
      </c>
      <c r="C773" s="9">
        <v>219466594</v>
      </c>
      <c r="D773" s="10" t="s">
        <v>809</v>
      </c>
      <c r="E773" s="52" t="s">
        <v>1826</v>
      </c>
      <c r="F773" s="21"/>
      <c r="G773" s="59"/>
      <c r="H773" s="21"/>
      <c r="I773" s="59"/>
      <c r="J773" s="21"/>
      <c r="K773" s="21"/>
      <c r="L773" s="59"/>
      <c r="M773" s="60"/>
      <c r="N773" s="21"/>
      <c r="O773" s="59"/>
      <c r="P773" s="21"/>
      <c r="Q773" s="59"/>
      <c r="R773" s="21"/>
      <c r="S773" s="21"/>
      <c r="T773" s="59"/>
      <c r="U773" s="60">
        <f t="shared" si="112"/>
        <v>0</v>
      </c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>
        <v>444473124</v>
      </c>
      <c r="AN773" s="60">
        <f t="shared" si="111"/>
        <v>444473124</v>
      </c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>
        <v>202304625</v>
      </c>
      <c r="AZ773" s="60"/>
      <c r="BA773" s="60"/>
      <c r="BB773" s="60"/>
      <c r="BC773" s="61">
        <f t="shared" si="113"/>
        <v>646777749</v>
      </c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>
        <v>40460925</v>
      </c>
      <c r="BO773" s="60"/>
      <c r="BP773" s="61">
        <v>687238674</v>
      </c>
      <c r="BQ773" s="61"/>
      <c r="BR773" s="61"/>
      <c r="BS773" s="61"/>
      <c r="BT773" s="61"/>
      <c r="BU773" s="61"/>
      <c r="BV773" s="61"/>
      <c r="BW773" s="61"/>
      <c r="BX773" s="61"/>
      <c r="BY773" s="61"/>
      <c r="BZ773" s="61"/>
      <c r="CA773" s="61"/>
      <c r="CB773" s="61"/>
      <c r="CC773" s="61">
        <v>40460925</v>
      </c>
      <c r="CD773" s="61"/>
      <c r="CE773" s="61"/>
      <c r="CF773" s="61"/>
      <c r="CG773" s="61">
        <f t="shared" si="114"/>
        <v>727699599</v>
      </c>
      <c r="CH773" s="62">
        <f>VLOOKUP(B773,[1]RPTNCT049_ConsultaSaldosContabl!I$4:K$7987,3,0)</f>
        <v>283226475</v>
      </c>
      <c r="CI773" s="62">
        <f t="shared" si="115"/>
        <v>444473124</v>
      </c>
      <c r="CJ773" s="63">
        <f t="shared" si="116"/>
        <v>727699599</v>
      </c>
      <c r="CK773" s="64">
        <f t="shared" si="117"/>
        <v>0</v>
      </c>
      <c r="CL773" s="16"/>
      <c r="CM773" s="16"/>
      <c r="CN773" s="16"/>
    </row>
    <row r="774" spans="1:96" ht="15" customHeight="1" x14ac:dyDescent="0.2">
      <c r="A774" s="1">
        <v>8000295135</v>
      </c>
      <c r="B774" s="1">
        <v>800029513</v>
      </c>
      <c r="C774" s="9">
        <v>218015580</v>
      </c>
      <c r="D774" s="10" t="s">
        <v>289</v>
      </c>
      <c r="E774" s="52" t="s">
        <v>1321</v>
      </c>
      <c r="F774" s="21"/>
      <c r="G774" s="59"/>
      <c r="H774" s="21"/>
      <c r="I774" s="59"/>
      <c r="J774" s="21"/>
      <c r="K774" s="21"/>
      <c r="L774" s="59"/>
      <c r="M774" s="60"/>
      <c r="N774" s="21"/>
      <c r="O774" s="59"/>
      <c r="P774" s="21"/>
      <c r="Q774" s="59"/>
      <c r="R774" s="21"/>
      <c r="S774" s="21"/>
      <c r="T774" s="59"/>
      <c r="U774" s="60">
        <f t="shared" si="112"/>
        <v>0</v>
      </c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>
        <v>45941454</v>
      </c>
      <c r="AN774" s="60">
        <f t="shared" si="111"/>
        <v>45941454</v>
      </c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>
        <v>52363680</v>
      </c>
      <c r="AZ774" s="60"/>
      <c r="BA774" s="60">
        <f>VLOOKUP(B774,[2]Hoja3!J$3:K$674,2,0)</f>
        <v>36977590</v>
      </c>
      <c r="BB774" s="60"/>
      <c r="BC774" s="61">
        <f t="shared" si="113"/>
        <v>135282724</v>
      </c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>
        <v>10472736</v>
      </c>
      <c r="BO774" s="60"/>
      <c r="BP774" s="61">
        <v>145755460</v>
      </c>
      <c r="BQ774" s="61"/>
      <c r="BR774" s="61"/>
      <c r="BS774" s="61"/>
      <c r="BT774" s="61"/>
      <c r="BU774" s="61"/>
      <c r="BV774" s="61"/>
      <c r="BW774" s="61"/>
      <c r="BX774" s="61"/>
      <c r="BY774" s="61"/>
      <c r="BZ774" s="61"/>
      <c r="CA774" s="61"/>
      <c r="CB774" s="61"/>
      <c r="CC774" s="61">
        <v>10472736</v>
      </c>
      <c r="CD774" s="61"/>
      <c r="CE774" s="61"/>
      <c r="CF774" s="61"/>
      <c r="CG774" s="61">
        <f t="shared" si="114"/>
        <v>156228196</v>
      </c>
      <c r="CH774" s="62">
        <f>VLOOKUP(B774,[1]RPTNCT049_ConsultaSaldosContabl!I$4:K$7987,3,0)</f>
        <v>73309152</v>
      </c>
      <c r="CI774" s="62">
        <f t="shared" si="115"/>
        <v>82919044</v>
      </c>
      <c r="CJ774" s="63">
        <f t="shared" si="116"/>
        <v>156228196</v>
      </c>
      <c r="CK774" s="64">
        <f t="shared" si="117"/>
        <v>0</v>
      </c>
      <c r="CL774" s="16"/>
      <c r="CM774" s="8"/>
      <c r="CN774" s="8"/>
      <c r="CO774" s="8"/>
      <c r="CP774" s="8"/>
      <c r="CQ774" s="8"/>
      <c r="CR774" s="8"/>
    </row>
    <row r="775" spans="1:96" ht="15" customHeight="1" x14ac:dyDescent="0.2">
      <c r="A775" s="1">
        <v>8999994310</v>
      </c>
      <c r="B775" s="1">
        <v>899999431</v>
      </c>
      <c r="C775" s="9">
        <v>219625596</v>
      </c>
      <c r="D775" s="10" t="s">
        <v>528</v>
      </c>
      <c r="E775" s="52" t="s">
        <v>1553</v>
      </c>
      <c r="F775" s="21"/>
      <c r="G775" s="59"/>
      <c r="H775" s="21"/>
      <c r="I775" s="59"/>
      <c r="J775" s="21"/>
      <c r="K775" s="21"/>
      <c r="L775" s="59"/>
      <c r="M775" s="60"/>
      <c r="N775" s="21"/>
      <c r="O775" s="59"/>
      <c r="P775" s="21"/>
      <c r="Q775" s="59"/>
      <c r="R775" s="21"/>
      <c r="S775" s="21"/>
      <c r="T775" s="59"/>
      <c r="U775" s="60">
        <f t="shared" si="112"/>
        <v>0</v>
      </c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>
        <v>107984536</v>
      </c>
      <c r="AN775" s="60">
        <f t="shared" si="111"/>
        <v>107984536</v>
      </c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>
        <v>62635840</v>
      </c>
      <c r="AZ775" s="60"/>
      <c r="BA775" s="60"/>
      <c r="BB775" s="60"/>
      <c r="BC775" s="61">
        <f t="shared" si="113"/>
        <v>170620376</v>
      </c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>
        <v>12527168</v>
      </c>
      <c r="BO775" s="60"/>
      <c r="BP775" s="61">
        <v>183147544</v>
      </c>
      <c r="BQ775" s="61"/>
      <c r="BR775" s="61"/>
      <c r="BS775" s="61"/>
      <c r="BT775" s="61"/>
      <c r="BU775" s="61"/>
      <c r="BV775" s="61"/>
      <c r="BW775" s="61"/>
      <c r="BX775" s="61"/>
      <c r="BY775" s="61"/>
      <c r="BZ775" s="61"/>
      <c r="CA775" s="61"/>
      <c r="CB775" s="61"/>
      <c r="CC775" s="61">
        <v>12527168</v>
      </c>
      <c r="CD775" s="61"/>
      <c r="CE775" s="61"/>
      <c r="CF775" s="61"/>
      <c r="CG775" s="61">
        <f t="shared" si="114"/>
        <v>195674712</v>
      </c>
      <c r="CH775" s="62">
        <f>VLOOKUP(B775,[1]RPTNCT049_ConsultaSaldosContabl!I$4:K$7987,3,0)</f>
        <v>87690176</v>
      </c>
      <c r="CI775" s="62">
        <f t="shared" si="115"/>
        <v>107984536</v>
      </c>
      <c r="CJ775" s="63">
        <f t="shared" si="116"/>
        <v>195674712</v>
      </c>
      <c r="CK775" s="64">
        <f t="shared" si="117"/>
        <v>0</v>
      </c>
      <c r="CL775" s="16"/>
      <c r="CM775" s="16"/>
      <c r="CN775" s="16"/>
    </row>
    <row r="776" spans="1:96" ht="15" customHeight="1" x14ac:dyDescent="0.2">
      <c r="A776" s="1">
        <v>8000992511</v>
      </c>
      <c r="B776" s="1">
        <v>800099251</v>
      </c>
      <c r="C776" s="9">
        <v>219954599</v>
      </c>
      <c r="D776" s="10" t="s">
        <v>778</v>
      </c>
      <c r="E776" s="52" t="s">
        <v>1795</v>
      </c>
      <c r="F776" s="21"/>
      <c r="G776" s="59"/>
      <c r="H776" s="21"/>
      <c r="I776" s="59"/>
      <c r="J776" s="21"/>
      <c r="K776" s="21"/>
      <c r="L776" s="59"/>
      <c r="M776" s="60"/>
      <c r="N776" s="21"/>
      <c r="O776" s="59"/>
      <c r="P776" s="21"/>
      <c r="Q776" s="59"/>
      <c r="R776" s="21"/>
      <c r="S776" s="21"/>
      <c r="T776" s="59"/>
      <c r="U776" s="60">
        <f t="shared" si="112"/>
        <v>0</v>
      </c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>
        <v>32826620</v>
      </c>
      <c r="AZ776" s="60"/>
      <c r="BA776" s="60">
        <f>VLOOKUP(B776,[2]Hoja3!J$3:K$674,2,0)</f>
        <v>67278153</v>
      </c>
      <c r="BB776" s="60"/>
      <c r="BC776" s="61">
        <f t="shared" si="113"/>
        <v>100104773</v>
      </c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>
        <v>6565324</v>
      </c>
      <c r="BO776" s="60"/>
      <c r="BP776" s="61">
        <v>106670097</v>
      </c>
      <c r="BQ776" s="61"/>
      <c r="BR776" s="61"/>
      <c r="BS776" s="61"/>
      <c r="BT776" s="61"/>
      <c r="BU776" s="61"/>
      <c r="BV776" s="61"/>
      <c r="BW776" s="61"/>
      <c r="BX776" s="61"/>
      <c r="BY776" s="61"/>
      <c r="BZ776" s="61"/>
      <c r="CA776" s="61"/>
      <c r="CB776" s="61"/>
      <c r="CC776" s="61">
        <v>6565324</v>
      </c>
      <c r="CD776" s="61"/>
      <c r="CE776" s="61"/>
      <c r="CF776" s="61"/>
      <c r="CG776" s="61">
        <f t="shared" si="114"/>
        <v>113235421</v>
      </c>
      <c r="CH776" s="62">
        <f>VLOOKUP(B776,[1]RPTNCT049_ConsultaSaldosContabl!I$4:K$7987,3,0)</f>
        <v>45957268</v>
      </c>
      <c r="CI776" s="62">
        <f t="shared" si="115"/>
        <v>67278153</v>
      </c>
      <c r="CJ776" s="63">
        <f t="shared" si="116"/>
        <v>113235421</v>
      </c>
      <c r="CK776" s="64">
        <f t="shared" si="117"/>
        <v>0</v>
      </c>
      <c r="CL776" s="16"/>
      <c r="CM776" s="16"/>
      <c r="CN776" s="16"/>
    </row>
    <row r="777" spans="1:96" ht="15" customHeight="1" x14ac:dyDescent="0.2">
      <c r="A777" s="1">
        <v>8918012806</v>
      </c>
      <c r="B777" s="1">
        <v>891801280</v>
      </c>
      <c r="C777" s="9">
        <v>219915599</v>
      </c>
      <c r="D777" s="10" t="s">
        <v>290</v>
      </c>
      <c r="E777" s="52" t="s">
        <v>1260</v>
      </c>
      <c r="F777" s="21"/>
      <c r="G777" s="59"/>
      <c r="H777" s="21"/>
      <c r="I777" s="59"/>
      <c r="J777" s="21"/>
      <c r="K777" s="21"/>
      <c r="L777" s="59"/>
      <c r="M777" s="60"/>
      <c r="N777" s="21"/>
      <c r="O777" s="59"/>
      <c r="P777" s="21"/>
      <c r="Q777" s="59"/>
      <c r="R777" s="21"/>
      <c r="S777" s="21"/>
      <c r="T777" s="59"/>
      <c r="U777" s="60">
        <f t="shared" si="112"/>
        <v>0</v>
      </c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>
        <v>75716940</v>
      </c>
      <c r="AZ777" s="60"/>
      <c r="BA777" s="60">
        <f>VLOOKUP(B777,[2]Hoja3!J$3:K$674,2,0)</f>
        <v>163825075</v>
      </c>
      <c r="BB777" s="60"/>
      <c r="BC777" s="61">
        <f t="shared" si="113"/>
        <v>239542015</v>
      </c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>
        <v>15143388</v>
      </c>
      <c r="BO777" s="60"/>
      <c r="BP777" s="61">
        <v>254685403</v>
      </c>
      <c r="BQ777" s="61"/>
      <c r="BR777" s="61"/>
      <c r="BS777" s="61"/>
      <c r="BT777" s="61"/>
      <c r="BU777" s="61"/>
      <c r="BV777" s="61"/>
      <c r="BW777" s="61"/>
      <c r="BX777" s="61"/>
      <c r="BY777" s="61"/>
      <c r="BZ777" s="61"/>
      <c r="CA777" s="61"/>
      <c r="CB777" s="61"/>
      <c r="CC777" s="61">
        <v>15143388</v>
      </c>
      <c r="CD777" s="61"/>
      <c r="CE777" s="61"/>
      <c r="CF777" s="61"/>
      <c r="CG777" s="61">
        <f t="shared" si="114"/>
        <v>269828791</v>
      </c>
      <c r="CH777" s="62">
        <f>VLOOKUP(B777,[1]RPTNCT049_ConsultaSaldosContabl!I$4:K$7987,3,0)</f>
        <v>106003716</v>
      </c>
      <c r="CI777" s="62">
        <f t="shared" si="115"/>
        <v>163825075</v>
      </c>
      <c r="CJ777" s="63">
        <f t="shared" si="116"/>
        <v>269828791</v>
      </c>
      <c r="CK777" s="64">
        <f t="shared" si="117"/>
        <v>0</v>
      </c>
      <c r="CL777" s="16"/>
      <c r="CM777" s="8"/>
      <c r="CN777" s="8"/>
      <c r="CO777" s="8"/>
      <c r="CP777" s="8"/>
      <c r="CQ777" s="8"/>
      <c r="CR777" s="8"/>
    </row>
    <row r="778" spans="1:96" ht="15" customHeight="1" x14ac:dyDescent="0.2">
      <c r="A778" s="1">
        <v>8918012440</v>
      </c>
      <c r="B778" s="1">
        <v>891801244</v>
      </c>
      <c r="C778" s="9">
        <v>210015600</v>
      </c>
      <c r="D778" s="10" t="s">
        <v>291</v>
      </c>
      <c r="E778" s="52" t="s">
        <v>1322</v>
      </c>
      <c r="F778" s="21"/>
      <c r="G778" s="59"/>
      <c r="H778" s="21"/>
      <c r="I778" s="59"/>
      <c r="J778" s="21"/>
      <c r="K778" s="21"/>
      <c r="L778" s="59"/>
      <c r="M778" s="60"/>
      <c r="N778" s="21"/>
      <c r="O778" s="59"/>
      <c r="P778" s="21"/>
      <c r="Q778" s="59"/>
      <c r="R778" s="21"/>
      <c r="S778" s="21"/>
      <c r="T778" s="59"/>
      <c r="U778" s="60">
        <f t="shared" si="112"/>
        <v>0</v>
      </c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>
        <v>58546675</v>
      </c>
      <c r="AZ778" s="60"/>
      <c r="BA778" s="60">
        <f>VLOOKUP(B778,[2]Hoja3!J$3:K$674,2,0)</f>
        <v>95951690</v>
      </c>
      <c r="BB778" s="60"/>
      <c r="BC778" s="61">
        <f t="shared" si="113"/>
        <v>154498365</v>
      </c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>
        <v>11709335</v>
      </c>
      <c r="BO778" s="60"/>
      <c r="BP778" s="61">
        <v>166207700</v>
      </c>
      <c r="BQ778" s="61"/>
      <c r="BR778" s="61"/>
      <c r="BS778" s="61"/>
      <c r="BT778" s="61"/>
      <c r="BU778" s="61"/>
      <c r="BV778" s="61"/>
      <c r="BW778" s="61"/>
      <c r="BX778" s="61"/>
      <c r="BY778" s="61"/>
      <c r="BZ778" s="61"/>
      <c r="CA778" s="61"/>
      <c r="CB778" s="61"/>
      <c r="CC778" s="61">
        <v>11709335</v>
      </c>
      <c r="CD778" s="61"/>
      <c r="CE778" s="61"/>
      <c r="CF778" s="61"/>
      <c r="CG778" s="61">
        <f t="shared" si="114"/>
        <v>177917035</v>
      </c>
      <c r="CH778" s="62">
        <f>VLOOKUP(B778,[1]RPTNCT049_ConsultaSaldosContabl!I$4:K$7987,3,0)</f>
        <v>81965345</v>
      </c>
      <c r="CI778" s="62">
        <f t="shared" si="115"/>
        <v>95951690</v>
      </c>
      <c r="CJ778" s="63">
        <f t="shared" si="116"/>
        <v>177917035</v>
      </c>
      <c r="CK778" s="64">
        <f t="shared" si="117"/>
        <v>0</v>
      </c>
      <c r="CL778" s="16"/>
      <c r="CM778" s="8"/>
      <c r="CN778" s="8"/>
      <c r="CO778" s="8"/>
      <c r="CP778" s="8"/>
      <c r="CQ778" s="8"/>
      <c r="CR778" s="8"/>
    </row>
    <row r="779" spans="1:96" ht="15" customHeight="1" x14ac:dyDescent="0.2">
      <c r="A779" s="1">
        <v>8001036613</v>
      </c>
      <c r="B779" s="1">
        <v>800103661</v>
      </c>
      <c r="C779" s="9">
        <v>217985279</v>
      </c>
      <c r="D779" s="10" t="s">
        <v>966</v>
      </c>
      <c r="E779" s="52" t="s">
        <v>2026</v>
      </c>
      <c r="F779" s="21"/>
      <c r="G779" s="59"/>
      <c r="H779" s="21"/>
      <c r="I779" s="59"/>
      <c r="J779" s="21"/>
      <c r="K779" s="21"/>
      <c r="L779" s="59"/>
      <c r="M779" s="60"/>
      <c r="N779" s="21"/>
      <c r="O779" s="59"/>
      <c r="P779" s="21"/>
      <c r="Q779" s="59"/>
      <c r="R779" s="21"/>
      <c r="S779" s="21"/>
      <c r="T779" s="59"/>
      <c r="U779" s="60">
        <f t="shared" si="112"/>
        <v>0</v>
      </c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>
        <v>15330475</v>
      </c>
      <c r="AN779" s="60">
        <f>SUBTOTAL(9,AC779:AM779)</f>
        <v>15330475</v>
      </c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>
        <v>11374715</v>
      </c>
      <c r="AZ779" s="60"/>
      <c r="BA779" s="60"/>
      <c r="BB779" s="60"/>
      <c r="BC779" s="61">
        <f t="shared" si="113"/>
        <v>26705190</v>
      </c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>
        <v>2274943</v>
      </c>
      <c r="BO779" s="60"/>
      <c r="BP779" s="61">
        <v>28980133</v>
      </c>
      <c r="BQ779" s="61"/>
      <c r="BR779" s="61"/>
      <c r="BS779" s="61"/>
      <c r="BT779" s="61"/>
      <c r="BU779" s="61"/>
      <c r="BV779" s="61"/>
      <c r="BW779" s="61"/>
      <c r="BX779" s="61"/>
      <c r="BY779" s="61"/>
      <c r="BZ779" s="61"/>
      <c r="CA779" s="61"/>
      <c r="CB779" s="61"/>
      <c r="CC779" s="61">
        <v>2274943</v>
      </c>
      <c r="CD779" s="61"/>
      <c r="CE779" s="61"/>
      <c r="CF779" s="61"/>
      <c r="CG779" s="61">
        <f t="shared" si="114"/>
        <v>31255076</v>
      </c>
      <c r="CH779" s="62">
        <f>VLOOKUP(B779,[1]RPTNCT049_ConsultaSaldosContabl!I$4:K$7987,3,0)</f>
        <v>15924601</v>
      </c>
      <c r="CI779" s="62">
        <f t="shared" si="115"/>
        <v>15330475</v>
      </c>
      <c r="CJ779" s="63">
        <f t="shared" si="116"/>
        <v>31255076</v>
      </c>
      <c r="CK779" s="64">
        <f t="shared" si="117"/>
        <v>0</v>
      </c>
      <c r="CL779" s="16"/>
      <c r="CM779" s="16"/>
      <c r="CN779" s="16"/>
    </row>
    <row r="780" spans="1:96" ht="15" customHeight="1" x14ac:dyDescent="0.2">
      <c r="A780" s="1">
        <v>8060012741</v>
      </c>
      <c r="B780" s="1">
        <v>806001274</v>
      </c>
      <c r="C780" s="9">
        <v>218013580</v>
      </c>
      <c r="D780" s="10" t="s">
        <v>201</v>
      </c>
      <c r="E780" s="52" t="s">
        <v>1232</v>
      </c>
      <c r="F780" s="21"/>
      <c r="G780" s="59"/>
      <c r="H780" s="21"/>
      <c r="I780" s="59"/>
      <c r="J780" s="21"/>
      <c r="K780" s="21"/>
      <c r="L780" s="59"/>
      <c r="M780" s="60"/>
      <c r="N780" s="21"/>
      <c r="O780" s="59"/>
      <c r="P780" s="21"/>
      <c r="Q780" s="59"/>
      <c r="R780" s="21"/>
      <c r="S780" s="21"/>
      <c r="T780" s="59"/>
      <c r="U780" s="60">
        <f t="shared" si="112"/>
        <v>0</v>
      </c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>
        <v>45518341</v>
      </c>
      <c r="AN780" s="60">
        <f>SUBTOTAL(9,AC780:AM780)</f>
        <v>45518341</v>
      </c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>
        <f>VLOOKUP(B780,[2]Hoja3!J$3:K$674,2,0)</f>
        <v>58239050</v>
      </c>
      <c r="BB780" s="60"/>
      <c r="BC780" s="61">
        <f t="shared" si="113"/>
        <v>103757391</v>
      </c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>
        <v>0</v>
      </c>
      <c r="BO780" s="60"/>
      <c r="BP780" s="61">
        <v>103757391</v>
      </c>
      <c r="BQ780" s="61"/>
      <c r="BR780" s="61"/>
      <c r="BS780" s="61"/>
      <c r="BT780" s="61"/>
      <c r="BU780" s="61"/>
      <c r="BV780" s="61"/>
      <c r="BW780" s="61"/>
      <c r="BX780" s="61"/>
      <c r="BY780" s="61"/>
      <c r="BZ780" s="61"/>
      <c r="CA780" s="61"/>
      <c r="CB780" s="61"/>
      <c r="CC780" s="61">
        <v>0</v>
      </c>
      <c r="CD780" s="61"/>
      <c r="CE780" s="61"/>
      <c r="CF780" s="61"/>
      <c r="CG780" s="61">
        <f t="shared" si="114"/>
        <v>103757391</v>
      </c>
      <c r="CH780" s="62"/>
      <c r="CI780" s="62">
        <f t="shared" si="115"/>
        <v>103757391</v>
      </c>
      <c r="CJ780" s="63">
        <f t="shared" si="116"/>
        <v>103757391</v>
      </c>
      <c r="CK780" s="64">
        <f t="shared" si="117"/>
        <v>0</v>
      </c>
      <c r="CL780" s="16"/>
      <c r="CM780" s="8"/>
      <c r="CN780" s="8"/>
      <c r="CO780" s="8"/>
      <c r="CP780" s="8"/>
      <c r="CQ780" s="8"/>
      <c r="CR780" s="8"/>
    </row>
    <row r="781" spans="1:96" ht="15" customHeight="1" x14ac:dyDescent="0.2">
      <c r="A781" s="1">
        <v>8909843124</v>
      </c>
      <c r="B781" s="1">
        <v>890984312</v>
      </c>
      <c r="C781" s="9">
        <v>210405604</v>
      </c>
      <c r="D781" s="10" t="s">
        <v>121</v>
      </c>
      <c r="E781" s="52" t="s">
        <v>1122</v>
      </c>
      <c r="F781" s="21"/>
      <c r="G781" s="59"/>
      <c r="H781" s="21"/>
      <c r="I781" s="59"/>
      <c r="J781" s="21"/>
      <c r="K781" s="21"/>
      <c r="L781" s="59"/>
      <c r="M781" s="60"/>
      <c r="N781" s="21"/>
      <c r="O781" s="59"/>
      <c r="P781" s="21"/>
      <c r="Q781" s="59"/>
      <c r="R781" s="21"/>
      <c r="S781" s="21"/>
      <c r="T781" s="59"/>
      <c r="U781" s="60">
        <f t="shared" si="112"/>
        <v>0</v>
      </c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>
        <v>256881985</v>
      </c>
      <c r="AZ781" s="60"/>
      <c r="BA781" s="60">
        <f>VLOOKUP(B781,[2]Hoja3!J$3:K$674,2,0)</f>
        <v>481763802</v>
      </c>
      <c r="BB781" s="60"/>
      <c r="BC781" s="61">
        <f t="shared" si="113"/>
        <v>738645787</v>
      </c>
      <c r="BD781" s="60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>
        <v>51376397</v>
      </c>
      <c r="BO781" s="60"/>
      <c r="BP781" s="61">
        <v>790022184</v>
      </c>
      <c r="BQ781" s="61"/>
      <c r="BR781" s="61"/>
      <c r="BS781" s="61"/>
      <c r="BT781" s="61"/>
      <c r="BU781" s="61"/>
      <c r="BV781" s="61"/>
      <c r="BW781" s="61"/>
      <c r="BX781" s="61"/>
      <c r="BY781" s="61"/>
      <c r="BZ781" s="61"/>
      <c r="CA781" s="61"/>
      <c r="CB781" s="61"/>
      <c r="CC781" s="61">
        <v>51376397</v>
      </c>
      <c r="CD781" s="61"/>
      <c r="CE781" s="61"/>
      <c r="CF781" s="61"/>
      <c r="CG781" s="61">
        <f t="shared" si="114"/>
        <v>841398581</v>
      </c>
      <c r="CH781" s="62">
        <f>VLOOKUP(B781,[1]RPTNCT049_ConsultaSaldosContabl!I$4:K$7987,3,0)</f>
        <v>359634779</v>
      </c>
      <c r="CI781" s="62">
        <f t="shared" si="115"/>
        <v>481763802</v>
      </c>
      <c r="CJ781" s="63">
        <f t="shared" si="116"/>
        <v>841398581</v>
      </c>
      <c r="CK781" s="64">
        <f t="shared" si="117"/>
        <v>0</v>
      </c>
      <c r="CL781" s="16"/>
      <c r="CM781" s="16"/>
      <c r="CN781" s="16"/>
    </row>
    <row r="782" spans="1:96" ht="15" customHeight="1" x14ac:dyDescent="0.2">
      <c r="A782" s="1">
        <v>8917800521</v>
      </c>
      <c r="B782" s="1">
        <v>891780052</v>
      </c>
      <c r="C782" s="9">
        <v>210547605</v>
      </c>
      <c r="D782" s="10" t="s">
        <v>655</v>
      </c>
      <c r="E782" s="52" t="s">
        <v>1675</v>
      </c>
      <c r="F782" s="21"/>
      <c r="G782" s="59"/>
      <c r="H782" s="21"/>
      <c r="I782" s="59"/>
      <c r="J782" s="21"/>
      <c r="K782" s="21"/>
      <c r="L782" s="59"/>
      <c r="M782" s="60"/>
      <c r="N782" s="21"/>
      <c r="O782" s="59"/>
      <c r="P782" s="21"/>
      <c r="Q782" s="59"/>
      <c r="R782" s="21"/>
      <c r="S782" s="21"/>
      <c r="T782" s="59"/>
      <c r="U782" s="60">
        <f t="shared" si="112"/>
        <v>0</v>
      </c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>
        <v>48596171</v>
      </c>
      <c r="AN782" s="60">
        <f>SUBTOTAL(9,AC782:AM782)</f>
        <v>48596171</v>
      </c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>
        <v>85922310</v>
      </c>
      <c r="AZ782" s="60"/>
      <c r="BA782" s="60">
        <f>VLOOKUP(B782,[2]Hoja3!J$3:K$674,2,0)</f>
        <v>95268443</v>
      </c>
      <c r="BB782" s="60"/>
      <c r="BC782" s="61">
        <f t="shared" si="113"/>
        <v>229786924</v>
      </c>
      <c r="BD782" s="60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>
        <v>17184462</v>
      </c>
      <c r="BO782" s="60"/>
      <c r="BP782" s="61">
        <v>246971386</v>
      </c>
      <c r="BQ782" s="61"/>
      <c r="BR782" s="61"/>
      <c r="BS782" s="61"/>
      <c r="BT782" s="61"/>
      <c r="BU782" s="61"/>
      <c r="BV782" s="61"/>
      <c r="BW782" s="61"/>
      <c r="BX782" s="61"/>
      <c r="BY782" s="61"/>
      <c r="BZ782" s="61"/>
      <c r="CA782" s="61"/>
      <c r="CB782" s="61"/>
      <c r="CC782" s="61">
        <v>17184462</v>
      </c>
      <c r="CD782" s="61"/>
      <c r="CE782" s="61"/>
      <c r="CF782" s="61"/>
      <c r="CG782" s="61">
        <f t="shared" si="114"/>
        <v>264155848</v>
      </c>
      <c r="CH782" s="62">
        <f>VLOOKUP(B782,[1]RPTNCT049_ConsultaSaldosContabl!I$4:K$7987,3,0)</f>
        <v>120291234</v>
      </c>
      <c r="CI782" s="62">
        <f t="shared" si="115"/>
        <v>143864614</v>
      </c>
      <c r="CJ782" s="63">
        <f t="shared" si="116"/>
        <v>264155848</v>
      </c>
      <c r="CK782" s="64">
        <f t="shared" si="117"/>
        <v>0</v>
      </c>
      <c r="CL782" s="16"/>
      <c r="CM782" s="16"/>
      <c r="CN782" s="16"/>
    </row>
    <row r="783" spans="1:96" ht="15" customHeight="1" x14ac:dyDescent="0.2">
      <c r="A783" s="1">
        <v>8901039622</v>
      </c>
      <c r="B783" s="1">
        <v>890103962</v>
      </c>
      <c r="C783" s="9">
        <v>210608606</v>
      </c>
      <c r="D783" s="10" t="s">
        <v>173</v>
      </c>
      <c r="E783" s="52" t="s">
        <v>1202</v>
      </c>
      <c r="F783" s="21"/>
      <c r="G783" s="59"/>
      <c r="H783" s="21"/>
      <c r="I783" s="59"/>
      <c r="J783" s="21"/>
      <c r="K783" s="21"/>
      <c r="L783" s="59"/>
      <c r="M783" s="60"/>
      <c r="N783" s="21"/>
      <c r="O783" s="59"/>
      <c r="P783" s="21"/>
      <c r="Q783" s="59"/>
      <c r="R783" s="21"/>
      <c r="S783" s="21"/>
      <c r="T783" s="59"/>
      <c r="U783" s="60">
        <f t="shared" si="112"/>
        <v>0</v>
      </c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>
        <v>245626265</v>
      </c>
      <c r="AZ783" s="60"/>
      <c r="BA783" s="60">
        <f>VLOOKUP(B783,[2]Hoja3!J$3:K$674,2,0)</f>
        <v>446374962</v>
      </c>
      <c r="BB783" s="60"/>
      <c r="BC783" s="61">
        <f t="shared" si="113"/>
        <v>692001227</v>
      </c>
      <c r="BD783" s="60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>
        <v>49125253</v>
      </c>
      <c r="BO783" s="60"/>
      <c r="BP783" s="61">
        <v>741126480</v>
      </c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  <c r="CA783" s="61"/>
      <c r="CB783" s="61"/>
      <c r="CC783" s="61">
        <v>49125253</v>
      </c>
      <c r="CD783" s="61"/>
      <c r="CE783" s="61"/>
      <c r="CF783" s="61"/>
      <c r="CG783" s="61">
        <f t="shared" si="114"/>
        <v>790251733</v>
      </c>
      <c r="CH783" s="62">
        <f>VLOOKUP(B783,[1]RPTNCT049_ConsultaSaldosContabl!I$4:K$7987,3,0)</f>
        <v>343876771</v>
      </c>
      <c r="CI783" s="62">
        <f t="shared" si="115"/>
        <v>446374962</v>
      </c>
      <c r="CJ783" s="63">
        <f t="shared" si="116"/>
        <v>790251733</v>
      </c>
      <c r="CK783" s="64">
        <f t="shared" si="117"/>
        <v>0</v>
      </c>
      <c r="CL783" s="16"/>
      <c r="CM783" s="16"/>
      <c r="CN783" s="16"/>
    </row>
    <row r="784" spans="1:96" ht="15" customHeight="1" x14ac:dyDescent="0.2">
      <c r="A784" s="1">
        <v>8000981991</v>
      </c>
      <c r="B784" s="1">
        <v>800098199</v>
      </c>
      <c r="C784" s="9">
        <v>210650606</v>
      </c>
      <c r="D784" s="10" t="s">
        <v>687</v>
      </c>
      <c r="E784" s="52" t="s">
        <v>1708</v>
      </c>
      <c r="F784" s="21"/>
      <c r="G784" s="59"/>
      <c r="H784" s="21"/>
      <c r="I784" s="59"/>
      <c r="J784" s="21"/>
      <c r="K784" s="21"/>
      <c r="L784" s="59"/>
      <c r="M784" s="60"/>
      <c r="N784" s="21"/>
      <c r="O784" s="59"/>
      <c r="P784" s="21"/>
      <c r="Q784" s="59"/>
      <c r="R784" s="21"/>
      <c r="S784" s="21"/>
      <c r="T784" s="59"/>
      <c r="U784" s="60">
        <f t="shared" si="112"/>
        <v>0</v>
      </c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>
        <v>280787778</v>
      </c>
      <c r="AN784" s="60">
        <f>SUBTOTAL(9,AC784:AM784)</f>
        <v>280787778</v>
      </c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>
        <v>82502865</v>
      </c>
      <c r="AZ784" s="60"/>
      <c r="BA784" s="60"/>
      <c r="BB784" s="60"/>
      <c r="BC784" s="61">
        <f t="shared" si="113"/>
        <v>363290643</v>
      </c>
      <c r="BD784" s="60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>
        <v>16500573</v>
      </c>
      <c r="BO784" s="60"/>
      <c r="BP784" s="61">
        <v>379791216</v>
      </c>
      <c r="BQ784" s="61"/>
      <c r="BR784" s="61"/>
      <c r="BS784" s="61"/>
      <c r="BT784" s="61"/>
      <c r="BU784" s="61"/>
      <c r="BV784" s="61"/>
      <c r="BW784" s="61"/>
      <c r="BX784" s="61"/>
      <c r="BY784" s="61"/>
      <c r="BZ784" s="61"/>
      <c r="CA784" s="61"/>
      <c r="CB784" s="61"/>
      <c r="CC784" s="61">
        <v>16500573</v>
      </c>
      <c r="CD784" s="61"/>
      <c r="CE784" s="61"/>
      <c r="CF784" s="61"/>
      <c r="CG784" s="61">
        <f t="shared" si="114"/>
        <v>396291789</v>
      </c>
      <c r="CH784" s="62">
        <f>VLOOKUP(B784,[1]RPTNCT049_ConsultaSaldosContabl!I$4:K$7987,3,0)</f>
        <v>115504011</v>
      </c>
      <c r="CI784" s="62">
        <f t="shared" si="115"/>
        <v>280787778</v>
      </c>
      <c r="CJ784" s="63">
        <f t="shared" si="116"/>
        <v>396291789</v>
      </c>
      <c r="CK784" s="64">
        <f t="shared" si="117"/>
        <v>0</v>
      </c>
      <c r="CL784" s="16"/>
      <c r="CM784" s="16"/>
      <c r="CN784" s="16"/>
    </row>
    <row r="785" spans="1:96" ht="15" customHeight="1" x14ac:dyDescent="0.2">
      <c r="A785" s="1">
        <v>8919021912</v>
      </c>
      <c r="B785" s="1">
        <v>891902191</v>
      </c>
      <c r="C785" s="9">
        <v>210676606</v>
      </c>
      <c r="D785" s="10" t="s">
        <v>935</v>
      </c>
      <c r="E785" s="52" t="s">
        <v>1995</v>
      </c>
      <c r="F785" s="21"/>
      <c r="G785" s="59"/>
      <c r="H785" s="21"/>
      <c r="I785" s="59"/>
      <c r="J785" s="21"/>
      <c r="K785" s="21"/>
      <c r="L785" s="59"/>
      <c r="M785" s="60"/>
      <c r="N785" s="21"/>
      <c r="O785" s="59"/>
      <c r="P785" s="21"/>
      <c r="Q785" s="59"/>
      <c r="R785" s="21"/>
      <c r="S785" s="21"/>
      <c r="T785" s="59"/>
      <c r="U785" s="60">
        <f t="shared" si="112"/>
        <v>0</v>
      </c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>
        <v>247218068</v>
      </c>
      <c r="AN785" s="60">
        <f>SUBTOTAL(9,AC785:AM785)</f>
        <v>247218068</v>
      </c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1">
        <f t="shared" si="113"/>
        <v>247218068</v>
      </c>
      <c r="BD785" s="60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>
        <v>0</v>
      </c>
      <c r="BO785" s="60"/>
      <c r="BP785" s="61">
        <v>247218068</v>
      </c>
      <c r="BQ785" s="61"/>
      <c r="BR785" s="61"/>
      <c r="BS785" s="61"/>
      <c r="BT785" s="61"/>
      <c r="BU785" s="61"/>
      <c r="BV785" s="61"/>
      <c r="BW785" s="61"/>
      <c r="BX785" s="61"/>
      <c r="BY785" s="61"/>
      <c r="BZ785" s="61"/>
      <c r="CA785" s="61"/>
      <c r="CB785" s="61"/>
      <c r="CC785" s="61">
        <v>0</v>
      </c>
      <c r="CD785" s="61"/>
      <c r="CE785" s="61"/>
      <c r="CF785" s="61"/>
      <c r="CG785" s="61">
        <f t="shared" si="114"/>
        <v>247218068</v>
      </c>
      <c r="CH785" s="62"/>
      <c r="CI785" s="62">
        <f t="shared" si="115"/>
        <v>247218068</v>
      </c>
      <c r="CJ785" s="63">
        <f t="shared" si="116"/>
        <v>247218068</v>
      </c>
      <c r="CK785" s="64">
        <f t="shared" si="117"/>
        <v>0</v>
      </c>
      <c r="CL785" s="16"/>
      <c r="CM785" s="8"/>
      <c r="CN785" s="8"/>
      <c r="CO785" s="8"/>
      <c r="CP785" s="8"/>
      <c r="CQ785" s="8"/>
      <c r="CR785" s="8"/>
    </row>
    <row r="786" spans="1:96" ht="15" customHeight="1" x14ac:dyDescent="0.2">
      <c r="A786" s="1">
        <v>8909836740</v>
      </c>
      <c r="B786" s="1">
        <v>890983674</v>
      </c>
      <c r="C786" s="9">
        <v>210705607</v>
      </c>
      <c r="D786" s="10" t="s">
        <v>122</v>
      </c>
      <c r="E786" s="52" t="s">
        <v>1151</v>
      </c>
      <c r="F786" s="21"/>
      <c r="G786" s="59"/>
      <c r="H786" s="21"/>
      <c r="I786" s="59"/>
      <c r="J786" s="21"/>
      <c r="K786" s="21"/>
      <c r="L786" s="59"/>
      <c r="M786" s="60"/>
      <c r="N786" s="21"/>
      <c r="O786" s="59"/>
      <c r="P786" s="21"/>
      <c r="Q786" s="59"/>
      <c r="R786" s="21"/>
      <c r="S786" s="21"/>
      <c r="T786" s="59"/>
      <c r="U786" s="60">
        <f t="shared" si="112"/>
        <v>0</v>
      </c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>
        <v>208885551</v>
      </c>
      <c r="AN786" s="60">
        <f>SUBTOTAL(9,AC786:AM786)</f>
        <v>208885551</v>
      </c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>
        <v>78083215</v>
      </c>
      <c r="AZ786" s="60"/>
      <c r="BA786" s="60"/>
      <c r="BB786" s="60"/>
      <c r="BC786" s="61">
        <f t="shared" si="113"/>
        <v>286968766</v>
      </c>
      <c r="BD786" s="60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>
        <v>15616643</v>
      </c>
      <c r="BO786" s="60"/>
      <c r="BP786" s="61">
        <v>302585409</v>
      </c>
      <c r="BQ786" s="61"/>
      <c r="BR786" s="61"/>
      <c r="BS786" s="61"/>
      <c r="BT786" s="61"/>
      <c r="BU786" s="61"/>
      <c r="BV786" s="61"/>
      <c r="BW786" s="61"/>
      <c r="BX786" s="61"/>
      <c r="BY786" s="61"/>
      <c r="BZ786" s="61"/>
      <c r="CA786" s="61"/>
      <c r="CB786" s="61"/>
      <c r="CC786" s="61">
        <v>15616643</v>
      </c>
      <c r="CD786" s="61"/>
      <c r="CE786" s="61"/>
      <c r="CF786" s="61"/>
      <c r="CG786" s="61">
        <f t="shared" si="114"/>
        <v>318202052</v>
      </c>
      <c r="CH786" s="62">
        <f>VLOOKUP(B786,[1]RPTNCT049_ConsultaSaldosContabl!I$4:K$7987,3,0)</f>
        <v>109316501</v>
      </c>
      <c r="CI786" s="62">
        <f t="shared" si="115"/>
        <v>208885551</v>
      </c>
      <c r="CJ786" s="63">
        <f t="shared" si="116"/>
        <v>318202052</v>
      </c>
      <c r="CK786" s="64">
        <f t="shared" si="117"/>
        <v>0</v>
      </c>
      <c r="CL786" s="16"/>
      <c r="CM786" s="16"/>
      <c r="CN786" s="16"/>
    </row>
    <row r="787" spans="1:96" ht="15" customHeight="1" x14ac:dyDescent="0.2">
      <c r="A787" s="1">
        <v>8906800591</v>
      </c>
      <c r="B787" s="1">
        <v>890680059</v>
      </c>
      <c r="C787" s="9">
        <v>211225612</v>
      </c>
      <c r="D787" s="10" t="s">
        <v>530</v>
      </c>
      <c r="E787" s="52" t="s">
        <v>1555</v>
      </c>
      <c r="F787" s="21"/>
      <c r="G787" s="59"/>
      <c r="H787" s="21"/>
      <c r="I787" s="59"/>
      <c r="J787" s="21"/>
      <c r="K787" s="21"/>
      <c r="L787" s="59"/>
      <c r="M787" s="60"/>
      <c r="N787" s="21"/>
      <c r="O787" s="59"/>
      <c r="P787" s="21"/>
      <c r="Q787" s="59"/>
      <c r="R787" s="21"/>
      <c r="S787" s="21"/>
      <c r="T787" s="59"/>
      <c r="U787" s="60">
        <f t="shared" si="112"/>
        <v>0</v>
      </c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>
        <v>110322884</v>
      </c>
      <c r="AN787" s="60">
        <f>SUBTOTAL(9,AC787:AM787)</f>
        <v>110322884</v>
      </c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>
        <v>50345485</v>
      </c>
      <c r="AZ787" s="60"/>
      <c r="BA787" s="60"/>
      <c r="BB787" s="60"/>
      <c r="BC787" s="61">
        <f t="shared" si="113"/>
        <v>160668369</v>
      </c>
      <c r="BD787" s="60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>
        <v>10069097</v>
      </c>
      <c r="BO787" s="60"/>
      <c r="BP787" s="61">
        <v>170737466</v>
      </c>
      <c r="BQ787" s="61"/>
      <c r="BR787" s="61"/>
      <c r="BS787" s="61"/>
      <c r="BT787" s="61"/>
      <c r="BU787" s="61"/>
      <c r="BV787" s="61"/>
      <c r="BW787" s="61"/>
      <c r="BX787" s="61"/>
      <c r="BY787" s="61"/>
      <c r="BZ787" s="61"/>
      <c r="CA787" s="61"/>
      <c r="CB787" s="61"/>
      <c r="CC787" s="61">
        <v>10069097</v>
      </c>
      <c r="CD787" s="61"/>
      <c r="CE787" s="61"/>
      <c r="CF787" s="61"/>
      <c r="CG787" s="61">
        <f t="shared" si="114"/>
        <v>180806563</v>
      </c>
      <c r="CH787" s="62">
        <f>VLOOKUP(B787,[1]RPTNCT049_ConsultaSaldosContabl!I$4:K$7987,3,0)</f>
        <v>70483679</v>
      </c>
      <c r="CI787" s="62">
        <f t="shared" si="115"/>
        <v>110322884</v>
      </c>
      <c r="CJ787" s="63">
        <f t="shared" si="116"/>
        <v>180806563</v>
      </c>
      <c r="CK787" s="64">
        <f t="shared" si="117"/>
        <v>0</v>
      </c>
      <c r="CL787" s="16"/>
      <c r="CM787" s="16"/>
      <c r="CN787" s="16"/>
    </row>
    <row r="788" spans="1:96" ht="15" customHeight="1" x14ac:dyDescent="0.2">
      <c r="A788" s="1">
        <v>8000991274</v>
      </c>
      <c r="B788" s="1">
        <v>800099127</v>
      </c>
      <c r="C788" s="9">
        <v>211252612</v>
      </c>
      <c r="D788" s="10" t="s">
        <v>736</v>
      </c>
      <c r="E788" s="52" t="s">
        <v>1758</v>
      </c>
      <c r="F788" s="21"/>
      <c r="G788" s="59"/>
      <c r="H788" s="21"/>
      <c r="I788" s="59"/>
      <c r="J788" s="21"/>
      <c r="K788" s="21"/>
      <c r="L788" s="59"/>
      <c r="M788" s="60"/>
      <c r="N788" s="21"/>
      <c r="O788" s="59"/>
      <c r="P788" s="21"/>
      <c r="Q788" s="59"/>
      <c r="R788" s="21"/>
      <c r="S788" s="21"/>
      <c r="T788" s="59"/>
      <c r="U788" s="60">
        <f t="shared" si="112"/>
        <v>0</v>
      </c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>
        <f>VLOOKUP(B788,[2]Hoja3!J$3:K$674,2,0)</f>
        <v>203200189</v>
      </c>
      <c r="BB788" s="60"/>
      <c r="BC788" s="61">
        <f t="shared" si="113"/>
        <v>203200189</v>
      </c>
      <c r="BD788" s="60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>
        <v>46500955</v>
      </c>
      <c r="BO788" s="60"/>
      <c r="BP788" s="61">
        <v>249701144</v>
      </c>
      <c r="BQ788" s="61"/>
      <c r="BR788" s="61"/>
      <c r="BS788" s="61"/>
      <c r="BT788" s="61"/>
      <c r="BU788" s="61"/>
      <c r="BV788" s="61"/>
      <c r="BW788" s="61"/>
      <c r="BX788" s="61"/>
      <c r="BY788" s="61"/>
      <c r="BZ788" s="61"/>
      <c r="CA788" s="61"/>
      <c r="CB788" s="61"/>
      <c r="CC788" s="61">
        <v>46500955</v>
      </c>
      <c r="CD788" s="61">
        <v>232504775</v>
      </c>
      <c r="CE788" s="61"/>
      <c r="CF788" s="61"/>
      <c r="CG788" s="61">
        <f t="shared" si="114"/>
        <v>528706874</v>
      </c>
      <c r="CH788" s="62">
        <f>VLOOKUP(B788,[1]RPTNCT049_ConsultaSaldosContabl!I$4:K$7987,3,0)</f>
        <v>325506685</v>
      </c>
      <c r="CI788" s="62">
        <f t="shared" si="115"/>
        <v>203200189</v>
      </c>
      <c r="CJ788" s="63">
        <f t="shared" si="116"/>
        <v>528706874</v>
      </c>
      <c r="CK788" s="64">
        <f t="shared" si="117"/>
        <v>0</v>
      </c>
      <c r="CL788" s="16"/>
      <c r="CM788" s="16"/>
      <c r="CN788" s="16"/>
    </row>
    <row r="789" spans="1:96" ht="15" customHeight="1" x14ac:dyDescent="0.2">
      <c r="A789" s="1">
        <v>8923001231</v>
      </c>
      <c r="B789" s="1">
        <v>892300123</v>
      </c>
      <c r="C789" s="9">
        <v>211420614</v>
      </c>
      <c r="D789" s="10" t="s">
        <v>431</v>
      </c>
      <c r="E789" s="52" t="s">
        <v>1458</v>
      </c>
      <c r="F789" s="21"/>
      <c r="G789" s="59"/>
      <c r="H789" s="21"/>
      <c r="I789" s="59"/>
      <c r="J789" s="21"/>
      <c r="K789" s="21"/>
      <c r="L789" s="59"/>
      <c r="M789" s="60"/>
      <c r="N789" s="21"/>
      <c r="O789" s="59"/>
      <c r="P789" s="21"/>
      <c r="Q789" s="59"/>
      <c r="R789" s="21"/>
      <c r="S789" s="21"/>
      <c r="T789" s="59"/>
      <c r="U789" s="60">
        <f t="shared" si="112"/>
        <v>0</v>
      </c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>
        <v>139592085</v>
      </c>
      <c r="AZ789" s="60"/>
      <c r="BA789" s="60">
        <f>VLOOKUP(B789,[2]Hoja3!J$3:K$674,2,0)</f>
        <v>273132442</v>
      </c>
      <c r="BB789" s="60"/>
      <c r="BC789" s="61">
        <f t="shared" si="113"/>
        <v>412724527</v>
      </c>
      <c r="BD789" s="60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>
        <v>27918417</v>
      </c>
      <c r="BO789" s="60"/>
      <c r="BP789" s="61">
        <v>440642944</v>
      </c>
      <c r="BQ789" s="61"/>
      <c r="BR789" s="61"/>
      <c r="BS789" s="61"/>
      <c r="BT789" s="61"/>
      <c r="BU789" s="61"/>
      <c r="BV789" s="61"/>
      <c r="BW789" s="61"/>
      <c r="BX789" s="61"/>
      <c r="BY789" s="61"/>
      <c r="BZ789" s="61"/>
      <c r="CA789" s="61"/>
      <c r="CB789" s="61"/>
      <c r="CC789" s="61">
        <v>27918417</v>
      </c>
      <c r="CD789" s="61"/>
      <c r="CE789" s="61"/>
      <c r="CF789" s="61"/>
      <c r="CG789" s="61">
        <f t="shared" si="114"/>
        <v>468561361</v>
      </c>
      <c r="CH789" s="62">
        <f>VLOOKUP(B789,[1]RPTNCT049_ConsultaSaldosContabl!I$4:K$7987,3,0)</f>
        <v>195428919</v>
      </c>
      <c r="CI789" s="62">
        <f t="shared" si="115"/>
        <v>273132442</v>
      </c>
      <c r="CJ789" s="63">
        <f t="shared" si="116"/>
        <v>468561361</v>
      </c>
      <c r="CK789" s="64">
        <f t="shared" si="117"/>
        <v>0</v>
      </c>
      <c r="CL789" s="16"/>
      <c r="CM789" s="16"/>
      <c r="CN789" s="16"/>
    </row>
    <row r="790" spans="1:96" ht="15" customHeight="1" x14ac:dyDescent="0.2">
      <c r="A790" s="1">
        <v>8180012030</v>
      </c>
      <c r="B790" s="1">
        <v>818001203</v>
      </c>
      <c r="C790" s="9">
        <v>218027580</v>
      </c>
      <c r="D790" s="10" t="s">
        <v>587</v>
      </c>
      <c r="E790" s="52" t="s">
        <v>1608</v>
      </c>
      <c r="F790" s="21"/>
      <c r="G790" s="59"/>
      <c r="H790" s="21"/>
      <c r="I790" s="59"/>
      <c r="J790" s="21"/>
      <c r="K790" s="21"/>
      <c r="L790" s="59"/>
      <c r="M790" s="60"/>
      <c r="N790" s="21"/>
      <c r="O790" s="59"/>
      <c r="P790" s="21"/>
      <c r="Q790" s="59"/>
      <c r="R790" s="21"/>
      <c r="S790" s="21"/>
      <c r="T790" s="59"/>
      <c r="U790" s="60">
        <f t="shared" si="112"/>
        <v>0</v>
      </c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>
        <v>112174902</v>
      </c>
      <c r="AN790" s="60">
        <f>SUBTOTAL(9,AC790:AM790)</f>
        <v>112174902</v>
      </c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>
        <v>98323835</v>
      </c>
      <c r="AZ790" s="60"/>
      <c r="BA790" s="60"/>
      <c r="BB790" s="60"/>
      <c r="BC790" s="61">
        <f t="shared" si="113"/>
        <v>210498737</v>
      </c>
      <c r="BD790" s="60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>
        <v>19664767</v>
      </c>
      <c r="BO790" s="60"/>
      <c r="BP790" s="61">
        <v>230163504</v>
      </c>
      <c r="BQ790" s="61"/>
      <c r="BR790" s="61"/>
      <c r="BS790" s="61"/>
      <c r="BT790" s="61"/>
      <c r="BU790" s="61"/>
      <c r="BV790" s="61"/>
      <c r="BW790" s="61"/>
      <c r="BX790" s="61"/>
      <c r="BY790" s="61"/>
      <c r="BZ790" s="61"/>
      <c r="CA790" s="61"/>
      <c r="CB790" s="61"/>
      <c r="CC790" s="61">
        <v>19664767</v>
      </c>
      <c r="CD790" s="61"/>
      <c r="CE790" s="61"/>
      <c r="CF790" s="61"/>
      <c r="CG790" s="61">
        <f t="shared" si="114"/>
        <v>249828271</v>
      </c>
      <c r="CH790" s="62">
        <f>VLOOKUP(B790,[1]RPTNCT049_ConsultaSaldosContabl!I$4:K$7987,3,0)</f>
        <v>137653369</v>
      </c>
      <c r="CI790" s="62">
        <f t="shared" si="115"/>
        <v>112174902</v>
      </c>
      <c r="CJ790" s="63">
        <f t="shared" si="116"/>
        <v>249828271</v>
      </c>
      <c r="CK790" s="64">
        <f t="shared" si="117"/>
        <v>0</v>
      </c>
      <c r="CL790" s="16"/>
      <c r="CM790" s="16"/>
      <c r="CN790" s="16"/>
    </row>
    <row r="791" spans="1:96" ht="15" customHeight="1" x14ac:dyDescent="0.2">
      <c r="A791" s="1">
        <v>8180008991</v>
      </c>
      <c r="B791" s="1">
        <v>818000899</v>
      </c>
      <c r="C791" s="9">
        <v>210027600</v>
      </c>
      <c r="D791" s="10" t="s">
        <v>588</v>
      </c>
      <c r="E791" s="52" t="s">
        <v>1609</v>
      </c>
      <c r="F791" s="21"/>
      <c r="G791" s="59"/>
      <c r="H791" s="21"/>
      <c r="I791" s="59"/>
      <c r="J791" s="21"/>
      <c r="K791" s="21"/>
      <c r="L791" s="59"/>
      <c r="M791" s="60"/>
      <c r="N791" s="21"/>
      <c r="O791" s="59"/>
      <c r="P791" s="21"/>
      <c r="Q791" s="59"/>
      <c r="R791" s="21"/>
      <c r="S791" s="21"/>
      <c r="T791" s="59"/>
      <c r="U791" s="60">
        <f t="shared" si="112"/>
        <v>0</v>
      </c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>
        <v>190411353</v>
      </c>
      <c r="AN791" s="60">
        <f>SUBTOTAL(9,AC791:AM791)</f>
        <v>190411353</v>
      </c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>
        <v>151882040</v>
      </c>
      <c r="AZ791" s="60"/>
      <c r="BA791" s="60"/>
      <c r="BB791" s="60"/>
      <c r="BC791" s="61">
        <f t="shared" si="113"/>
        <v>342293393</v>
      </c>
      <c r="BD791" s="60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>
        <v>30376408</v>
      </c>
      <c r="BO791" s="60"/>
      <c r="BP791" s="61">
        <v>372669801</v>
      </c>
      <c r="BQ791" s="61"/>
      <c r="BR791" s="61"/>
      <c r="BS791" s="61"/>
      <c r="BT791" s="61"/>
      <c r="BU791" s="61"/>
      <c r="BV791" s="61"/>
      <c r="BW791" s="61"/>
      <c r="BX791" s="61"/>
      <c r="BY791" s="61"/>
      <c r="BZ791" s="61"/>
      <c r="CA791" s="61"/>
      <c r="CB791" s="61"/>
      <c r="CC791" s="61">
        <v>30376408</v>
      </c>
      <c r="CD791" s="61"/>
      <c r="CE791" s="61"/>
      <c r="CF791" s="61"/>
      <c r="CG791" s="61">
        <f t="shared" si="114"/>
        <v>403046209</v>
      </c>
      <c r="CH791" s="62">
        <f>VLOOKUP(B791,[1]RPTNCT049_ConsultaSaldosContabl!I$4:K$7987,3,0)</f>
        <v>212634856</v>
      </c>
      <c r="CI791" s="62">
        <f t="shared" si="115"/>
        <v>190411353</v>
      </c>
      <c r="CJ791" s="63">
        <f t="shared" si="116"/>
        <v>403046209</v>
      </c>
      <c r="CK791" s="64">
        <f t="shared" si="117"/>
        <v>0</v>
      </c>
      <c r="CL791" s="16"/>
      <c r="CM791" s="16"/>
      <c r="CN791" s="16"/>
    </row>
    <row r="792" spans="1:96" ht="15" customHeight="1" x14ac:dyDescent="0.2">
      <c r="A792" s="1">
        <v>8916800790</v>
      </c>
      <c r="B792" s="1">
        <v>891680079</v>
      </c>
      <c r="C792" s="9">
        <v>211527615</v>
      </c>
      <c r="D792" s="10" t="s">
        <v>2114</v>
      </c>
      <c r="E792" s="52" t="s">
        <v>1610</v>
      </c>
      <c r="F792" s="21"/>
      <c r="G792" s="59"/>
      <c r="H792" s="21"/>
      <c r="I792" s="59"/>
      <c r="J792" s="21"/>
      <c r="K792" s="21"/>
      <c r="L792" s="59"/>
      <c r="M792" s="60"/>
      <c r="N792" s="21"/>
      <c r="O792" s="59"/>
      <c r="P792" s="21"/>
      <c r="Q792" s="59"/>
      <c r="R792" s="21"/>
      <c r="S792" s="21"/>
      <c r="T792" s="59"/>
      <c r="U792" s="60">
        <f t="shared" si="112"/>
        <v>0</v>
      </c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>
        <v>579561426</v>
      </c>
      <c r="AN792" s="60">
        <f>SUBTOTAL(9,AC792:AM792)</f>
        <v>579561426</v>
      </c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>
        <v>532055625</v>
      </c>
      <c r="AZ792" s="60"/>
      <c r="BA792" s="60"/>
      <c r="BB792" s="60"/>
      <c r="BC792" s="61">
        <f t="shared" si="113"/>
        <v>1111617051</v>
      </c>
      <c r="BD792" s="60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>
        <v>106411125</v>
      </c>
      <c r="BO792" s="60"/>
      <c r="BP792" s="61">
        <v>1218028176</v>
      </c>
      <c r="BQ792" s="61"/>
      <c r="BR792" s="61"/>
      <c r="BS792" s="61"/>
      <c r="BT792" s="61"/>
      <c r="BU792" s="61"/>
      <c r="BV792" s="61"/>
      <c r="BW792" s="61"/>
      <c r="BX792" s="61"/>
      <c r="BY792" s="61"/>
      <c r="BZ792" s="61"/>
      <c r="CA792" s="61"/>
      <c r="CB792" s="61"/>
      <c r="CC792" s="61">
        <v>106411125</v>
      </c>
      <c r="CD792" s="61"/>
      <c r="CE792" s="61"/>
      <c r="CF792" s="61"/>
      <c r="CG792" s="61">
        <f t="shared" si="114"/>
        <v>1324439301</v>
      </c>
      <c r="CH792" s="62">
        <f>VLOOKUP(B792,[1]RPTNCT049_ConsultaSaldosContabl!I$4:K$7987,3,0)</f>
        <v>744877875</v>
      </c>
      <c r="CI792" s="62">
        <f t="shared" si="115"/>
        <v>579561426</v>
      </c>
      <c r="CJ792" s="63">
        <f t="shared" si="116"/>
        <v>1324439301</v>
      </c>
      <c r="CK792" s="64">
        <f t="shared" si="117"/>
        <v>0</v>
      </c>
      <c r="CL792" s="16"/>
      <c r="CM792" s="16"/>
      <c r="CN792" s="16"/>
    </row>
    <row r="793" spans="1:96" ht="15" customHeight="1" x14ac:dyDescent="0.2">
      <c r="A793" s="1">
        <v>8904814470</v>
      </c>
      <c r="B793" s="1">
        <v>890481447</v>
      </c>
      <c r="C793" s="9">
        <v>210013600</v>
      </c>
      <c r="D793" s="10" t="s">
        <v>202</v>
      </c>
      <c r="E793" s="52" t="s">
        <v>1233</v>
      </c>
      <c r="F793" s="21"/>
      <c r="G793" s="59"/>
      <c r="H793" s="21"/>
      <c r="I793" s="59"/>
      <c r="J793" s="21"/>
      <c r="K793" s="21"/>
      <c r="L793" s="59"/>
      <c r="M793" s="60"/>
      <c r="N793" s="21"/>
      <c r="O793" s="59"/>
      <c r="P793" s="21"/>
      <c r="Q793" s="59"/>
      <c r="R793" s="21"/>
      <c r="S793" s="21"/>
      <c r="T793" s="59"/>
      <c r="U793" s="60">
        <f t="shared" si="112"/>
        <v>0</v>
      </c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>
        <v>52747968</v>
      </c>
      <c r="AN793" s="60">
        <f>SUBTOTAL(9,AC793:AM793)</f>
        <v>52747968</v>
      </c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>
        <v>160158290</v>
      </c>
      <c r="AZ793" s="60"/>
      <c r="BA793" s="60">
        <f>VLOOKUP(B793,[2]Hoja3!J$3:K$674,2,0)</f>
        <v>90860265</v>
      </c>
      <c r="BB793" s="60"/>
      <c r="BC793" s="61">
        <f t="shared" si="113"/>
        <v>303766523</v>
      </c>
      <c r="BD793" s="60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>
        <v>32031658</v>
      </c>
      <c r="BO793" s="60"/>
      <c r="BP793" s="61">
        <v>335798181</v>
      </c>
      <c r="BQ793" s="61"/>
      <c r="BR793" s="61"/>
      <c r="BS793" s="61"/>
      <c r="BT793" s="61"/>
      <c r="BU793" s="61"/>
      <c r="BV793" s="61"/>
      <c r="BW793" s="61"/>
      <c r="BX793" s="61"/>
      <c r="BY793" s="61"/>
      <c r="BZ793" s="61"/>
      <c r="CA793" s="61"/>
      <c r="CB793" s="61"/>
      <c r="CC793" s="61">
        <v>32031658</v>
      </c>
      <c r="CD793" s="61"/>
      <c r="CE793" s="61"/>
      <c r="CF793" s="61"/>
      <c r="CG793" s="61">
        <f t="shared" si="114"/>
        <v>367829839</v>
      </c>
      <c r="CH793" s="62">
        <f>VLOOKUP(B793,[1]RPTNCT049_ConsultaSaldosContabl!I$4:K$7987,3,0)</f>
        <v>224221606</v>
      </c>
      <c r="CI793" s="62">
        <f t="shared" si="115"/>
        <v>143608233</v>
      </c>
      <c r="CJ793" s="63">
        <f t="shared" si="116"/>
        <v>367829839</v>
      </c>
      <c r="CK793" s="64">
        <f t="shared" si="117"/>
        <v>0</v>
      </c>
      <c r="CL793" s="16"/>
      <c r="CM793" s="8"/>
      <c r="CN793" s="8"/>
      <c r="CO793" s="8"/>
      <c r="CP793" s="8"/>
      <c r="CQ793" s="8"/>
      <c r="CR793" s="8"/>
    </row>
    <row r="794" spans="1:96" ht="15" customHeight="1" x14ac:dyDescent="0.2">
      <c r="A794" s="1">
        <v>8907020407</v>
      </c>
      <c r="B794" s="1">
        <v>890702040</v>
      </c>
      <c r="C794" s="9">
        <v>211673616</v>
      </c>
      <c r="D794" s="10" t="s">
        <v>2234</v>
      </c>
      <c r="E794" s="52" t="s">
        <v>1961</v>
      </c>
      <c r="F794" s="21"/>
      <c r="G794" s="59"/>
      <c r="H794" s="21"/>
      <c r="I794" s="59"/>
      <c r="J794" s="21"/>
      <c r="K794" s="21"/>
      <c r="L794" s="59"/>
      <c r="M794" s="60"/>
      <c r="N794" s="21"/>
      <c r="O794" s="59"/>
      <c r="P794" s="21"/>
      <c r="Q794" s="59"/>
      <c r="R794" s="21"/>
      <c r="S794" s="21"/>
      <c r="T794" s="59"/>
      <c r="U794" s="60">
        <f t="shared" si="112"/>
        <v>0</v>
      </c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>
        <v>229988835</v>
      </c>
      <c r="AZ794" s="60"/>
      <c r="BA794" s="60">
        <f>VLOOKUP(B794,[2]Hoja3!J$3:K$674,2,0)</f>
        <v>408298324</v>
      </c>
      <c r="BB794" s="60"/>
      <c r="BC794" s="61">
        <f t="shared" si="113"/>
        <v>638287159</v>
      </c>
      <c r="BD794" s="60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>
        <v>45997767</v>
      </c>
      <c r="BO794" s="60"/>
      <c r="BP794" s="61">
        <v>684284926</v>
      </c>
      <c r="BQ794" s="61"/>
      <c r="BR794" s="61"/>
      <c r="BS794" s="61"/>
      <c r="BT794" s="61"/>
      <c r="BU794" s="61"/>
      <c r="BV794" s="61"/>
      <c r="BW794" s="61"/>
      <c r="BX794" s="61"/>
      <c r="BY794" s="61"/>
      <c r="BZ794" s="61"/>
      <c r="CA794" s="61"/>
      <c r="CB794" s="61"/>
      <c r="CC794" s="61">
        <v>45997767</v>
      </c>
      <c r="CD794" s="61"/>
      <c r="CE794" s="61"/>
      <c r="CF794" s="61"/>
      <c r="CG794" s="61">
        <f t="shared" si="114"/>
        <v>730282693</v>
      </c>
      <c r="CH794" s="62">
        <f>VLOOKUP(B794,[1]RPTNCT049_ConsultaSaldosContabl!I$4:K$7987,3,0)</f>
        <v>321984369</v>
      </c>
      <c r="CI794" s="62">
        <f t="shared" si="115"/>
        <v>408298324</v>
      </c>
      <c r="CJ794" s="63">
        <f t="shared" si="116"/>
        <v>730282693</v>
      </c>
      <c r="CK794" s="64">
        <f t="shared" si="117"/>
        <v>0</v>
      </c>
      <c r="CL794" s="16"/>
      <c r="CM794" s="16"/>
      <c r="CN794" s="16"/>
    </row>
    <row r="795" spans="1:96" ht="15" customHeight="1" x14ac:dyDescent="0.2">
      <c r="A795" s="1">
        <v>8919003579</v>
      </c>
      <c r="B795" s="1">
        <v>891900357</v>
      </c>
      <c r="C795" s="9">
        <v>211676616</v>
      </c>
      <c r="D795" s="10" t="s">
        <v>936</v>
      </c>
      <c r="E795" s="52" t="s">
        <v>1996</v>
      </c>
      <c r="F795" s="21"/>
      <c r="G795" s="59"/>
      <c r="H795" s="21"/>
      <c r="I795" s="59"/>
      <c r="J795" s="21"/>
      <c r="K795" s="21"/>
      <c r="L795" s="59"/>
      <c r="M795" s="60"/>
      <c r="N795" s="21"/>
      <c r="O795" s="59"/>
      <c r="P795" s="21"/>
      <c r="Q795" s="59"/>
      <c r="R795" s="21"/>
      <c r="S795" s="21"/>
      <c r="T795" s="59"/>
      <c r="U795" s="60">
        <f t="shared" si="112"/>
        <v>0</v>
      </c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>
        <v>41678857</v>
      </c>
      <c r="AN795" s="60">
        <f t="shared" ref="AN795:AN801" si="118">SUBTOTAL(9,AC795:AM795)</f>
        <v>41678857</v>
      </c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>
        <v>119865995</v>
      </c>
      <c r="AZ795" s="60"/>
      <c r="BA795" s="60">
        <f>VLOOKUP(B795,[2]Hoja3!J$3:K$674,2,0)</f>
        <v>196712907</v>
      </c>
      <c r="BB795" s="60"/>
      <c r="BC795" s="61">
        <f t="shared" si="113"/>
        <v>358257759</v>
      </c>
      <c r="BD795" s="60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>
        <v>23973199</v>
      </c>
      <c r="BO795" s="60"/>
      <c r="BP795" s="61">
        <v>382230958</v>
      </c>
      <c r="BQ795" s="61"/>
      <c r="BR795" s="61"/>
      <c r="BS795" s="61"/>
      <c r="BT795" s="61"/>
      <c r="BU795" s="61"/>
      <c r="BV795" s="61"/>
      <c r="BW795" s="61"/>
      <c r="BX795" s="61"/>
      <c r="BY795" s="61"/>
      <c r="BZ795" s="61"/>
      <c r="CA795" s="61"/>
      <c r="CB795" s="61"/>
      <c r="CC795" s="61">
        <v>23973199</v>
      </c>
      <c r="CD795" s="61"/>
      <c r="CE795" s="61"/>
      <c r="CF795" s="61"/>
      <c r="CG795" s="61">
        <f t="shared" si="114"/>
        <v>406204157</v>
      </c>
      <c r="CH795" s="62">
        <f>VLOOKUP(B795,[1]RPTNCT049_ConsultaSaldosContabl!I$4:K$7987,3,0)</f>
        <v>167812393</v>
      </c>
      <c r="CI795" s="62">
        <f t="shared" si="115"/>
        <v>238391764</v>
      </c>
      <c r="CJ795" s="63">
        <f t="shared" si="116"/>
        <v>406204157</v>
      </c>
      <c r="CK795" s="64">
        <f t="shared" si="117"/>
        <v>0</v>
      </c>
      <c r="CL795" s="16"/>
      <c r="CM795" s="16"/>
      <c r="CN795" s="16"/>
    </row>
    <row r="796" spans="1:96" ht="15" customHeight="1" x14ac:dyDescent="0.2">
      <c r="A796" s="1">
        <v>8921150072</v>
      </c>
      <c r="B796" s="29">
        <v>892115007</v>
      </c>
      <c r="C796" s="9">
        <v>210144001</v>
      </c>
      <c r="D796" s="10" t="s">
        <v>629</v>
      </c>
      <c r="E796" s="53" t="s">
        <v>1647</v>
      </c>
      <c r="F796" s="21"/>
      <c r="G796" s="59"/>
      <c r="H796" s="21"/>
      <c r="I796" s="66">
        <f>5633162434+99919222</f>
        <v>5733081656</v>
      </c>
      <c r="J796" s="21">
        <v>387499622</v>
      </c>
      <c r="K796" s="21">
        <v>782642742</v>
      </c>
      <c r="L796" s="59"/>
      <c r="M796" s="61">
        <f>SUM(F796:L796)</f>
        <v>6903224020</v>
      </c>
      <c r="N796" s="21"/>
      <c r="O796" s="59"/>
      <c r="P796" s="21"/>
      <c r="Q796" s="59">
        <f>6045831133+412669000+45417828</f>
        <v>6503917961</v>
      </c>
      <c r="R796" s="21">
        <v>387499622</v>
      </c>
      <c r="S796" s="21">
        <f>395143120+387499622</f>
        <v>782642742</v>
      </c>
      <c r="T796" s="59"/>
      <c r="U796" s="60">
        <f t="shared" si="112"/>
        <v>14577284345</v>
      </c>
      <c r="V796" s="60"/>
      <c r="W796" s="60"/>
      <c r="X796" s="60"/>
      <c r="Y796" s="60">
        <v>7141609856</v>
      </c>
      <c r="Z796" s="60">
        <v>313760966</v>
      </c>
      <c r="AA796" s="60">
        <v>725743015</v>
      </c>
      <c r="AB796" s="60"/>
      <c r="AC796" s="60">
        <f t="shared" ref="AC772:AC835" si="119">SUM(U796:AB796)</f>
        <v>22758398182</v>
      </c>
      <c r="AD796" s="60"/>
      <c r="AE796" s="60"/>
      <c r="AF796" s="60"/>
      <c r="AG796" s="60"/>
      <c r="AH796" s="60">
        <v>8393705089</v>
      </c>
      <c r="AI796" s="60">
        <v>4126464822</v>
      </c>
      <c r="AJ796" s="60">
        <v>358688665</v>
      </c>
      <c r="AK796" s="60">
        <v>911078496</v>
      </c>
      <c r="AL796" s="60"/>
      <c r="AM796" s="60">
        <v>1337373601</v>
      </c>
      <c r="AN796" s="60">
        <f t="shared" si="118"/>
        <v>37885708855</v>
      </c>
      <c r="AO796" s="60"/>
      <c r="AP796" s="60"/>
      <c r="AQ796" s="60">
        <v>1807210080</v>
      </c>
      <c r="AR796" s="60"/>
      <c r="AS796" s="60"/>
      <c r="AT796" s="60">
        <v>7393705089</v>
      </c>
      <c r="AU796" s="60">
        <v>1507885330</v>
      </c>
      <c r="AV796" s="60">
        <v>358688665</v>
      </c>
      <c r="AW796" s="60">
        <v>619010796</v>
      </c>
      <c r="AX796" s="60"/>
      <c r="AY796" s="60"/>
      <c r="AZ796" s="60">
        <v>2556446723</v>
      </c>
      <c r="BA796" s="60">
        <f>VLOOKUP(B796,[2]Hoja3!J$3:K$674,2,0)</f>
        <v>559206514</v>
      </c>
      <c r="BB796" s="60">
        <f>VLOOKUP(B796,'[3]anuladas en mayo gratuidad}'!K$2:L$55,2,0)</f>
        <v>51660680</v>
      </c>
      <c r="BC796" s="61">
        <f t="shared" si="113"/>
        <v>52636201372</v>
      </c>
      <c r="BD796" s="60"/>
      <c r="BE796" s="60"/>
      <c r="BF796" s="60">
        <v>361442016</v>
      </c>
      <c r="BG796" s="60"/>
      <c r="BH796" s="60"/>
      <c r="BI796" s="60">
        <v>6292741861</v>
      </c>
      <c r="BJ796" s="60">
        <v>927785974</v>
      </c>
      <c r="BK796" s="60">
        <v>533564908</v>
      </c>
      <c r="BL796" s="60">
        <v>1270344892</v>
      </c>
      <c r="BM796" s="60"/>
      <c r="BN796" s="60"/>
      <c r="BO796" s="60"/>
      <c r="BP796" s="61">
        <v>62022081023</v>
      </c>
      <c r="BQ796" s="61"/>
      <c r="BR796" s="61"/>
      <c r="BS796" s="61">
        <v>361442016</v>
      </c>
      <c r="BT796" s="61"/>
      <c r="BU796" s="61"/>
      <c r="BV796" s="61"/>
      <c r="BW796" s="61">
        <v>6306687310</v>
      </c>
      <c r="BX796" s="61">
        <v>3537764602</v>
      </c>
      <c r="BY796" s="61">
        <v>2549934214</v>
      </c>
      <c r="BZ796" s="61">
        <v>409728652</v>
      </c>
      <c r="CA796" s="61">
        <v>1081230044</v>
      </c>
      <c r="CB796" s="61"/>
      <c r="CC796" s="61"/>
      <c r="CD796" s="61"/>
      <c r="CE796" s="61">
        <v>28239585</v>
      </c>
      <c r="CF796" s="61"/>
      <c r="CG796" s="61">
        <f t="shared" si="114"/>
        <v>76297107446</v>
      </c>
      <c r="CH796" s="62">
        <f>VLOOKUP(B796,[1]RPTNCT049_ConsultaSaldosContabl!I$4:K$7987,3,0)</f>
        <v>74423948426</v>
      </c>
      <c r="CI796" s="62">
        <f t="shared" si="115"/>
        <v>1873159020</v>
      </c>
      <c r="CJ796" s="63">
        <f t="shared" si="116"/>
        <v>76297107446</v>
      </c>
      <c r="CK796" s="64">
        <f t="shared" si="117"/>
        <v>0</v>
      </c>
      <c r="CL796" s="16"/>
      <c r="CM796" s="16"/>
      <c r="CN796" s="16"/>
    </row>
    <row r="797" spans="1:96" ht="15" customHeight="1" x14ac:dyDescent="0.2">
      <c r="A797" s="1">
        <v>8909073172</v>
      </c>
      <c r="B797" s="1">
        <v>890907317</v>
      </c>
      <c r="C797" s="9">
        <v>211505615</v>
      </c>
      <c r="D797" s="10" t="s">
        <v>123</v>
      </c>
      <c r="E797" s="53" t="s">
        <v>1152</v>
      </c>
      <c r="F797" s="21"/>
      <c r="G797" s="59"/>
      <c r="H797" s="21"/>
      <c r="I797" s="59">
        <f>2267352500+75473051</f>
        <v>2342825551</v>
      </c>
      <c r="J797" s="21">
        <v>176288063</v>
      </c>
      <c r="K797" s="21">
        <v>349487143</v>
      </c>
      <c r="L797" s="59"/>
      <c r="M797" s="61">
        <f>SUM(F797:L797)</f>
        <v>2868600757</v>
      </c>
      <c r="N797" s="21"/>
      <c r="O797" s="59"/>
      <c r="P797" s="21"/>
      <c r="Q797" s="59">
        <f>2170896735+34305932</f>
        <v>2205202667</v>
      </c>
      <c r="R797" s="21">
        <v>176288063</v>
      </c>
      <c r="S797" s="21">
        <f>173199080+176288063</f>
        <v>349487143</v>
      </c>
      <c r="T797" s="59"/>
      <c r="U797" s="60">
        <f t="shared" si="112"/>
        <v>5599578630</v>
      </c>
      <c r="V797" s="60"/>
      <c r="W797" s="60"/>
      <c r="X797" s="60"/>
      <c r="Y797" s="60">
        <v>3230635312</v>
      </c>
      <c r="Z797" s="60">
        <v>178224794</v>
      </c>
      <c r="AA797" s="60">
        <v>415710660</v>
      </c>
      <c r="AB797" s="60"/>
      <c r="AC797" s="60">
        <f t="shared" si="119"/>
        <v>9424149396</v>
      </c>
      <c r="AD797" s="60"/>
      <c r="AE797" s="60"/>
      <c r="AF797" s="60"/>
      <c r="AG797" s="60"/>
      <c r="AH797" s="60">
        <v>2338626446</v>
      </c>
      <c r="AI797" s="60">
        <v>567031049</v>
      </c>
      <c r="AJ797" s="60">
        <v>182281723</v>
      </c>
      <c r="AK797" s="60">
        <v>459491813</v>
      </c>
      <c r="AL797" s="60"/>
      <c r="AM797" s="60">
        <v>1353216035</v>
      </c>
      <c r="AN797" s="60">
        <f t="shared" si="118"/>
        <v>14324796462</v>
      </c>
      <c r="AO797" s="60"/>
      <c r="AP797" s="60"/>
      <c r="AQ797" s="60">
        <v>556552230</v>
      </c>
      <c r="AR797" s="60"/>
      <c r="AS797" s="60"/>
      <c r="AT797" s="60">
        <v>2338626446</v>
      </c>
      <c r="AU797" s="60"/>
      <c r="AV797" s="60">
        <v>182281723</v>
      </c>
      <c r="AW797" s="60">
        <v>311301295</v>
      </c>
      <c r="AX797" s="60"/>
      <c r="AY797" s="60"/>
      <c r="AZ797" s="60">
        <v>49288602</v>
      </c>
      <c r="BA797" s="60"/>
      <c r="BB797" s="60"/>
      <c r="BC797" s="61">
        <f t="shared" si="113"/>
        <v>17762846758</v>
      </c>
      <c r="BD797" s="60"/>
      <c r="BE797" s="60"/>
      <c r="BF797" s="60">
        <v>111310446</v>
      </c>
      <c r="BG797" s="60"/>
      <c r="BH797" s="60"/>
      <c r="BI797" s="60">
        <v>2520537731</v>
      </c>
      <c r="BJ797" s="60">
        <v>269460720</v>
      </c>
      <c r="BK797" s="60">
        <v>174422904</v>
      </c>
      <c r="BL797" s="60">
        <v>376561787</v>
      </c>
      <c r="BM797" s="60"/>
      <c r="BN797" s="60"/>
      <c r="BO797" s="60"/>
      <c r="BP797" s="61">
        <v>21215140346</v>
      </c>
      <c r="BQ797" s="61"/>
      <c r="BR797" s="61"/>
      <c r="BS797" s="61">
        <v>111310446</v>
      </c>
      <c r="BT797" s="61"/>
      <c r="BU797" s="61"/>
      <c r="BV797" s="61"/>
      <c r="BW797" s="61">
        <v>2381752993</v>
      </c>
      <c r="BX797" s="61"/>
      <c r="BY797" s="61">
        <v>1109617209</v>
      </c>
      <c r="BZ797" s="61">
        <v>182599446</v>
      </c>
      <c r="CA797" s="61">
        <v>476064544</v>
      </c>
      <c r="CB797" s="61"/>
      <c r="CC797" s="61"/>
      <c r="CD797" s="61"/>
      <c r="CE797" s="61"/>
      <c r="CF797" s="61"/>
      <c r="CG797" s="61">
        <f t="shared" si="114"/>
        <v>25476484984</v>
      </c>
      <c r="CH797" s="62">
        <f>VLOOKUP(B797,[1]RPTNCT049_ConsultaSaldosContabl!I$4:K$7987,3,0)</f>
        <v>24123268949</v>
      </c>
      <c r="CI797" s="62">
        <f t="shared" si="115"/>
        <v>1353216035</v>
      </c>
      <c r="CJ797" s="63">
        <f t="shared" si="116"/>
        <v>25476484984</v>
      </c>
      <c r="CK797" s="64">
        <f t="shared" si="117"/>
        <v>0</v>
      </c>
      <c r="CL797" s="16"/>
      <c r="CM797" s="16"/>
      <c r="CN797" s="16"/>
    </row>
    <row r="798" spans="1:96" ht="15" customHeight="1" x14ac:dyDescent="0.2">
      <c r="A798" s="1">
        <v>8902046463</v>
      </c>
      <c r="B798" s="1">
        <v>890204646</v>
      </c>
      <c r="C798" s="9">
        <v>211568615</v>
      </c>
      <c r="D798" s="10" t="s">
        <v>871</v>
      </c>
      <c r="E798" s="52" t="s">
        <v>1883</v>
      </c>
      <c r="F798" s="21"/>
      <c r="G798" s="59"/>
      <c r="H798" s="21"/>
      <c r="I798" s="59"/>
      <c r="J798" s="21"/>
      <c r="K798" s="21"/>
      <c r="L798" s="59"/>
      <c r="M798" s="60"/>
      <c r="N798" s="21"/>
      <c r="O798" s="59"/>
      <c r="P798" s="21"/>
      <c r="Q798" s="59"/>
      <c r="R798" s="21"/>
      <c r="S798" s="21"/>
      <c r="T798" s="59"/>
      <c r="U798" s="60">
        <f t="shared" si="112"/>
        <v>0</v>
      </c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>
        <v>445430616</v>
      </c>
      <c r="AN798" s="60">
        <f t="shared" si="118"/>
        <v>445430616</v>
      </c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>
        <v>196703260</v>
      </c>
      <c r="AZ798" s="60"/>
      <c r="BA798" s="60"/>
      <c r="BB798" s="60"/>
      <c r="BC798" s="61">
        <f t="shared" si="113"/>
        <v>642133876</v>
      </c>
      <c r="BD798" s="60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>
        <v>39340652</v>
      </c>
      <c r="BO798" s="60"/>
      <c r="BP798" s="61">
        <v>681474528</v>
      </c>
      <c r="BQ798" s="61"/>
      <c r="BR798" s="61"/>
      <c r="BS798" s="61"/>
      <c r="BT798" s="61"/>
      <c r="BU798" s="61"/>
      <c r="BV798" s="61"/>
      <c r="BW798" s="61"/>
      <c r="BX798" s="61"/>
      <c r="BY798" s="61"/>
      <c r="BZ798" s="61"/>
      <c r="CA798" s="61"/>
      <c r="CB798" s="61"/>
      <c r="CC798" s="61">
        <v>39340652</v>
      </c>
      <c r="CD798" s="61"/>
      <c r="CE798" s="61"/>
      <c r="CF798" s="61"/>
      <c r="CG798" s="61">
        <f t="shared" si="114"/>
        <v>720815180</v>
      </c>
      <c r="CH798" s="62">
        <f>VLOOKUP(B798,[1]RPTNCT049_ConsultaSaldosContabl!I$4:K$7987,3,0)</f>
        <v>275384564</v>
      </c>
      <c r="CI798" s="62">
        <f t="shared" si="115"/>
        <v>445430616</v>
      </c>
      <c r="CJ798" s="63">
        <f t="shared" si="116"/>
        <v>720815180</v>
      </c>
      <c r="CK798" s="64">
        <f t="shared" si="117"/>
        <v>0</v>
      </c>
      <c r="CL798" s="16"/>
      <c r="CM798" s="16"/>
      <c r="CN798" s="16"/>
    </row>
    <row r="799" spans="1:96" ht="15" customHeight="1" x14ac:dyDescent="0.2">
      <c r="A799" s="1">
        <v>8908011384</v>
      </c>
      <c r="B799" s="1">
        <v>890801138</v>
      </c>
      <c r="C799" s="9">
        <v>211417614</v>
      </c>
      <c r="D799" s="10" t="s">
        <v>353</v>
      </c>
      <c r="E799" s="52" t="s">
        <v>1382</v>
      </c>
      <c r="F799" s="21"/>
      <c r="G799" s="59"/>
      <c r="H799" s="21"/>
      <c r="I799" s="59"/>
      <c r="J799" s="21"/>
      <c r="K799" s="21"/>
      <c r="L799" s="59"/>
      <c r="M799" s="60"/>
      <c r="N799" s="21"/>
      <c r="O799" s="59"/>
      <c r="P799" s="21"/>
      <c r="Q799" s="59"/>
      <c r="R799" s="21"/>
      <c r="S799" s="21"/>
      <c r="T799" s="59"/>
      <c r="U799" s="60">
        <f t="shared" si="112"/>
        <v>0</v>
      </c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>
        <v>725039184</v>
      </c>
      <c r="AN799" s="60">
        <f t="shared" si="118"/>
        <v>725039184</v>
      </c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>
        <v>356790225</v>
      </c>
      <c r="AZ799" s="60"/>
      <c r="BA799" s="60"/>
      <c r="BB799" s="60">
        <f>VLOOKUP(B799,'[3]anuladas en mayo gratuidad}'!K$2:L$55,2,0)</f>
        <v>106402871</v>
      </c>
      <c r="BC799" s="61">
        <f t="shared" si="113"/>
        <v>975426538</v>
      </c>
      <c r="BD799" s="60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>
        <v>71358045</v>
      </c>
      <c r="BO799" s="60"/>
      <c r="BP799" s="61">
        <v>1046784583</v>
      </c>
      <c r="BQ799" s="61"/>
      <c r="BR799" s="61"/>
      <c r="BS799" s="61"/>
      <c r="BT799" s="61"/>
      <c r="BU799" s="61"/>
      <c r="BV799" s="61"/>
      <c r="BW799" s="61"/>
      <c r="BX799" s="61"/>
      <c r="BY799" s="61"/>
      <c r="BZ799" s="61"/>
      <c r="CA799" s="61"/>
      <c r="CB799" s="61"/>
      <c r="CC799" s="61">
        <v>71358045</v>
      </c>
      <c r="CD799" s="61"/>
      <c r="CE799" s="61">
        <v>106402871</v>
      </c>
      <c r="CF799" s="61"/>
      <c r="CG799" s="61">
        <f t="shared" si="114"/>
        <v>1224545499</v>
      </c>
      <c r="CH799" s="62">
        <f>VLOOKUP(B799,[1]RPTNCT049_ConsultaSaldosContabl!I$4:K$7987,3,0)</f>
        <v>499506315</v>
      </c>
      <c r="CI799" s="62">
        <f t="shared" si="115"/>
        <v>725039184</v>
      </c>
      <c r="CJ799" s="63">
        <f t="shared" si="116"/>
        <v>1224545499</v>
      </c>
      <c r="CK799" s="64">
        <f t="shared" si="117"/>
        <v>0</v>
      </c>
      <c r="CL799" s="16"/>
      <c r="CM799" s="16"/>
      <c r="CN799" s="16"/>
    </row>
    <row r="800" spans="1:96" ht="15" customHeight="1" x14ac:dyDescent="0.2">
      <c r="A800" s="1">
        <v>8000954611</v>
      </c>
      <c r="B800" s="1">
        <v>800095461</v>
      </c>
      <c r="C800" s="9">
        <v>211617616</v>
      </c>
      <c r="D800" s="10" t="s">
        <v>354</v>
      </c>
      <c r="E800" s="52" t="s">
        <v>1383</v>
      </c>
      <c r="F800" s="21"/>
      <c r="G800" s="59"/>
      <c r="H800" s="21"/>
      <c r="I800" s="59"/>
      <c r="J800" s="21"/>
      <c r="K800" s="21"/>
      <c r="L800" s="59"/>
      <c r="M800" s="60"/>
      <c r="N800" s="21"/>
      <c r="O800" s="59"/>
      <c r="P800" s="21"/>
      <c r="Q800" s="59"/>
      <c r="R800" s="21"/>
      <c r="S800" s="21"/>
      <c r="T800" s="59"/>
      <c r="U800" s="60">
        <f t="shared" si="112"/>
        <v>0</v>
      </c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>
        <v>155841599</v>
      </c>
      <c r="AN800" s="60">
        <f t="shared" si="118"/>
        <v>155841599</v>
      </c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>
        <v>74655405</v>
      </c>
      <c r="AZ800" s="60"/>
      <c r="BA800" s="60"/>
      <c r="BB800" s="60"/>
      <c r="BC800" s="61">
        <f t="shared" si="113"/>
        <v>230497004</v>
      </c>
      <c r="BD800" s="60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>
        <v>14931081</v>
      </c>
      <c r="BO800" s="60"/>
      <c r="BP800" s="61">
        <v>245428085</v>
      </c>
      <c r="BQ800" s="61"/>
      <c r="BR800" s="61"/>
      <c r="BS800" s="61"/>
      <c r="BT800" s="61"/>
      <c r="BU800" s="61"/>
      <c r="BV800" s="61"/>
      <c r="BW800" s="61"/>
      <c r="BX800" s="61"/>
      <c r="BY800" s="61"/>
      <c r="BZ800" s="61"/>
      <c r="CA800" s="61"/>
      <c r="CB800" s="61"/>
      <c r="CC800" s="61">
        <v>14931081</v>
      </c>
      <c r="CD800" s="61"/>
      <c r="CE800" s="61"/>
      <c r="CF800" s="61"/>
      <c r="CG800" s="61">
        <f t="shared" si="114"/>
        <v>260359166</v>
      </c>
      <c r="CH800" s="62">
        <f>VLOOKUP(B800,[1]RPTNCT049_ConsultaSaldosContabl!I$4:K$7987,3,0)</f>
        <v>104517567</v>
      </c>
      <c r="CI800" s="62">
        <f t="shared" si="115"/>
        <v>155841599</v>
      </c>
      <c r="CJ800" s="63">
        <f t="shared" si="116"/>
        <v>260359166</v>
      </c>
      <c r="CK800" s="64">
        <f t="shared" si="117"/>
        <v>0</v>
      </c>
      <c r="CL800" s="16"/>
      <c r="CM800" s="16"/>
      <c r="CN800" s="16"/>
    </row>
    <row r="801" spans="1:96" ht="15" customHeight="1" x14ac:dyDescent="0.2">
      <c r="A801" s="1">
        <v>8911800409</v>
      </c>
      <c r="B801" s="1">
        <v>891180040</v>
      </c>
      <c r="C801" s="9">
        <v>211541615</v>
      </c>
      <c r="D801" s="10" t="s">
        <v>617</v>
      </c>
      <c r="E801" s="52" t="s">
        <v>1636</v>
      </c>
      <c r="F801" s="21"/>
      <c r="G801" s="59"/>
      <c r="H801" s="21"/>
      <c r="I801" s="59"/>
      <c r="J801" s="21"/>
      <c r="K801" s="21"/>
      <c r="L801" s="59"/>
      <c r="M801" s="60"/>
      <c r="N801" s="21"/>
      <c r="O801" s="59"/>
      <c r="P801" s="21"/>
      <c r="Q801" s="59"/>
      <c r="R801" s="21"/>
      <c r="S801" s="21"/>
      <c r="T801" s="59"/>
      <c r="U801" s="60">
        <f t="shared" si="112"/>
        <v>0</v>
      </c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>
        <v>209992279</v>
      </c>
      <c r="AN801" s="60">
        <f t="shared" si="118"/>
        <v>209992279</v>
      </c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>
        <v>128004360</v>
      </c>
      <c r="AZ801" s="60"/>
      <c r="BA801" s="60">
        <f>VLOOKUP(B801,[2]Hoja3!J$3:K$674,2,0)</f>
        <v>121709835</v>
      </c>
      <c r="BB801" s="60"/>
      <c r="BC801" s="61">
        <f t="shared" si="113"/>
        <v>459706474</v>
      </c>
      <c r="BD801" s="60"/>
      <c r="BE801" s="60"/>
      <c r="BF801" s="60"/>
      <c r="BG801" s="60"/>
      <c r="BH801" s="60"/>
      <c r="BI801" s="60"/>
      <c r="BJ801" s="60"/>
      <c r="BK801" s="60"/>
      <c r="BL801" s="60"/>
      <c r="BM801" s="60"/>
      <c r="BN801" s="60">
        <v>25600872</v>
      </c>
      <c r="BO801" s="60"/>
      <c r="BP801" s="61">
        <v>485307346</v>
      </c>
      <c r="BQ801" s="61"/>
      <c r="BR801" s="61"/>
      <c r="BS801" s="61"/>
      <c r="BT801" s="61"/>
      <c r="BU801" s="61"/>
      <c r="BV801" s="61"/>
      <c r="BW801" s="61"/>
      <c r="BX801" s="61"/>
      <c r="BY801" s="61"/>
      <c r="BZ801" s="61"/>
      <c r="CA801" s="61"/>
      <c r="CB801" s="61"/>
      <c r="CC801" s="61">
        <v>25600872</v>
      </c>
      <c r="CD801" s="61"/>
      <c r="CE801" s="61"/>
      <c r="CF801" s="61"/>
      <c r="CG801" s="61">
        <f t="shared" si="114"/>
        <v>510908218</v>
      </c>
      <c r="CH801" s="62">
        <f>VLOOKUP(B801,[1]RPTNCT049_ConsultaSaldosContabl!I$4:K$7987,3,0)</f>
        <v>179206104</v>
      </c>
      <c r="CI801" s="62">
        <f t="shared" si="115"/>
        <v>331702114</v>
      </c>
      <c r="CJ801" s="63">
        <f t="shared" si="116"/>
        <v>510908218</v>
      </c>
      <c r="CK801" s="64">
        <f t="shared" si="117"/>
        <v>0</v>
      </c>
      <c r="CL801" s="16"/>
      <c r="CM801" s="16"/>
      <c r="CN801" s="16"/>
    </row>
    <row r="802" spans="1:96" ht="15" customHeight="1" x14ac:dyDescent="0.2">
      <c r="A802" s="1">
        <v>8000991321</v>
      </c>
      <c r="B802" s="1">
        <v>800099132</v>
      </c>
      <c r="C802" s="9">
        <v>212152621</v>
      </c>
      <c r="D802" s="10" t="s">
        <v>737</v>
      </c>
      <c r="E802" s="52" t="s">
        <v>1759</v>
      </c>
      <c r="F802" s="21"/>
      <c r="G802" s="59"/>
      <c r="H802" s="21"/>
      <c r="I802" s="59"/>
      <c r="J802" s="21"/>
      <c r="K802" s="21"/>
      <c r="L802" s="59"/>
      <c r="M802" s="60"/>
      <c r="N802" s="21"/>
      <c r="O802" s="59"/>
      <c r="P802" s="21"/>
      <c r="Q802" s="59"/>
      <c r="R802" s="21"/>
      <c r="S802" s="21"/>
      <c r="T802" s="59"/>
      <c r="U802" s="60">
        <f t="shared" si="112"/>
        <v>0</v>
      </c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>
        <v>228086070</v>
      </c>
      <c r="AZ802" s="60"/>
      <c r="BA802" s="60">
        <f>VLOOKUP(B802,[2]Hoja3!J$3:K$674,2,0)</f>
        <v>286924608</v>
      </c>
      <c r="BB802" s="60"/>
      <c r="BC802" s="61">
        <f t="shared" si="113"/>
        <v>515010678</v>
      </c>
      <c r="BD802" s="60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>
        <v>45617214</v>
      </c>
      <c r="BO802" s="60"/>
      <c r="BP802" s="61">
        <v>560627892</v>
      </c>
      <c r="BQ802" s="61"/>
      <c r="BR802" s="61"/>
      <c r="BS802" s="61"/>
      <c r="BT802" s="61"/>
      <c r="BU802" s="61"/>
      <c r="BV802" s="61"/>
      <c r="BW802" s="61"/>
      <c r="BX802" s="61"/>
      <c r="BY802" s="61"/>
      <c r="BZ802" s="61"/>
      <c r="CA802" s="61"/>
      <c r="CB802" s="61"/>
      <c r="CC802" s="61">
        <v>45617214</v>
      </c>
      <c r="CD802" s="61"/>
      <c r="CE802" s="61"/>
      <c r="CF802" s="61"/>
      <c r="CG802" s="61">
        <f t="shared" si="114"/>
        <v>606245106</v>
      </c>
      <c r="CH802" s="62">
        <f>VLOOKUP(B802,[1]RPTNCT049_ConsultaSaldosContabl!I$4:K$7987,3,0)</f>
        <v>319320498</v>
      </c>
      <c r="CI802" s="62">
        <f t="shared" si="115"/>
        <v>286924608</v>
      </c>
      <c r="CJ802" s="63">
        <f t="shared" si="116"/>
        <v>606245106</v>
      </c>
      <c r="CK802" s="64">
        <f t="shared" si="117"/>
        <v>0</v>
      </c>
      <c r="CL802" s="16"/>
      <c r="CM802" s="16"/>
      <c r="CN802" s="16"/>
    </row>
    <row r="803" spans="1:96" ht="15" customHeight="1" x14ac:dyDescent="0.2">
      <c r="A803" s="1">
        <v>8919002896</v>
      </c>
      <c r="B803" s="1">
        <v>891900289</v>
      </c>
      <c r="C803" s="9">
        <v>212276622</v>
      </c>
      <c r="D803" s="10" t="s">
        <v>937</v>
      </c>
      <c r="E803" s="52" t="s">
        <v>1997</v>
      </c>
      <c r="F803" s="21"/>
      <c r="G803" s="59"/>
      <c r="H803" s="21"/>
      <c r="I803" s="59"/>
      <c r="J803" s="21"/>
      <c r="K803" s="21"/>
      <c r="L803" s="59"/>
      <c r="M803" s="60"/>
      <c r="N803" s="21"/>
      <c r="O803" s="59"/>
      <c r="P803" s="21"/>
      <c r="Q803" s="59"/>
      <c r="R803" s="21"/>
      <c r="S803" s="21"/>
      <c r="T803" s="59"/>
      <c r="U803" s="60">
        <f t="shared" si="112"/>
        <v>0</v>
      </c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>
        <v>205223314</v>
      </c>
      <c r="AN803" s="60">
        <f>SUBTOTAL(9,AC803:AM803)</f>
        <v>205223314</v>
      </c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>
        <v>233646910</v>
      </c>
      <c r="AZ803" s="60"/>
      <c r="BA803" s="60">
        <f>VLOOKUP(B803,[2]Hoja3!J$3:K$674,2,0)</f>
        <v>202069003</v>
      </c>
      <c r="BB803" s="60"/>
      <c r="BC803" s="61">
        <f t="shared" si="113"/>
        <v>640939227</v>
      </c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>
        <v>46729382</v>
      </c>
      <c r="BO803" s="60"/>
      <c r="BP803" s="61">
        <v>687668609</v>
      </c>
      <c r="BQ803" s="61"/>
      <c r="BR803" s="61"/>
      <c r="BS803" s="61"/>
      <c r="BT803" s="61"/>
      <c r="BU803" s="61"/>
      <c r="BV803" s="61"/>
      <c r="BW803" s="61"/>
      <c r="BX803" s="61"/>
      <c r="BY803" s="61"/>
      <c r="BZ803" s="61"/>
      <c r="CA803" s="61"/>
      <c r="CB803" s="61"/>
      <c r="CC803" s="61">
        <v>46729382</v>
      </c>
      <c r="CD803" s="61"/>
      <c r="CE803" s="61"/>
      <c r="CF803" s="61"/>
      <c r="CG803" s="61">
        <f t="shared" si="114"/>
        <v>734397991</v>
      </c>
      <c r="CH803" s="62">
        <f>VLOOKUP(B803,[1]RPTNCT049_ConsultaSaldosContabl!I$4:K$7987,3,0)</f>
        <v>327105674</v>
      </c>
      <c r="CI803" s="62">
        <f t="shared" si="115"/>
        <v>407292317</v>
      </c>
      <c r="CJ803" s="63">
        <f t="shared" si="116"/>
        <v>734397991</v>
      </c>
      <c r="CK803" s="64">
        <f t="shared" si="117"/>
        <v>0</v>
      </c>
      <c r="CL803" s="16"/>
      <c r="CM803" s="16"/>
      <c r="CN803" s="16"/>
    </row>
    <row r="804" spans="1:96" ht="15" customHeight="1" x14ac:dyDescent="0.2">
      <c r="A804" s="1">
        <v>8907009118</v>
      </c>
      <c r="B804" s="1">
        <v>890700911</v>
      </c>
      <c r="C804" s="9">
        <v>212273622</v>
      </c>
      <c r="D804" s="10" t="s">
        <v>2235</v>
      </c>
      <c r="E804" s="52" t="s">
        <v>1962</v>
      </c>
      <c r="F804" s="21"/>
      <c r="G804" s="59"/>
      <c r="H804" s="21"/>
      <c r="I804" s="59"/>
      <c r="J804" s="21"/>
      <c r="K804" s="21"/>
      <c r="L804" s="59"/>
      <c r="M804" s="60"/>
      <c r="N804" s="21"/>
      <c r="O804" s="59"/>
      <c r="P804" s="21"/>
      <c r="Q804" s="59"/>
      <c r="R804" s="21"/>
      <c r="S804" s="21"/>
      <c r="T804" s="59"/>
      <c r="U804" s="60">
        <f t="shared" si="112"/>
        <v>0</v>
      </c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>
        <v>43022720</v>
      </c>
      <c r="AZ804" s="60"/>
      <c r="BA804" s="60">
        <f>VLOOKUP(B804,[2]Hoja3!J$3:K$674,2,0)</f>
        <v>114618688</v>
      </c>
      <c r="BB804" s="60"/>
      <c r="BC804" s="61">
        <f t="shared" si="113"/>
        <v>157641408</v>
      </c>
      <c r="BD804" s="60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>
        <v>8604544</v>
      </c>
      <c r="BO804" s="60"/>
      <c r="BP804" s="61">
        <v>166245952</v>
      </c>
      <c r="BQ804" s="61"/>
      <c r="BR804" s="61"/>
      <c r="BS804" s="61"/>
      <c r="BT804" s="61"/>
      <c r="BU804" s="61"/>
      <c r="BV804" s="61"/>
      <c r="BW804" s="61"/>
      <c r="BX804" s="61"/>
      <c r="BY804" s="61"/>
      <c r="BZ804" s="61"/>
      <c r="CA804" s="61"/>
      <c r="CB804" s="61"/>
      <c r="CC804" s="61">
        <v>8604544</v>
      </c>
      <c r="CD804" s="61"/>
      <c r="CE804" s="61"/>
      <c r="CF804" s="61"/>
      <c r="CG804" s="61">
        <f t="shared" si="114"/>
        <v>174850496</v>
      </c>
      <c r="CH804" s="62">
        <f>VLOOKUP(B804,[1]RPTNCT049_ConsultaSaldosContabl!I$4:K$7987,3,0)</f>
        <v>60231808</v>
      </c>
      <c r="CI804" s="62">
        <f t="shared" si="115"/>
        <v>114618688</v>
      </c>
      <c r="CJ804" s="63">
        <f t="shared" si="116"/>
        <v>174850496</v>
      </c>
      <c r="CK804" s="64">
        <f t="shared" si="117"/>
        <v>0</v>
      </c>
      <c r="CL804" s="16"/>
      <c r="CM804" s="16"/>
      <c r="CN804" s="16"/>
    </row>
    <row r="805" spans="1:96" ht="15" customHeight="1" x14ac:dyDescent="0.2">
      <c r="A805" s="1">
        <v>8918017703</v>
      </c>
      <c r="B805" s="1">
        <v>891801770</v>
      </c>
      <c r="C805" s="9">
        <v>212115621</v>
      </c>
      <c r="D805" s="10" t="s">
        <v>292</v>
      </c>
      <c r="E805" s="52" t="s">
        <v>1323</v>
      </c>
      <c r="F805" s="21"/>
      <c r="G805" s="59"/>
      <c r="H805" s="21"/>
      <c r="I805" s="59"/>
      <c r="J805" s="21"/>
      <c r="K805" s="21"/>
      <c r="L805" s="59"/>
      <c r="M805" s="60"/>
      <c r="N805" s="21"/>
      <c r="O805" s="59"/>
      <c r="P805" s="21"/>
      <c r="Q805" s="59"/>
      <c r="R805" s="21"/>
      <c r="S805" s="21"/>
      <c r="T805" s="59"/>
      <c r="U805" s="60">
        <f t="shared" si="112"/>
        <v>0</v>
      </c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>
        <v>25486181</v>
      </c>
      <c r="AN805" s="60">
        <f t="shared" ref="AN805:AN811" si="120">SUBTOTAL(9,AC805:AM805)</f>
        <v>25486181</v>
      </c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>
        <f>VLOOKUP(B805,[2]Hoja3!J$3:K$674,2,0)</f>
        <v>17314675</v>
      </c>
      <c r="BB805" s="60"/>
      <c r="BC805" s="61">
        <f t="shared" si="113"/>
        <v>42800856</v>
      </c>
      <c r="BD805" s="60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>
        <v>0</v>
      </c>
      <c r="BO805" s="60"/>
      <c r="BP805" s="61">
        <v>42800856</v>
      </c>
      <c r="BQ805" s="61"/>
      <c r="BR805" s="61"/>
      <c r="BS805" s="61"/>
      <c r="BT805" s="61"/>
      <c r="BU805" s="61"/>
      <c r="BV805" s="61"/>
      <c r="BW805" s="61"/>
      <c r="BX805" s="61"/>
      <c r="BY805" s="61"/>
      <c r="BZ805" s="61"/>
      <c r="CA805" s="61"/>
      <c r="CB805" s="61"/>
      <c r="CC805" s="61">
        <v>0</v>
      </c>
      <c r="CD805" s="61"/>
      <c r="CE805" s="61"/>
      <c r="CF805" s="61"/>
      <c r="CG805" s="61">
        <f t="shared" si="114"/>
        <v>42800856</v>
      </c>
      <c r="CH805" s="62"/>
      <c r="CI805" s="62">
        <f t="shared" si="115"/>
        <v>42800856</v>
      </c>
      <c r="CJ805" s="63">
        <f t="shared" si="116"/>
        <v>42800856</v>
      </c>
      <c r="CK805" s="64">
        <f t="shared" si="117"/>
        <v>0</v>
      </c>
      <c r="CL805" s="16"/>
      <c r="CM805" s="8"/>
      <c r="CN805" s="8"/>
      <c r="CO805" s="8"/>
      <c r="CP805" s="8"/>
      <c r="CQ805" s="8"/>
      <c r="CR805" s="8"/>
    </row>
    <row r="806" spans="1:96" ht="15" customHeight="1" x14ac:dyDescent="0.2">
      <c r="A806" s="1">
        <v>8000959834</v>
      </c>
      <c r="B806" s="1">
        <v>800095983</v>
      </c>
      <c r="C806" s="9">
        <v>212219622</v>
      </c>
      <c r="D806" s="10" t="s">
        <v>401</v>
      </c>
      <c r="E806" s="52" t="s">
        <v>1429</v>
      </c>
      <c r="F806" s="21"/>
      <c r="G806" s="59"/>
      <c r="H806" s="21"/>
      <c r="I806" s="59"/>
      <c r="J806" s="21"/>
      <c r="K806" s="21"/>
      <c r="L806" s="59"/>
      <c r="M806" s="60"/>
      <c r="N806" s="21"/>
      <c r="O806" s="59"/>
      <c r="P806" s="21"/>
      <c r="Q806" s="59"/>
      <c r="R806" s="21"/>
      <c r="S806" s="21"/>
      <c r="T806" s="59"/>
      <c r="U806" s="60">
        <f t="shared" si="112"/>
        <v>0</v>
      </c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>
        <v>99232863</v>
      </c>
      <c r="AN806" s="60">
        <f t="shared" si="120"/>
        <v>99232863</v>
      </c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>
        <v>82506380</v>
      </c>
      <c r="AZ806" s="60"/>
      <c r="BA806" s="60">
        <f>VLOOKUP(B806,[2]Hoja3!J$3:K$674,2,0)</f>
        <v>40860058</v>
      </c>
      <c r="BB806" s="60"/>
      <c r="BC806" s="61">
        <f t="shared" si="113"/>
        <v>222599301</v>
      </c>
      <c r="BD806" s="60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>
        <v>16501276</v>
      </c>
      <c r="BO806" s="60"/>
      <c r="BP806" s="61">
        <v>239100577</v>
      </c>
      <c r="BQ806" s="61"/>
      <c r="BR806" s="61"/>
      <c r="BS806" s="61"/>
      <c r="BT806" s="61"/>
      <c r="BU806" s="61"/>
      <c r="BV806" s="61"/>
      <c r="BW806" s="61"/>
      <c r="BX806" s="61"/>
      <c r="BY806" s="61"/>
      <c r="BZ806" s="61"/>
      <c r="CA806" s="61"/>
      <c r="CB806" s="61"/>
      <c r="CC806" s="61">
        <v>16501276</v>
      </c>
      <c r="CD806" s="61"/>
      <c r="CE806" s="61"/>
      <c r="CF806" s="61"/>
      <c r="CG806" s="61">
        <f t="shared" si="114"/>
        <v>255601853</v>
      </c>
      <c r="CH806" s="62">
        <f>VLOOKUP(B806,[1]RPTNCT049_ConsultaSaldosContabl!I$4:K$7987,3,0)</f>
        <v>115508932</v>
      </c>
      <c r="CI806" s="62">
        <f t="shared" si="115"/>
        <v>140092921</v>
      </c>
      <c r="CJ806" s="63">
        <f t="shared" si="116"/>
        <v>255601853</v>
      </c>
      <c r="CK806" s="64">
        <f t="shared" si="117"/>
        <v>0</v>
      </c>
      <c r="CL806" s="16"/>
      <c r="CM806" s="16"/>
      <c r="CN806" s="16"/>
    </row>
    <row r="807" spans="1:96" ht="15" customHeight="1" x14ac:dyDescent="0.2">
      <c r="A807" s="1">
        <v>8001001389</v>
      </c>
      <c r="B807" s="1">
        <v>800100138</v>
      </c>
      <c r="C807" s="9">
        <v>212473624</v>
      </c>
      <c r="D807" s="10" t="s">
        <v>2246</v>
      </c>
      <c r="E807" s="45" t="s">
        <v>1963</v>
      </c>
      <c r="F807" s="21"/>
      <c r="G807" s="59"/>
      <c r="H807" s="21"/>
      <c r="I807" s="59"/>
      <c r="J807" s="21"/>
      <c r="K807" s="21"/>
      <c r="L807" s="59"/>
      <c r="M807" s="60"/>
      <c r="N807" s="21"/>
      <c r="O807" s="59"/>
      <c r="P807" s="21"/>
      <c r="Q807" s="59"/>
      <c r="R807" s="21"/>
      <c r="S807" s="21"/>
      <c r="T807" s="59"/>
      <c r="U807" s="60">
        <f t="shared" si="112"/>
        <v>0</v>
      </c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>
        <v>238682896</v>
      </c>
      <c r="AN807" s="60">
        <f t="shared" si="120"/>
        <v>238682896</v>
      </c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>
        <v>204865620</v>
      </c>
      <c r="AZ807" s="60"/>
      <c r="BA807" s="60">
        <f>VLOOKUP(B807,[2]Hoja3!J$3:K$674,2,0)</f>
        <v>214434192</v>
      </c>
      <c r="BB807" s="60"/>
      <c r="BC807" s="61">
        <f t="shared" si="113"/>
        <v>657982708</v>
      </c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>
        <v>40973124</v>
      </c>
      <c r="BO807" s="60"/>
      <c r="BP807" s="61">
        <v>698955832</v>
      </c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  <c r="CA807" s="61"/>
      <c r="CB807" s="61"/>
      <c r="CC807" s="61">
        <v>40973124</v>
      </c>
      <c r="CD807" s="61"/>
      <c r="CE807" s="61"/>
      <c r="CF807" s="61"/>
      <c r="CG807" s="61">
        <f t="shared" si="114"/>
        <v>739928956</v>
      </c>
      <c r="CH807" s="62">
        <f>VLOOKUP(B807,[1]RPTNCT049_ConsultaSaldosContabl!I$4:K$7987,3,0)</f>
        <v>286811868</v>
      </c>
      <c r="CI807" s="62">
        <f t="shared" si="115"/>
        <v>453117088</v>
      </c>
      <c r="CJ807" s="63">
        <f t="shared" si="116"/>
        <v>739928956</v>
      </c>
      <c r="CK807" s="64">
        <f t="shared" si="117"/>
        <v>0</v>
      </c>
      <c r="CL807" s="16"/>
      <c r="CM807" s="16"/>
      <c r="CN807" s="16"/>
    </row>
    <row r="808" spans="1:96" ht="15" customHeight="1" x14ac:dyDescent="0.2">
      <c r="A808" s="1">
        <v>8000371752</v>
      </c>
      <c r="B808" s="1">
        <v>800037175</v>
      </c>
      <c r="C808" s="9">
        <v>215713657</v>
      </c>
      <c r="D808" s="10" t="s">
        <v>2159</v>
      </c>
      <c r="E808" s="45" t="s">
        <v>1238</v>
      </c>
      <c r="F808" s="21"/>
      <c r="G808" s="59"/>
      <c r="H808" s="21"/>
      <c r="I808" s="59"/>
      <c r="J808" s="21"/>
      <c r="K808" s="21"/>
      <c r="L808" s="59"/>
      <c r="M808" s="60"/>
      <c r="N808" s="21"/>
      <c r="O808" s="59"/>
      <c r="P808" s="21"/>
      <c r="Q808" s="59"/>
      <c r="R808" s="21"/>
      <c r="S808" s="21"/>
      <c r="T808" s="59"/>
      <c r="U808" s="60">
        <f t="shared" si="112"/>
        <v>0</v>
      </c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>
        <v>125628349</v>
      </c>
      <c r="AN808" s="60">
        <f t="shared" si="120"/>
        <v>125628349</v>
      </c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>
        <v>388101425</v>
      </c>
      <c r="AZ808" s="60"/>
      <c r="BA808" s="60">
        <f>VLOOKUP(B808,[2]Hoja3!J$3:K$674,2,0)</f>
        <v>445004036</v>
      </c>
      <c r="BB808" s="60"/>
      <c r="BC808" s="61">
        <f t="shared" si="113"/>
        <v>958733810</v>
      </c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>
        <v>77620285</v>
      </c>
      <c r="BO808" s="60"/>
      <c r="BP808" s="61">
        <v>1036354095</v>
      </c>
      <c r="BQ808" s="61"/>
      <c r="BR808" s="61"/>
      <c r="BS808" s="61"/>
      <c r="BT808" s="61"/>
      <c r="BU808" s="61"/>
      <c r="BV808" s="61"/>
      <c r="BW808" s="61"/>
      <c r="BX808" s="61"/>
      <c r="BY808" s="61"/>
      <c r="BZ808" s="61"/>
      <c r="CA808" s="61"/>
      <c r="CB808" s="61"/>
      <c r="CC808" s="61">
        <v>77620285</v>
      </c>
      <c r="CD808" s="61"/>
      <c r="CE808" s="61"/>
      <c r="CF808" s="61"/>
      <c r="CG808" s="61">
        <f t="shared" si="114"/>
        <v>1113974380</v>
      </c>
      <c r="CH808" s="62">
        <f>VLOOKUP(B808,[1]RPTNCT049_ConsultaSaldosContabl!I$4:K$7987,3,0)</f>
        <v>543341995</v>
      </c>
      <c r="CI808" s="62">
        <f t="shared" si="115"/>
        <v>570632385</v>
      </c>
      <c r="CJ808" s="63">
        <f t="shared" si="116"/>
        <v>1113974380</v>
      </c>
      <c r="CK808" s="64">
        <f t="shared" si="117"/>
        <v>0</v>
      </c>
      <c r="CL808" s="16"/>
      <c r="CM808" s="8"/>
      <c r="CN808" s="8"/>
      <c r="CO808" s="8"/>
      <c r="CP808" s="8"/>
      <c r="CQ808" s="8"/>
      <c r="CR808" s="8"/>
    </row>
    <row r="809" spans="1:96" ht="15" customHeight="1" x14ac:dyDescent="0.2">
      <c r="A809" s="1">
        <v>8000434862</v>
      </c>
      <c r="B809" s="1">
        <v>800043486</v>
      </c>
      <c r="C809" s="9">
        <v>216713667</v>
      </c>
      <c r="D809" s="10" t="s">
        <v>2160</v>
      </c>
      <c r="E809" s="45" t="s">
        <v>1239</v>
      </c>
      <c r="F809" s="21"/>
      <c r="G809" s="59"/>
      <c r="H809" s="21"/>
      <c r="I809" s="59"/>
      <c r="J809" s="21"/>
      <c r="K809" s="21"/>
      <c r="L809" s="59"/>
      <c r="M809" s="60"/>
      <c r="N809" s="21"/>
      <c r="O809" s="59"/>
      <c r="P809" s="21"/>
      <c r="Q809" s="59"/>
      <c r="R809" s="21"/>
      <c r="S809" s="21"/>
      <c r="T809" s="59"/>
      <c r="U809" s="60">
        <f t="shared" si="112"/>
        <v>0</v>
      </c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>
        <v>158863000</v>
      </c>
      <c r="AN809" s="60">
        <f t="shared" si="120"/>
        <v>158863000</v>
      </c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>
        <f>VLOOKUP(B809,[2]Hoja3!J$3:K$674,2,0)</f>
        <v>179939579</v>
      </c>
      <c r="BB809" s="60"/>
      <c r="BC809" s="61">
        <f t="shared" si="113"/>
        <v>338802579</v>
      </c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>
        <v>43877943</v>
      </c>
      <c r="BO809" s="60"/>
      <c r="BP809" s="61">
        <v>382680522</v>
      </c>
      <c r="BQ809" s="61"/>
      <c r="BR809" s="61"/>
      <c r="BS809" s="61"/>
      <c r="BT809" s="61"/>
      <c r="BU809" s="61"/>
      <c r="BV809" s="61"/>
      <c r="BW809" s="61"/>
      <c r="BX809" s="61"/>
      <c r="BY809" s="61"/>
      <c r="BZ809" s="61"/>
      <c r="CA809" s="61"/>
      <c r="CB809" s="61"/>
      <c r="CC809" s="61">
        <v>43877943</v>
      </c>
      <c r="CD809" s="61">
        <v>219389715</v>
      </c>
      <c r="CE809" s="61"/>
      <c r="CF809" s="61"/>
      <c r="CG809" s="61">
        <f t="shared" si="114"/>
        <v>645948180</v>
      </c>
      <c r="CH809" s="62">
        <f>VLOOKUP(B809,[1]RPTNCT049_ConsultaSaldosContabl!I$4:K$7987,3,0)</f>
        <v>307145601</v>
      </c>
      <c r="CI809" s="62">
        <f t="shared" si="115"/>
        <v>338802579</v>
      </c>
      <c r="CJ809" s="63">
        <f t="shared" si="116"/>
        <v>645948180</v>
      </c>
      <c r="CK809" s="64">
        <f t="shared" si="117"/>
        <v>0</v>
      </c>
      <c r="CL809" s="16"/>
      <c r="CM809" s="8"/>
      <c r="CN809" s="8"/>
      <c r="CO809" s="8"/>
      <c r="CP809" s="8"/>
      <c r="CQ809" s="8"/>
      <c r="CR809" s="8"/>
    </row>
    <row r="810" spans="1:96" ht="15" customHeight="1" x14ac:dyDescent="0.2">
      <c r="A810" s="1">
        <v>8902046431</v>
      </c>
      <c r="B810" s="1">
        <v>890204643</v>
      </c>
      <c r="C810" s="9">
        <v>215568655</v>
      </c>
      <c r="D810" s="10" t="s">
        <v>872</v>
      </c>
      <c r="E810" s="45" t="s">
        <v>1884</v>
      </c>
      <c r="F810" s="21"/>
      <c r="G810" s="59"/>
      <c r="H810" s="21"/>
      <c r="I810" s="59"/>
      <c r="J810" s="21"/>
      <c r="K810" s="21"/>
      <c r="L810" s="59"/>
      <c r="M810" s="60"/>
      <c r="N810" s="21"/>
      <c r="O810" s="59"/>
      <c r="P810" s="21"/>
      <c r="Q810" s="59"/>
      <c r="R810" s="21"/>
      <c r="S810" s="21"/>
      <c r="T810" s="59"/>
      <c r="U810" s="60">
        <f t="shared" si="112"/>
        <v>0</v>
      </c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>
        <v>268112376</v>
      </c>
      <c r="AN810" s="60">
        <f t="shared" si="120"/>
        <v>268112376</v>
      </c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>
        <v>199687195</v>
      </c>
      <c r="AZ810" s="60"/>
      <c r="BA810" s="60">
        <f>VLOOKUP(B810,[2]Hoja3!J$3:K$674,2,0)</f>
        <v>229609924</v>
      </c>
      <c r="BB810" s="60"/>
      <c r="BC810" s="61">
        <f t="shared" si="113"/>
        <v>697409495</v>
      </c>
      <c r="BD810" s="60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>
        <v>39937439</v>
      </c>
      <c r="BO810" s="60"/>
      <c r="BP810" s="61">
        <v>737346934</v>
      </c>
      <c r="BQ810" s="61"/>
      <c r="BR810" s="61"/>
      <c r="BS810" s="61"/>
      <c r="BT810" s="61"/>
      <c r="BU810" s="61"/>
      <c r="BV810" s="61"/>
      <c r="BW810" s="61"/>
      <c r="BX810" s="61"/>
      <c r="BY810" s="61"/>
      <c r="BZ810" s="61"/>
      <c r="CA810" s="61"/>
      <c r="CB810" s="61"/>
      <c r="CC810" s="61">
        <v>39937439</v>
      </c>
      <c r="CD810" s="61"/>
      <c r="CE810" s="61"/>
      <c r="CF810" s="61"/>
      <c r="CG810" s="61">
        <f t="shared" si="114"/>
        <v>777284373</v>
      </c>
      <c r="CH810" s="62">
        <f>VLOOKUP(B810,[1]RPTNCT049_ConsultaSaldosContabl!I$4:K$7987,3,0)</f>
        <v>279562073</v>
      </c>
      <c r="CI810" s="62">
        <f t="shared" si="115"/>
        <v>497722300</v>
      </c>
      <c r="CJ810" s="63">
        <f t="shared" si="116"/>
        <v>777284373</v>
      </c>
      <c r="CK810" s="64">
        <f t="shared" si="117"/>
        <v>0</v>
      </c>
      <c r="CL810" s="16"/>
      <c r="CM810" s="16"/>
      <c r="CN810" s="16"/>
    </row>
    <row r="811" spans="1:96" ht="15" customHeight="1" x14ac:dyDescent="0.2">
      <c r="A811" s="1">
        <v>8901159821</v>
      </c>
      <c r="B811" s="1">
        <v>890115982</v>
      </c>
      <c r="C811" s="9">
        <v>213408634</v>
      </c>
      <c r="D811" s="10" t="s">
        <v>174</v>
      </c>
      <c r="E811" s="45" t="s">
        <v>1203</v>
      </c>
      <c r="F811" s="21"/>
      <c r="G811" s="59"/>
      <c r="H811" s="21"/>
      <c r="I811" s="59"/>
      <c r="J811" s="21"/>
      <c r="K811" s="21"/>
      <c r="L811" s="59"/>
      <c r="M811" s="60"/>
      <c r="N811" s="21"/>
      <c r="O811" s="59"/>
      <c r="P811" s="21"/>
      <c r="Q811" s="59"/>
      <c r="R811" s="21"/>
      <c r="S811" s="21"/>
      <c r="T811" s="59"/>
      <c r="U811" s="60">
        <f t="shared" si="112"/>
        <v>0</v>
      </c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>
        <v>229148245</v>
      </c>
      <c r="AN811" s="60">
        <f t="shared" si="120"/>
        <v>229148245</v>
      </c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>
        <v>209406100</v>
      </c>
      <c r="AZ811" s="60"/>
      <c r="BA811" s="60">
        <f>VLOOKUP(B811,[2]Hoja3!J$3:K$674,2,0)</f>
        <v>102557394</v>
      </c>
      <c r="BB811" s="60"/>
      <c r="BC811" s="61">
        <f t="shared" si="113"/>
        <v>541111739</v>
      </c>
      <c r="BD811" s="60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>
        <v>41881220</v>
      </c>
      <c r="BO811" s="60"/>
      <c r="BP811" s="61">
        <v>582992959</v>
      </c>
      <c r="BQ811" s="61"/>
      <c r="BR811" s="61"/>
      <c r="BS811" s="61"/>
      <c r="BT811" s="61"/>
      <c r="BU811" s="61"/>
      <c r="BV811" s="61"/>
      <c r="BW811" s="61"/>
      <c r="BX811" s="61"/>
      <c r="BY811" s="61"/>
      <c r="BZ811" s="61"/>
      <c r="CA811" s="61"/>
      <c r="CB811" s="61"/>
      <c r="CC811" s="61">
        <v>41881220</v>
      </c>
      <c r="CD811" s="61"/>
      <c r="CE811" s="61"/>
      <c r="CF811" s="61"/>
      <c r="CG811" s="61">
        <f t="shared" si="114"/>
        <v>624874179</v>
      </c>
      <c r="CH811" s="62">
        <f>VLOOKUP(B811,[1]RPTNCT049_ConsultaSaldosContabl!I$4:K$7987,3,0)</f>
        <v>293168540</v>
      </c>
      <c r="CI811" s="62">
        <f t="shared" si="115"/>
        <v>331705639</v>
      </c>
      <c r="CJ811" s="63">
        <f t="shared" si="116"/>
        <v>624874179</v>
      </c>
      <c r="CK811" s="64">
        <f t="shared" si="117"/>
        <v>0</v>
      </c>
      <c r="CL811" s="16"/>
      <c r="CM811" s="16"/>
      <c r="CN811" s="16"/>
    </row>
    <row r="812" spans="1:96" ht="15" customHeight="1" x14ac:dyDescent="0.2">
      <c r="A812" s="1">
        <v>8909837369</v>
      </c>
      <c r="B812" s="1">
        <v>890983736</v>
      </c>
      <c r="C812" s="9">
        <v>212805628</v>
      </c>
      <c r="D812" s="10" t="s">
        <v>124</v>
      </c>
      <c r="E812" s="45" t="s">
        <v>1153</v>
      </c>
      <c r="F812" s="21"/>
      <c r="G812" s="59"/>
      <c r="H812" s="21"/>
      <c r="I812" s="59"/>
      <c r="J812" s="21"/>
      <c r="K812" s="21"/>
      <c r="L812" s="59"/>
      <c r="M812" s="60"/>
      <c r="N812" s="21"/>
      <c r="O812" s="59"/>
      <c r="P812" s="21"/>
      <c r="Q812" s="59"/>
      <c r="R812" s="21"/>
      <c r="S812" s="21"/>
      <c r="T812" s="59"/>
      <c r="U812" s="60">
        <f t="shared" si="112"/>
        <v>0</v>
      </c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>
        <v>75178600</v>
      </c>
      <c r="AZ812" s="60"/>
      <c r="BA812" s="60">
        <f>VLOOKUP(B812,[2]Hoja3!J$3:K$674,2,0)</f>
        <v>130154951</v>
      </c>
      <c r="BB812" s="60"/>
      <c r="BC812" s="61">
        <f t="shared" si="113"/>
        <v>205333551</v>
      </c>
      <c r="BD812" s="60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>
        <v>15035720</v>
      </c>
      <c r="BO812" s="60"/>
      <c r="BP812" s="61">
        <v>220369271</v>
      </c>
      <c r="BQ812" s="61"/>
      <c r="BR812" s="61"/>
      <c r="BS812" s="61"/>
      <c r="BT812" s="61"/>
      <c r="BU812" s="61"/>
      <c r="BV812" s="61"/>
      <c r="BW812" s="61"/>
      <c r="BX812" s="61"/>
      <c r="BY812" s="61"/>
      <c r="BZ812" s="61"/>
      <c r="CA812" s="61"/>
      <c r="CB812" s="61"/>
      <c r="CC812" s="61">
        <v>15035720</v>
      </c>
      <c r="CD812" s="61"/>
      <c r="CE812" s="61"/>
      <c r="CF812" s="61"/>
      <c r="CG812" s="61">
        <f t="shared" si="114"/>
        <v>235404991</v>
      </c>
      <c r="CH812" s="62">
        <f>VLOOKUP(B812,[1]RPTNCT049_ConsultaSaldosContabl!I$4:K$7987,3,0)</f>
        <v>105250040</v>
      </c>
      <c r="CI812" s="62">
        <f t="shared" si="115"/>
        <v>130154951</v>
      </c>
      <c r="CJ812" s="63">
        <f t="shared" si="116"/>
        <v>235404991</v>
      </c>
      <c r="CK812" s="64">
        <f t="shared" si="117"/>
        <v>0</v>
      </c>
      <c r="CL812" s="16"/>
      <c r="CM812" s="16"/>
      <c r="CN812" s="16"/>
    </row>
    <row r="813" spans="1:96" ht="15" customHeight="1" x14ac:dyDescent="0.2">
      <c r="A813" s="1">
        <v>8000948444</v>
      </c>
      <c r="B813" s="1">
        <v>800094844</v>
      </c>
      <c r="C813" s="9">
        <v>213808638</v>
      </c>
      <c r="D813" s="10" t="s">
        <v>175</v>
      </c>
      <c r="E813" s="45" t="s">
        <v>1204</v>
      </c>
      <c r="F813" s="21"/>
      <c r="G813" s="59"/>
      <c r="H813" s="21"/>
      <c r="I813" s="59"/>
      <c r="J813" s="21"/>
      <c r="K813" s="21"/>
      <c r="L813" s="59"/>
      <c r="M813" s="60"/>
      <c r="N813" s="21"/>
      <c r="O813" s="59"/>
      <c r="P813" s="21"/>
      <c r="Q813" s="59"/>
      <c r="R813" s="21"/>
      <c r="S813" s="21"/>
      <c r="T813" s="59"/>
      <c r="U813" s="60">
        <f t="shared" si="112"/>
        <v>0</v>
      </c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>
        <v>1374709621</v>
      </c>
      <c r="AN813" s="60">
        <f>SUBTOTAL(9,AC813:AM813)</f>
        <v>1374709621</v>
      </c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>
        <v>572493255</v>
      </c>
      <c r="AZ813" s="60"/>
      <c r="BA813" s="60"/>
      <c r="BB813" s="60"/>
      <c r="BC813" s="61">
        <f t="shared" si="113"/>
        <v>1947202876</v>
      </c>
      <c r="BD813" s="60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>
        <v>114498651</v>
      </c>
      <c r="BO813" s="60"/>
      <c r="BP813" s="61">
        <v>2061701527</v>
      </c>
      <c r="BQ813" s="61"/>
      <c r="BR813" s="61"/>
      <c r="BS813" s="61"/>
      <c r="BT813" s="61"/>
      <c r="BU813" s="61"/>
      <c r="BV813" s="61"/>
      <c r="BW813" s="61"/>
      <c r="BX813" s="61"/>
      <c r="BY813" s="61"/>
      <c r="BZ813" s="61"/>
      <c r="CA813" s="61"/>
      <c r="CB813" s="61"/>
      <c r="CC813" s="61">
        <v>114498651</v>
      </c>
      <c r="CD813" s="61"/>
      <c r="CE813" s="61">
        <v>23370014</v>
      </c>
      <c r="CF813" s="61"/>
      <c r="CG813" s="61">
        <f t="shared" si="114"/>
        <v>2199570192</v>
      </c>
      <c r="CH813" s="62">
        <f>VLOOKUP(B813,[1]RPTNCT049_ConsultaSaldosContabl!I$4:K$7987,3,0)</f>
        <v>801490557</v>
      </c>
      <c r="CI813" s="62">
        <f t="shared" si="115"/>
        <v>1398079635</v>
      </c>
      <c r="CJ813" s="63">
        <f t="shared" si="116"/>
        <v>2199570192</v>
      </c>
      <c r="CK813" s="64">
        <f t="shared" si="117"/>
        <v>0</v>
      </c>
      <c r="CL813" s="16"/>
      <c r="CM813" s="16"/>
      <c r="CN813" s="16"/>
    </row>
    <row r="814" spans="1:96" ht="15" customHeight="1" x14ac:dyDescent="0.2">
      <c r="A814" s="1">
        <v>8918578236</v>
      </c>
      <c r="B814" s="1">
        <v>891857823</v>
      </c>
      <c r="C814" s="9">
        <v>210085300</v>
      </c>
      <c r="D814" s="10" t="s">
        <v>967</v>
      </c>
      <c r="E814" s="48" t="s">
        <v>2250</v>
      </c>
      <c r="F814" s="21"/>
      <c r="G814" s="59"/>
      <c r="H814" s="21"/>
      <c r="I814" s="59"/>
      <c r="J814" s="21"/>
      <c r="K814" s="21"/>
      <c r="L814" s="59"/>
      <c r="M814" s="60"/>
      <c r="N814" s="21"/>
      <c r="O814" s="59"/>
      <c r="P814" s="21"/>
      <c r="Q814" s="59"/>
      <c r="R814" s="21"/>
      <c r="S814" s="21"/>
      <c r="T814" s="59"/>
      <c r="U814" s="60">
        <f t="shared" si="112"/>
        <v>0</v>
      </c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>
        <v>60101919</v>
      </c>
      <c r="AN814" s="60">
        <f>SUBTOTAL(9,AC814:AM814)</f>
        <v>60101919</v>
      </c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>
        <v>29934620</v>
      </c>
      <c r="AZ814" s="60"/>
      <c r="BA814" s="60"/>
      <c r="BB814" s="60"/>
      <c r="BC814" s="61">
        <f t="shared" si="113"/>
        <v>90036539</v>
      </c>
      <c r="BD814" s="60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>
        <v>5986924</v>
      </c>
      <c r="BO814" s="60"/>
      <c r="BP814" s="61">
        <v>96023463</v>
      </c>
      <c r="BQ814" s="61"/>
      <c r="BR814" s="61"/>
      <c r="BS814" s="61"/>
      <c r="BT814" s="61"/>
      <c r="BU814" s="61"/>
      <c r="BV814" s="61"/>
      <c r="BW814" s="61"/>
      <c r="BX814" s="61"/>
      <c r="BY814" s="61"/>
      <c r="BZ814" s="61"/>
      <c r="CA814" s="61"/>
      <c r="CB814" s="61"/>
      <c r="CC814" s="61">
        <v>5986924</v>
      </c>
      <c r="CD814" s="61"/>
      <c r="CE814" s="61"/>
      <c r="CF814" s="61"/>
      <c r="CG814" s="61">
        <f t="shared" si="114"/>
        <v>102010387</v>
      </c>
      <c r="CH814" s="62">
        <f>VLOOKUP(B814,[1]RPTNCT049_ConsultaSaldosContabl!I$4:K$7987,3,0)</f>
        <v>41908468</v>
      </c>
      <c r="CI814" s="62">
        <f t="shared" si="115"/>
        <v>60101919</v>
      </c>
      <c r="CJ814" s="63">
        <f t="shared" si="116"/>
        <v>102010387</v>
      </c>
      <c r="CK814" s="64">
        <f t="shared" si="117"/>
        <v>0</v>
      </c>
      <c r="CL814" s="16"/>
      <c r="CM814" s="16"/>
      <c r="CN814" s="16"/>
    </row>
    <row r="815" spans="1:96" ht="15" customHeight="1" x14ac:dyDescent="0.2">
      <c r="A815" s="1">
        <v>8190032248</v>
      </c>
      <c r="B815" s="1">
        <v>819003224</v>
      </c>
      <c r="C815" s="9">
        <v>216047660</v>
      </c>
      <c r="D815" s="10" t="s">
        <v>656</v>
      </c>
      <c r="E815" s="45" t="s">
        <v>1676</v>
      </c>
      <c r="F815" s="21"/>
      <c r="G815" s="59"/>
      <c r="H815" s="21"/>
      <c r="I815" s="59"/>
      <c r="J815" s="21"/>
      <c r="K815" s="21"/>
      <c r="L815" s="59"/>
      <c r="M815" s="60"/>
      <c r="N815" s="21"/>
      <c r="O815" s="59"/>
      <c r="P815" s="21"/>
      <c r="Q815" s="59"/>
      <c r="R815" s="21"/>
      <c r="S815" s="21"/>
      <c r="T815" s="59"/>
      <c r="U815" s="60">
        <f t="shared" si="112"/>
        <v>0</v>
      </c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>
        <v>231025790</v>
      </c>
      <c r="AZ815" s="60"/>
      <c r="BA815" s="60">
        <f>VLOOKUP(B815,[2]Hoja3!J$3:K$674,2,0)</f>
        <v>363133031</v>
      </c>
      <c r="BB815" s="60"/>
      <c r="BC815" s="61">
        <f t="shared" si="113"/>
        <v>594158821</v>
      </c>
      <c r="BD815" s="60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>
        <v>46205158</v>
      </c>
      <c r="BO815" s="60"/>
      <c r="BP815" s="61">
        <v>640363979</v>
      </c>
      <c r="BQ815" s="61"/>
      <c r="BR815" s="61"/>
      <c r="BS815" s="61"/>
      <c r="BT815" s="61"/>
      <c r="BU815" s="61"/>
      <c r="BV815" s="61"/>
      <c r="BW815" s="61"/>
      <c r="BX815" s="61"/>
      <c r="BY815" s="61"/>
      <c r="BZ815" s="61"/>
      <c r="CA815" s="61"/>
      <c r="CB815" s="61"/>
      <c r="CC815" s="61">
        <v>46205158</v>
      </c>
      <c r="CD815" s="61"/>
      <c r="CE815" s="61"/>
      <c r="CF815" s="61"/>
      <c r="CG815" s="61">
        <f t="shared" si="114"/>
        <v>686569137</v>
      </c>
      <c r="CH815" s="62">
        <f>VLOOKUP(B815,[1]RPTNCT049_ConsultaSaldosContabl!I$4:K$7987,3,0)</f>
        <v>323436106</v>
      </c>
      <c r="CI815" s="62">
        <f t="shared" si="115"/>
        <v>363133031</v>
      </c>
      <c r="CJ815" s="63">
        <f t="shared" si="116"/>
        <v>686569137</v>
      </c>
      <c r="CK815" s="64">
        <f t="shared" si="117"/>
        <v>0</v>
      </c>
      <c r="CL815" s="16"/>
      <c r="CM815" s="16"/>
      <c r="CN815" s="16"/>
    </row>
    <row r="816" spans="1:96" ht="15" customHeight="1" x14ac:dyDescent="0.2">
      <c r="A816" s="1">
        <v>8909803316</v>
      </c>
      <c r="B816" s="1">
        <v>890980331</v>
      </c>
      <c r="C816" s="9">
        <v>213105631</v>
      </c>
      <c r="D816" s="10" t="s">
        <v>125</v>
      </c>
      <c r="E816" s="47" t="s">
        <v>1154</v>
      </c>
      <c r="F816" s="21"/>
      <c r="G816" s="59"/>
      <c r="H816" s="21"/>
      <c r="I816" s="59">
        <f>840164734+64881472</f>
        <v>905046206</v>
      </c>
      <c r="J816" s="21">
        <v>63923514</v>
      </c>
      <c r="K816" s="21">
        <v>126642609</v>
      </c>
      <c r="L816" s="59"/>
      <c r="M816" s="61">
        <f>SUM(F816:L816)</f>
        <v>1095612329</v>
      </c>
      <c r="N816" s="21"/>
      <c r="O816" s="59"/>
      <c r="P816" s="21"/>
      <c r="Q816" s="59">
        <f>789140809+29491578</f>
        <v>818632387</v>
      </c>
      <c r="R816" s="21">
        <v>63923514</v>
      </c>
      <c r="S816" s="21">
        <f>62719095+63923514</f>
        <v>126642609</v>
      </c>
      <c r="T816" s="59"/>
      <c r="U816" s="60">
        <f t="shared" si="112"/>
        <v>2104810839</v>
      </c>
      <c r="V816" s="60"/>
      <c r="W816" s="60"/>
      <c r="X816" s="60"/>
      <c r="Y816" s="60">
        <v>1483080821</v>
      </c>
      <c r="Z816" s="60">
        <v>61404552</v>
      </c>
      <c r="AA816" s="60">
        <v>144842152</v>
      </c>
      <c r="AB816" s="60"/>
      <c r="AC816" s="60">
        <f t="shared" si="119"/>
        <v>3794138364</v>
      </c>
      <c r="AD816" s="60"/>
      <c r="AE816" s="60"/>
      <c r="AF816" s="60"/>
      <c r="AG816" s="60"/>
      <c r="AH816" s="60">
        <v>846944219</v>
      </c>
      <c r="AI816" s="60">
        <v>255706232</v>
      </c>
      <c r="AJ816" s="60">
        <v>65347725</v>
      </c>
      <c r="AK816" s="60">
        <v>164708958</v>
      </c>
      <c r="AL816" s="60"/>
      <c r="AM816" s="60">
        <v>503042975</v>
      </c>
      <c r="AN816" s="60">
        <f>SUBTOTAL(9,AC816:AM816)</f>
        <v>5629888473</v>
      </c>
      <c r="AO816" s="60"/>
      <c r="AP816" s="60"/>
      <c r="AQ816" s="60">
        <v>203339010</v>
      </c>
      <c r="AR816" s="60"/>
      <c r="AS816" s="60"/>
      <c r="AT816" s="60">
        <v>846944219</v>
      </c>
      <c r="AU816" s="60"/>
      <c r="AV816" s="60">
        <v>65347725</v>
      </c>
      <c r="AW816" s="60">
        <v>111540250</v>
      </c>
      <c r="AX816" s="60"/>
      <c r="AY816" s="60"/>
      <c r="AZ816" s="60"/>
      <c r="BA816" s="60"/>
      <c r="BB816" s="60"/>
      <c r="BC816" s="61">
        <f t="shared" si="113"/>
        <v>6857059677</v>
      </c>
      <c r="BD816" s="60"/>
      <c r="BE816" s="60"/>
      <c r="BF816" s="60">
        <v>40667802</v>
      </c>
      <c r="BG816" s="60"/>
      <c r="BH816" s="60"/>
      <c r="BI816" s="60">
        <v>872503886</v>
      </c>
      <c r="BJ816" s="60">
        <v>51104148</v>
      </c>
      <c r="BK816" s="60">
        <v>72385338</v>
      </c>
      <c r="BL816" s="60">
        <v>183704873</v>
      </c>
      <c r="BM816" s="60"/>
      <c r="BN816" s="60"/>
      <c r="BO816" s="60"/>
      <c r="BP816" s="61">
        <v>8077425724</v>
      </c>
      <c r="BQ816" s="61"/>
      <c r="BR816" s="61"/>
      <c r="BS816" s="61">
        <v>40667802</v>
      </c>
      <c r="BT816" s="61"/>
      <c r="BU816" s="61"/>
      <c r="BV816" s="61"/>
      <c r="BW816" s="61">
        <v>881045111</v>
      </c>
      <c r="BX816" s="61"/>
      <c r="BY816" s="61">
        <v>418477534</v>
      </c>
      <c r="BZ816" s="61">
        <v>66825418</v>
      </c>
      <c r="CA816" s="61">
        <v>174660157</v>
      </c>
      <c r="CB816" s="61"/>
      <c r="CC816" s="61"/>
      <c r="CD816" s="61"/>
      <c r="CE816" s="61"/>
      <c r="CF816" s="61"/>
      <c r="CG816" s="61">
        <f t="shared" si="114"/>
        <v>9659101746</v>
      </c>
      <c r="CH816" s="62">
        <f>VLOOKUP(B816,[1]RPTNCT049_ConsultaSaldosContabl!I$4:K$7987,3,0)</f>
        <v>9156058771</v>
      </c>
      <c r="CI816" s="62">
        <f t="shared" si="115"/>
        <v>503042975</v>
      </c>
      <c r="CJ816" s="63">
        <f t="shared" si="116"/>
        <v>9659101746</v>
      </c>
      <c r="CK816" s="64">
        <f t="shared" si="117"/>
        <v>0</v>
      </c>
      <c r="CL816" s="16"/>
      <c r="CM816" s="16"/>
      <c r="CN816" s="16"/>
    </row>
    <row r="817" spans="1:96" ht="15" customHeight="1" x14ac:dyDescent="0.2">
      <c r="A817" s="1">
        <v>8000285171</v>
      </c>
      <c r="B817" s="1">
        <v>800028517</v>
      </c>
      <c r="C817" s="9">
        <v>213215632</v>
      </c>
      <c r="D817" s="10" t="s">
        <v>293</v>
      </c>
      <c r="E817" s="45" t="s">
        <v>1324</v>
      </c>
      <c r="F817" s="21"/>
      <c r="G817" s="59"/>
      <c r="H817" s="21"/>
      <c r="I817" s="59"/>
      <c r="J817" s="21"/>
      <c r="K817" s="21"/>
      <c r="L817" s="59"/>
      <c r="M817" s="60"/>
      <c r="N817" s="21"/>
      <c r="O817" s="59"/>
      <c r="P817" s="21"/>
      <c r="Q817" s="59"/>
      <c r="R817" s="21"/>
      <c r="S817" s="21"/>
      <c r="T817" s="59"/>
      <c r="U817" s="60">
        <f t="shared" si="112"/>
        <v>0</v>
      </c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>
        <v>53793537</v>
      </c>
      <c r="AN817" s="60">
        <f>SUBTOTAL(9,AC817:AM817)</f>
        <v>53793537</v>
      </c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>
        <v>101835620</v>
      </c>
      <c r="AZ817" s="60"/>
      <c r="BA817" s="60">
        <f>VLOOKUP(B817,[2]Hoja3!J$3:K$674,2,0)</f>
        <v>153307564</v>
      </c>
      <c r="BB817" s="60"/>
      <c r="BC817" s="61">
        <f t="shared" si="113"/>
        <v>308936721</v>
      </c>
      <c r="BD817" s="60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>
        <v>20367124</v>
      </c>
      <c r="BO817" s="60"/>
      <c r="BP817" s="61">
        <v>329303845</v>
      </c>
      <c r="BQ817" s="61"/>
      <c r="BR817" s="61"/>
      <c r="BS817" s="61"/>
      <c r="BT817" s="61"/>
      <c r="BU817" s="61"/>
      <c r="BV817" s="61"/>
      <c r="BW817" s="61"/>
      <c r="BX817" s="61"/>
      <c r="BY817" s="61"/>
      <c r="BZ817" s="61"/>
      <c r="CA817" s="61"/>
      <c r="CB817" s="61"/>
      <c r="CC817" s="61">
        <v>20367124</v>
      </c>
      <c r="CD817" s="61"/>
      <c r="CE817" s="61"/>
      <c r="CF817" s="61"/>
      <c r="CG817" s="61">
        <f t="shared" si="114"/>
        <v>349670969</v>
      </c>
      <c r="CH817" s="62">
        <f>VLOOKUP(B817,[1]RPTNCT049_ConsultaSaldosContabl!I$4:K$7987,3,0)</f>
        <v>142569868</v>
      </c>
      <c r="CI817" s="62">
        <f t="shared" si="115"/>
        <v>207101101</v>
      </c>
      <c r="CJ817" s="63">
        <f t="shared" si="116"/>
        <v>349670969</v>
      </c>
      <c r="CK817" s="64">
        <f t="shared" si="117"/>
        <v>0</v>
      </c>
      <c r="CL817" s="16"/>
      <c r="CM817" s="8"/>
      <c r="CN817" s="8"/>
      <c r="CO817" s="8"/>
      <c r="CP817" s="8"/>
      <c r="CQ817" s="8"/>
      <c r="CR817" s="8"/>
    </row>
    <row r="818" spans="1:96" ht="15" customHeight="1" x14ac:dyDescent="0.2">
      <c r="A818" s="1">
        <v>8001036638</v>
      </c>
      <c r="B818" s="1">
        <v>800103663</v>
      </c>
      <c r="C818" s="9">
        <v>211585315</v>
      </c>
      <c r="D818" s="10" t="s">
        <v>968</v>
      </c>
      <c r="E818" s="45" t="s">
        <v>2027</v>
      </c>
      <c r="F818" s="21"/>
      <c r="G818" s="59"/>
      <c r="H818" s="21"/>
      <c r="I818" s="59"/>
      <c r="J818" s="21"/>
      <c r="K818" s="21"/>
      <c r="L818" s="59"/>
      <c r="M818" s="60"/>
      <c r="N818" s="21"/>
      <c r="O818" s="59"/>
      <c r="P818" s="21"/>
      <c r="Q818" s="59"/>
      <c r="R818" s="21"/>
      <c r="S818" s="21"/>
      <c r="T818" s="59"/>
      <c r="U818" s="60">
        <f t="shared" si="112"/>
        <v>0</v>
      </c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>
        <v>19569551</v>
      </c>
      <c r="AN818" s="60">
        <f>SUBTOTAL(9,AC818:AM818)</f>
        <v>19569551</v>
      </c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>
        <v>14363855</v>
      </c>
      <c r="AZ818" s="60"/>
      <c r="BA818" s="60"/>
      <c r="BB818" s="60"/>
      <c r="BC818" s="61">
        <f t="shared" si="113"/>
        <v>33933406</v>
      </c>
      <c r="BD818" s="60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>
        <v>2872771</v>
      </c>
      <c r="BO818" s="60"/>
      <c r="BP818" s="61">
        <v>36806177</v>
      </c>
      <c r="BQ818" s="61"/>
      <c r="BR818" s="61"/>
      <c r="BS818" s="61"/>
      <c r="BT818" s="61"/>
      <c r="BU818" s="61"/>
      <c r="BV818" s="61"/>
      <c r="BW818" s="61"/>
      <c r="BX818" s="61"/>
      <c r="BY818" s="61"/>
      <c r="BZ818" s="61"/>
      <c r="CA818" s="61"/>
      <c r="CB818" s="61"/>
      <c r="CC818" s="61">
        <v>2872771</v>
      </c>
      <c r="CD818" s="61"/>
      <c r="CE818" s="61"/>
      <c r="CF818" s="61"/>
      <c r="CG818" s="61">
        <f t="shared" si="114"/>
        <v>39678948</v>
      </c>
      <c r="CH818" s="62">
        <f>VLOOKUP(B818,[1]RPTNCT049_ConsultaSaldosContabl!I$4:K$7987,3,0)</f>
        <v>20109397</v>
      </c>
      <c r="CI818" s="62">
        <f t="shared" si="115"/>
        <v>19569551</v>
      </c>
      <c r="CJ818" s="63">
        <f t="shared" si="116"/>
        <v>39678948</v>
      </c>
      <c r="CK818" s="64">
        <f t="shared" si="117"/>
        <v>0</v>
      </c>
      <c r="CL818" s="16"/>
      <c r="CM818" s="16"/>
      <c r="CN818" s="16"/>
    </row>
    <row r="819" spans="1:96" ht="15" customHeight="1" x14ac:dyDescent="0.2">
      <c r="A819" s="1">
        <v>8000198461</v>
      </c>
      <c r="B819" s="1">
        <v>800019846</v>
      </c>
      <c r="C819" s="9">
        <v>213815638</v>
      </c>
      <c r="D819" s="10" t="s">
        <v>294</v>
      </c>
      <c r="E819" s="45" t="s">
        <v>1325</v>
      </c>
      <c r="F819" s="21"/>
      <c r="G819" s="59"/>
      <c r="H819" s="21"/>
      <c r="I819" s="59"/>
      <c r="J819" s="21"/>
      <c r="K819" s="21"/>
      <c r="L819" s="59"/>
      <c r="M819" s="60"/>
      <c r="N819" s="21"/>
      <c r="O819" s="59"/>
      <c r="P819" s="21"/>
      <c r="Q819" s="59"/>
      <c r="R819" s="21"/>
      <c r="S819" s="21"/>
      <c r="T819" s="59"/>
      <c r="U819" s="60">
        <f t="shared" si="112"/>
        <v>0</v>
      </c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>
        <v>26526835</v>
      </c>
      <c r="AZ819" s="60"/>
      <c r="BA819" s="60">
        <f>VLOOKUP(B819,[2]Hoja3!J$3:K$674,2,0)</f>
        <v>52056713</v>
      </c>
      <c r="BB819" s="60"/>
      <c r="BC819" s="61">
        <f t="shared" si="113"/>
        <v>78583548</v>
      </c>
      <c r="BD819" s="60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>
        <v>5305367</v>
      </c>
      <c r="BO819" s="60"/>
      <c r="BP819" s="61">
        <v>83888915</v>
      </c>
      <c r="BQ819" s="61"/>
      <c r="BR819" s="61"/>
      <c r="BS819" s="61"/>
      <c r="BT819" s="61"/>
      <c r="BU819" s="61"/>
      <c r="BV819" s="61"/>
      <c r="BW819" s="61"/>
      <c r="BX819" s="61"/>
      <c r="BY819" s="61"/>
      <c r="BZ819" s="61"/>
      <c r="CA819" s="61"/>
      <c r="CB819" s="61"/>
      <c r="CC819" s="61">
        <v>5305367</v>
      </c>
      <c r="CD819" s="61"/>
      <c r="CE819" s="61"/>
      <c r="CF819" s="61"/>
      <c r="CG819" s="61">
        <f t="shared" si="114"/>
        <v>89194282</v>
      </c>
      <c r="CH819" s="62">
        <f>VLOOKUP(B819,[1]RPTNCT049_ConsultaSaldosContabl!I$4:K$7987,3,0)</f>
        <v>37137569</v>
      </c>
      <c r="CI819" s="62">
        <f t="shared" si="115"/>
        <v>52056713</v>
      </c>
      <c r="CJ819" s="63">
        <f t="shared" si="116"/>
        <v>89194282</v>
      </c>
      <c r="CK819" s="64">
        <f t="shared" si="117"/>
        <v>0</v>
      </c>
      <c r="CL819" s="16"/>
      <c r="CM819" s="8"/>
      <c r="CN819" s="8"/>
      <c r="CO819" s="8"/>
      <c r="CP819" s="8"/>
      <c r="CQ819" s="8"/>
      <c r="CR819" s="8"/>
    </row>
    <row r="820" spans="1:96" ht="15" customHeight="1" x14ac:dyDescent="0.2">
      <c r="A820" s="1">
        <v>8000967778</v>
      </c>
      <c r="B820" s="1">
        <v>800096777</v>
      </c>
      <c r="C820" s="9">
        <v>216023660</v>
      </c>
      <c r="D820" s="10" t="s">
        <v>2182</v>
      </c>
      <c r="E820" s="47" t="s">
        <v>1018</v>
      </c>
      <c r="F820" s="21"/>
      <c r="G820" s="59"/>
      <c r="H820" s="21"/>
      <c r="I820" s="66">
        <f>3381205754+51691483</f>
        <v>3432897237</v>
      </c>
      <c r="J820" s="21">
        <v>239101125</v>
      </c>
      <c r="K820" s="21">
        <v>483316038</v>
      </c>
      <c r="L820" s="59"/>
      <c r="M820" s="61">
        <f>SUM(F820:L820)</f>
        <v>4155314400</v>
      </c>
      <c r="N820" s="21"/>
      <c r="O820" s="59"/>
      <c r="P820" s="21"/>
      <c r="Q820" s="59">
        <f>3283515181+23496129</f>
        <v>3307011310</v>
      </c>
      <c r="R820" s="21">
        <v>239101125</v>
      </c>
      <c r="S820" s="21">
        <f>244214913+239101125</f>
        <v>483316038</v>
      </c>
      <c r="T820" s="59"/>
      <c r="U820" s="60">
        <f t="shared" si="112"/>
        <v>8184742873</v>
      </c>
      <c r="V820" s="60"/>
      <c r="W820" s="60"/>
      <c r="X820" s="60"/>
      <c r="Y820" s="60">
        <v>5325431895</v>
      </c>
      <c r="Z820" s="60">
        <v>238252994</v>
      </c>
      <c r="AA820" s="60">
        <v>541839747</v>
      </c>
      <c r="AB820" s="60"/>
      <c r="AC820" s="60">
        <f t="shared" si="119"/>
        <v>14290267509</v>
      </c>
      <c r="AD820" s="60"/>
      <c r="AE820" s="60"/>
      <c r="AF820" s="60"/>
      <c r="AG820" s="60"/>
      <c r="AH820" s="60">
        <v>3441754975</v>
      </c>
      <c r="AI820" s="60">
        <v>347560704</v>
      </c>
      <c r="AJ820" s="60">
        <v>245623058</v>
      </c>
      <c r="AK820" s="60">
        <v>619389794</v>
      </c>
      <c r="AL820" s="60"/>
      <c r="AM820" s="60">
        <v>1068773499</v>
      </c>
      <c r="AN820" s="60">
        <f>SUBTOTAL(9,AC820:AM820)</f>
        <v>20013369539</v>
      </c>
      <c r="AO820" s="60"/>
      <c r="AP820" s="60"/>
      <c r="AQ820" s="60">
        <v>843076960</v>
      </c>
      <c r="AR820" s="60"/>
      <c r="AS820" s="60"/>
      <c r="AT820" s="60">
        <v>3441754975</v>
      </c>
      <c r="AU820" s="60"/>
      <c r="AV820" s="60">
        <v>245623058</v>
      </c>
      <c r="AW820" s="60">
        <v>419503160</v>
      </c>
      <c r="AX820" s="60"/>
      <c r="AY820" s="60"/>
      <c r="AZ820" s="60"/>
      <c r="BA820" s="60">
        <f>VLOOKUP(B820,[2]Hoja3!J$3:K$674,2,0)</f>
        <v>591306826</v>
      </c>
      <c r="BB820" s="60"/>
      <c r="BC820" s="61">
        <f t="shared" si="113"/>
        <v>25554634518</v>
      </c>
      <c r="BD820" s="60"/>
      <c r="BE820" s="60"/>
      <c r="BF820" s="60">
        <v>168615392</v>
      </c>
      <c r="BG820" s="60"/>
      <c r="BH820" s="60"/>
      <c r="BI820" s="60">
        <v>3534526274</v>
      </c>
      <c r="BJ820" s="60">
        <v>538092820</v>
      </c>
      <c r="BK820" s="60">
        <v>259227789</v>
      </c>
      <c r="BL820" s="60">
        <v>539532172</v>
      </c>
      <c r="BM820" s="60"/>
      <c r="BN820" s="60"/>
      <c r="BO820" s="60"/>
      <c r="BP820" s="61">
        <v>30594628965</v>
      </c>
      <c r="BQ820" s="61"/>
      <c r="BR820" s="61"/>
      <c r="BS820" s="61">
        <v>168615392</v>
      </c>
      <c r="BT820" s="61"/>
      <c r="BU820" s="61"/>
      <c r="BV820" s="61"/>
      <c r="BW820" s="61">
        <v>3572282691</v>
      </c>
      <c r="BX820" s="61">
        <v>570496000</v>
      </c>
      <c r="BY820" s="61">
        <v>1600000000</v>
      </c>
      <c r="BZ820" s="61">
        <v>248069435</v>
      </c>
      <c r="CA820" s="61">
        <v>664000627</v>
      </c>
      <c r="CB820" s="61"/>
      <c r="CC820" s="61"/>
      <c r="CD820" s="61"/>
      <c r="CE820" s="61"/>
      <c r="CF820" s="61"/>
      <c r="CG820" s="61">
        <f t="shared" si="114"/>
        <v>37418093110</v>
      </c>
      <c r="CH820" s="62">
        <f>VLOOKUP(B820,[1]RPTNCT049_ConsultaSaldosContabl!I$4:K$7987,3,0)</f>
        <v>35758012785</v>
      </c>
      <c r="CI820" s="62">
        <f t="shared" si="115"/>
        <v>1660080325</v>
      </c>
      <c r="CJ820" s="63">
        <f t="shared" si="116"/>
        <v>37418093110</v>
      </c>
      <c r="CK820" s="64">
        <f t="shared" si="117"/>
        <v>0</v>
      </c>
      <c r="CL820" s="16"/>
      <c r="CM820" s="16"/>
      <c r="CN820" s="16"/>
    </row>
    <row r="821" spans="1:96" ht="15" customHeight="1" x14ac:dyDescent="0.2">
      <c r="A821" s="1">
        <v>8911801801</v>
      </c>
      <c r="B821" s="1">
        <v>891180180</v>
      </c>
      <c r="C821" s="9">
        <v>216041660</v>
      </c>
      <c r="D821" s="10" t="s">
        <v>618</v>
      </c>
      <c r="E821" s="45" t="s">
        <v>1637</v>
      </c>
      <c r="F821" s="21"/>
      <c r="G821" s="59"/>
      <c r="H821" s="21"/>
      <c r="I821" s="59"/>
      <c r="J821" s="21"/>
      <c r="K821" s="21"/>
      <c r="L821" s="59"/>
      <c r="M821" s="60"/>
      <c r="N821" s="21"/>
      <c r="O821" s="59"/>
      <c r="P821" s="21"/>
      <c r="Q821" s="59"/>
      <c r="R821" s="21"/>
      <c r="S821" s="21"/>
      <c r="T821" s="59"/>
      <c r="U821" s="60">
        <f t="shared" si="112"/>
        <v>0</v>
      </c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>
        <v>95255785</v>
      </c>
      <c r="AZ821" s="60"/>
      <c r="BA821" s="60">
        <f>VLOOKUP(B821,[2]Hoja3!J$3:K$674,2,0)</f>
        <v>220949308</v>
      </c>
      <c r="BB821" s="60"/>
      <c r="BC821" s="61">
        <f t="shared" si="113"/>
        <v>316205093</v>
      </c>
      <c r="BD821" s="60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>
        <v>19051157</v>
      </c>
      <c r="BO821" s="60"/>
      <c r="BP821" s="61">
        <v>335256250</v>
      </c>
      <c r="BQ821" s="61"/>
      <c r="BR821" s="61"/>
      <c r="BS821" s="61"/>
      <c r="BT821" s="61"/>
      <c r="BU821" s="61"/>
      <c r="BV821" s="61"/>
      <c r="BW821" s="61"/>
      <c r="BX821" s="61"/>
      <c r="BY821" s="61"/>
      <c r="BZ821" s="61"/>
      <c r="CA821" s="61"/>
      <c r="CB821" s="61"/>
      <c r="CC821" s="61">
        <v>19051157</v>
      </c>
      <c r="CD821" s="61"/>
      <c r="CE821" s="61"/>
      <c r="CF821" s="61"/>
      <c r="CG821" s="61">
        <f t="shared" si="114"/>
        <v>354307407</v>
      </c>
      <c r="CH821" s="62">
        <f>VLOOKUP(B821,[1]RPTNCT049_ConsultaSaldosContabl!I$4:K$7987,3,0)</f>
        <v>133358099</v>
      </c>
      <c r="CI821" s="62">
        <f t="shared" si="115"/>
        <v>220949308</v>
      </c>
      <c r="CJ821" s="63">
        <f t="shared" si="116"/>
        <v>354307407</v>
      </c>
      <c r="CK821" s="64">
        <f t="shared" si="117"/>
        <v>0</v>
      </c>
      <c r="CL821" s="16"/>
      <c r="CM821" s="16"/>
      <c r="CN821" s="16"/>
    </row>
    <row r="822" spans="1:96" ht="15" customHeight="1" x14ac:dyDescent="0.2">
      <c r="A822" s="1">
        <v>8908011313</v>
      </c>
      <c r="B822" s="1">
        <v>890801131</v>
      </c>
      <c r="C822" s="9">
        <v>215317653</v>
      </c>
      <c r="D822" s="10" t="s">
        <v>355</v>
      </c>
      <c r="E822" s="45" t="s">
        <v>1384</v>
      </c>
      <c r="F822" s="21"/>
      <c r="G822" s="59"/>
      <c r="H822" s="21"/>
      <c r="I822" s="59"/>
      <c r="J822" s="21"/>
      <c r="K822" s="21"/>
      <c r="L822" s="59"/>
      <c r="M822" s="60"/>
      <c r="N822" s="21"/>
      <c r="O822" s="59"/>
      <c r="P822" s="21"/>
      <c r="Q822" s="59"/>
      <c r="R822" s="21"/>
      <c r="S822" s="21"/>
      <c r="T822" s="59"/>
      <c r="U822" s="60">
        <f t="shared" si="112"/>
        <v>0</v>
      </c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>
        <v>142807865</v>
      </c>
      <c r="AN822" s="60">
        <f>SUBTOTAL(9,AC822:AM822)</f>
        <v>142807865</v>
      </c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>
        <v>124968660</v>
      </c>
      <c r="AZ822" s="60"/>
      <c r="BA822" s="60">
        <f>VLOOKUP(B822,[2]Hoja3!J$3:K$674,2,0)</f>
        <v>77548860</v>
      </c>
      <c r="BB822" s="60"/>
      <c r="BC822" s="61">
        <f t="shared" si="113"/>
        <v>345325385</v>
      </c>
      <c r="BD822" s="60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>
        <v>24993732</v>
      </c>
      <c r="BO822" s="60"/>
      <c r="BP822" s="61">
        <v>370319117</v>
      </c>
      <c r="BQ822" s="61"/>
      <c r="BR822" s="61"/>
      <c r="BS822" s="61"/>
      <c r="BT822" s="61"/>
      <c r="BU822" s="61"/>
      <c r="BV822" s="61"/>
      <c r="BW822" s="61"/>
      <c r="BX822" s="61"/>
      <c r="BY822" s="61"/>
      <c r="BZ822" s="61"/>
      <c r="CA822" s="61"/>
      <c r="CB822" s="61"/>
      <c r="CC822" s="61">
        <v>24993732</v>
      </c>
      <c r="CD822" s="61"/>
      <c r="CE822" s="61"/>
      <c r="CF822" s="61"/>
      <c r="CG822" s="61">
        <f t="shared" si="114"/>
        <v>395312849</v>
      </c>
      <c r="CH822" s="62">
        <f>VLOOKUP(B822,[1]RPTNCT049_ConsultaSaldosContabl!I$4:K$7987,3,0)</f>
        <v>174956124</v>
      </c>
      <c r="CI822" s="62">
        <f t="shared" si="115"/>
        <v>220356725</v>
      </c>
      <c r="CJ822" s="63">
        <f t="shared" si="116"/>
        <v>395312849</v>
      </c>
      <c r="CK822" s="64">
        <f t="shared" si="117"/>
        <v>0</v>
      </c>
      <c r="CL822" s="16"/>
      <c r="CM822" s="16"/>
      <c r="CN822" s="16"/>
    </row>
    <row r="823" spans="1:96" ht="15" customHeight="1" x14ac:dyDescent="0.2">
      <c r="A823" s="1">
        <v>8917800539</v>
      </c>
      <c r="B823" s="1">
        <v>891780053</v>
      </c>
      <c r="C823" s="9">
        <v>217547675</v>
      </c>
      <c r="D823" s="10" t="s">
        <v>657</v>
      </c>
      <c r="E823" s="45" t="s">
        <v>1677</v>
      </c>
      <c r="F823" s="21"/>
      <c r="G823" s="59"/>
      <c r="H823" s="21"/>
      <c r="I823" s="59"/>
      <c r="J823" s="21"/>
      <c r="K823" s="21"/>
      <c r="L823" s="59"/>
      <c r="M823" s="60"/>
      <c r="N823" s="21"/>
      <c r="O823" s="59"/>
      <c r="P823" s="21"/>
      <c r="Q823" s="59"/>
      <c r="R823" s="21"/>
      <c r="S823" s="21"/>
      <c r="T823" s="59"/>
      <c r="U823" s="60">
        <f t="shared" si="112"/>
        <v>0</v>
      </c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>
        <v>181530634</v>
      </c>
      <c r="AN823" s="60">
        <f>SUBTOTAL(9,AC823:AM823)</f>
        <v>181530634</v>
      </c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1">
        <f t="shared" si="113"/>
        <v>181530634</v>
      </c>
      <c r="BD823" s="60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>
        <v>0</v>
      </c>
      <c r="BO823" s="60"/>
      <c r="BP823" s="61">
        <v>181530634</v>
      </c>
      <c r="BQ823" s="61"/>
      <c r="BR823" s="61"/>
      <c r="BS823" s="61"/>
      <c r="BT823" s="61"/>
      <c r="BU823" s="61"/>
      <c r="BV823" s="61"/>
      <c r="BW823" s="61"/>
      <c r="BX823" s="61"/>
      <c r="BY823" s="61"/>
      <c r="BZ823" s="61"/>
      <c r="CA823" s="61"/>
      <c r="CB823" s="61"/>
      <c r="CC823" s="61">
        <v>146616484</v>
      </c>
      <c r="CD823" s="61"/>
      <c r="CE823" s="61"/>
      <c r="CF823" s="61"/>
      <c r="CG823" s="61">
        <f t="shared" si="114"/>
        <v>328147118</v>
      </c>
      <c r="CH823" s="62">
        <f>VLOOKUP(B823,[1]RPTNCT049_ConsultaSaldosContabl!I$4:K$7987,3,0)</f>
        <v>146616484</v>
      </c>
      <c r="CI823" s="62">
        <f t="shared" si="115"/>
        <v>181530634</v>
      </c>
      <c r="CJ823" s="63">
        <f t="shared" si="116"/>
        <v>328147118</v>
      </c>
      <c r="CK823" s="64">
        <f t="shared" si="117"/>
        <v>0</v>
      </c>
      <c r="CL823" s="16"/>
      <c r="CM823" s="8"/>
      <c r="CN823" s="8"/>
      <c r="CO823" s="8"/>
      <c r="CP823" s="8"/>
      <c r="CQ823" s="8"/>
      <c r="CR823" s="8"/>
    </row>
    <row r="824" spans="1:96" ht="15" customHeight="1" x14ac:dyDescent="0.2">
      <c r="A824" s="1">
        <v>8905015490</v>
      </c>
      <c r="B824" s="1">
        <v>890501549</v>
      </c>
      <c r="C824" s="9">
        <v>216054660</v>
      </c>
      <c r="D824" s="10" t="s">
        <v>779</v>
      </c>
      <c r="E824" s="45" t="s">
        <v>2065</v>
      </c>
      <c r="F824" s="21"/>
      <c r="G824" s="59"/>
      <c r="H824" s="21"/>
      <c r="I824" s="59"/>
      <c r="J824" s="21"/>
      <c r="K824" s="21"/>
      <c r="L824" s="59"/>
      <c r="M824" s="60"/>
      <c r="N824" s="21"/>
      <c r="O824" s="59"/>
      <c r="P824" s="21"/>
      <c r="Q824" s="59"/>
      <c r="R824" s="21"/>
      <c r="S824" s="21"/>
      <c r="T824" s="59"/>
      <c r="U824" s="60">
        <f t="shared" si="112"/>
        <v>0</v>
      </c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>
        <v>82431913</v>
      </c>
      <c r="AN824" s="60">
        <f>SUBTOTAL(9,AC824:AM824)</f>
        <v>82431913</v>
      </c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>
        <v>80320925</v>
      </c>
      <c r="AZ824" s="60"/>
      <c r="BA824" s="60">
        <f>VLOOKUP(B824,[2]Hoja3!J$3:K$674,2,0)</f>
        <v>89025505</v>
      </c>
      <c r="BB824" s="60"/>
      <c r="BC824" s="61">
        <f t="shared" si="113"/>
        <v>251778343</v>
      </c>
      <c r="BD824" s="60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>
        <v>16064185</v>
      </c>
      <c r="BO824" s="60"/>
      <c r="BP824" s="61">
        <v>267842528</v>
      </c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  <c r="CC824" s="61">
        <v>16064185</v>
      </c>
      <c r="CD824" s="61"/>
      <c r="CE824" s="61"/>
      <c r="CF824" s="61"/>
      <c r="CG824" s="61">
        <f t="shared" si="114"/>
        <v>283906713</v>
      </c>
      <c r="CH824" s="62">
        <f>VLOOKUP(B824,[1]RPTNCT049_ConsultaSaldosContabl!I$4:K$7987,3,0)</f>
        <v>112449295</v>
      </c>
      <c r="CI824" s="62">
        <f t="shared" si="115"/>
        <v>171457418</v>
      </c>
      <c r="CJ824" s="63">
        <f t="shared" si="116"/>
        <v>283906713</v>
      </c>
      <c r="CK824" s="64">
        <f t="shared" si="117"/>
        <v>0</v>
      </c>
      <c r="CL824" s="16"/>
      <c r="CM824" s="16"/>
      <c r="CN824" s="16"/>
    </row>
    <row r="825" spans="1:96" ht="15" customHeight="1" x14ac:dyDescent="0.2">
      <c r="A825" s="1">
        <v>8001001404</v>
      </c>
      <c r="B825" s="1">
        <v>800100140</v>
      </c>
      <c r="C825" s="9">
        <v>217173671</v>
      </c>
      <c r="D825" s="10" t="s">
        <v>2236</v>
      </c>
      <c r="E825" s="45" t="s">
        <v>1964</v>
      </c>
      <c r="F825" s="21"/>
      <c r="G825" s="59"/>
      <c r="H825" s="21"/>
      <c r="I825" s="59"/>
      <c r="J825" s="21"/>
      <c r="K825" s="21"/>
      <c r="L825" s="59"/>
      <c r="M825" s="60"/>
      <c r="N825" s="21"/>
      <c r="O825" s="59"/>
      <c r="P825" s="21"/>
      <c r="Q825" s="59"/>
      <c r="R825" s="21"/>
      <c r="S825" s="21"/>
      <c r="T825" s="59"/>
      <c r="U825" s="60">
        <f t="shared" si="112"/>
        <v>0</v>
      </c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>
        <v>88418865</v>
      </c>
      <c r="AN825" s="60">
        <f>SUBTOTAL(9,AC825:AM825)</f>
        <v>88418865</v>
      </c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>
        <v>90559495</v>
      </c>
      <c r="AZ825" s="60"/>
      <c r="BA825" s="60">
        <f>VLOOKUP(B825,[2]Hoja3!J$3:K$674,2,0)</f>
        <v>105405750</v>
      </c>
      <c r="BB825" s="60"/>
      <c r="BC825" s="61">
        <f t="shared" si="113"/>
        <v>284384110</v>
      </c>
      <c r="BD825" s="60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>
        <v>18111899</v>
      </c>
      <c r="BO825" s="60"/>
      <c r="BP825" s="61">
        <v>302496009</v>
      </c>
      <c r="BQ825" s="61"/>
      <c r="BR825" s="61"/>
      <c r="BS825" s="61"/>
      <c r="BT825" s="61"/>
      <c r="BU825" s="61"/>
      <c r="BV825" s="61"/>
      <c r="BW825" s="61"/>
      <c r="BX825" s="61"/>
      <c r="BY825" s="61"/>
      <c r="BZ825" s="61"/>
      <c r="CA825" s="61"/>
      <c r="CB825" s="61"/>
      <c r="CC825" s="61">
        <v>18111899</v>
      </c>
      <c r="CD825" s="61"/>
      <c r="CE825" s="61"/>
      <c r="CF825" s="61"/>
      <c r="CG825" s="61">
        <f t="shared" si="114"/>
        <v>320607908</v>
      </c>
      <c r="CH825" s="62">
        <f>VLOOKUP(B825,[1]RPTNCT049_ConsultaSaldosContabl!I$4:K$7987,3,0)</f>
        <v>126783293</v>
      </c>
      <c r="CI825" s="62">
        <f t="shared" si="115"/>
        <v>193824615</v>
      </c>
      <c r="CJ825" s="63">
        <f t="shared" si="116"/>
        <v>320607908</v>
      </c>
      <c r="CK825" s="64">
        <f t="shared" si="117"/>
        <v>0</v>
      </c>
      <c r="CL825" s="16"/>
      <c r="CM825" s="16"/>
      <c r="CN825" s="16"/>
    </row>
    <row r="826" spans="1:96" ht="15" customHeight="1" x14ac:dyDescent="0.2">
      <c r="A826" s="1">
        <v>8900011270</v>
      </c>
      <c r="B826" s="1">
        <v>890001127</v>
      </c>
      <c r="C826" s="9">
        <v>219063690</v>
      </c>
      <c r="D826" s="10" t="s">
        <v>799</v>
      </c>
      <c r="E826" s="45" t="s">
        <v>1816</v>
      </c>
      <c r="F826" s="21"/>
      <c r="G826" s="59"/>
      <c r="H826" s="21"/>
      <c r="I826" s="59"/>
      <c r="J826" s="21"/>
      <c r="K826" s="21"/>
      <c r="L826" s="59"/>
      <c r="M826" s="60"/>
      <c r="N826" s="21"/>
      <c r="O826" s="59"/>
      <c r="P826" s="21"/>
      <c r="Q826" s="59"/>
      <c r="R826" s="21"/>
      <c r="S826" s="21"/>
      <c r="T826" s="59"/>
      <c r="U826" s="60">
        <f t="shared" si="112"/>
        <v>0</v>
      </c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>
        <v>50845710</v>
      </c>
      <c r="AZ826" s="60"/>
      <c r="BA826" s="60">
        <f>VLOOKUP(B826,[2]Hoja3!J$3:K$674,2,0)</f>
        <v>87332014</v>
      </c>
      <c r="BB826" s="60"/>
      <c r="BC826" s="61">
        <f t="shared" si="113"/>
        <v>138177724</v>
      </c>
      <c r="BD826" s="60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>
        <v>10169142</v>
      </c>
      <c r="BO826" s="60"/>
      <c r="BP826" s="61">
        <v>148346866</v>
      </c>
      <c r="BQ826" s="61"/>
      <c r="BR826" s="61"/>
      <c r="BS826" s="61"/>
      <c r="BT826" s="61"/>
      <c r="BU826" s="61"/>
      <c r="BV826" s="61"/>
      <c r="BW826" s="61"/>
      <c r="BX826" s="61"/>
      <c r="BY826" s="61"/>
      <c r="BZ826" s="61"/>
      <c r="CA826" s="61"/>
      <c r="CB826" s="61"/>
      <c r="CC826" s="61">
        <v>10169142</v>
      </c>
      <c r="CD826" s="61"/>
      <c r="CE826" s="61"/>
      <c r="CF826" s="61"/>
      <c r="CG826" s="61">
        <f t="shared" si="114"/>
        <v>158516008</v>
      </c>
      <c r="CH826" s="62">
        <f>VLOOKUP(B826,[1]RPTNCT049_ConsultaSaldosContabl!I$4:K$7987,3,0)</f>
        <v>71183994</v>
      </c>
      <c r="CI826" s="62">
        <f t="shared" si="115"/>
        <v>87332014</v>
      </c>
      <c r="CJ826" s="63">
        <f t="shared" si="116"/>
        <v>158516008</v>
      </c>
      <c r="CK826" s="64">
        <f t="shared" si="117"/>
        <v>0</v>
      </c>
      <c r="CL826" s="16"/>
      <c r="CM826" s="16"/>
      <c r="CN826" s="16"/>
    </row>
    <row r="827" spans="1:96" ht="15" customHeight="1" x14ac:dyDescent="0.2">
      <c r="A827" s="1">
        <v>8909805770</v>
      </c>
      <c r="B827" s="1">
        <v>890980577</v>
      </c>
      <c r="C827" s="9">
        <v>214205642</v>
      </c>
      <c r="D827" s="10" t="s">
        <v>126</v>
      </c>
      <c r="E827" s="45" t="s">
        <v>1155</v>
      </c>
      <c r="F827" s="21"/>
      <c r="G827" s="59"/>
      <c r="H827" s="21"/>
      <c r="I827" s="59"/>
      <c r="J827" s="21"/>
      <c r="K827" s="21"/>
      <c r="L827" s="59"/>
      <c r="M827" s="60"/>
      <c r="N827" s="21"/>
      <c r="O827" s="59"/>
      <c r="P827" s="21"/>
      <c r="Q827" s="59"/>
      <c r="R827" s="21"/>
      <c r="S827" s="21"/>
      <c r="T827" s="59"/>
      <c r="U827" s="60">
        <f t="shared" si="112"/>
        <v>0</v>
      </c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>
        <v>230548887</v>
      </c>
      <c r="AN827" s="60">
        <f>SUBTOTAL(9,AC827:AM827)</f>
        <v>230548887</v>
      </c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1">
        <f t="shared" si="113"/>
        <v>230548887</v>
      </c>
      <c r="BD827" s="60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>
        <v>20098556</v>
      </c>
      <c r="BO827" s="60"/>
      <c r="BP827" s="61">
        <v>250647443</v>
      </c>
      <c r="BQ827" s="61"/>
      <c r="BR827" s="61"/>
      <c r="BS827" s="61"/>
      <c r="BT827" s="61"/>
      <c r="BU827" s="61"/>
      <c r="BV827" s="61"/>
      <c r="BW827" s="61"/>
      <c r="BX827" s="61"/>
      <c r="BY827" s="61"/>
      <c r="BZ827" s="61"/>
      <c r="CA827" s="61"/>
      <c r="CB827" s="61"/>
      <c r="CC827" s="61">
        <v>20098556</v>
      </c>
      <c r="CD827" s="61">
        <v>100492780</v>
      </c>
      <c r="CE827" s="61"/>
      <c r="CF827" s="61"/>
      <c r="CG827" s="61">
        <f t="shared" si="114"/>
        <v>371238779</v>
      </c>
      <c r="CH827" s="62">
        <f>VLOOKUP(B827,[1]RPTNCT049_ConsultaSaldosContabl!I$4:K$7987,3,0)</f>
        <v>140689892</v>
      </c>
      <c r="CI827" s="62">
        <f t="shared" si="115"/>
        <v>230548887</v>
      </c>
      <c r="CJ827" s="63">
        <f t="shared" si="116"/>
        <v>371238779</v>
      </c>
      <c r="CK827" s="64">
        <f t="shared" si="117"/>
        <v>0</v>
      </c>
      <c r="CL827" s="16"/>
      <c r="CM827" s="16"/>
      <c r="CN827" s="16"/>
    </row>
    <row r="828" spans="1:96" ht="15" customHeight="1" x14ac:dyDescent="0.2">
      <c r="A828" s="1">
        <v>8000167579</v>
      </c>
      <c r="B828" s="1">
        <v>800016757</v>
      </c>
      <c r="C828" s="9">
        <v>214615646</v>
      </c>
      <c r="D828" s="10" t="s">
        <v>295</v>
      </c>
      <c r="E828" s="45" t="s">
        <v>1326</v>
      </c>
      <c r="F828" s="21"/>
      <c r="G828" s="59"/>
      <c r="H828" s="21"/>
      <c r="I828" s="59"/>
      <c r="J828" s="21"/>
      <c r="K828" s="21"/>
      <c r="L828" s="59"/>
      <c r="M828" s="60"/>
      <c r="N828" s="21"/>
      <c r="O828" s="59"/>
      <c r="P828" s="21"/>
      <c r="Q828" s="59"/>
      <c r="R828" s="21"/>
      <c r="S828" s="21"/>
      <c r="T828" s="59"/>
      <c r="U828" s="60">
        <f t="shared" si="112"/>
        <v>0</v>
      </c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>
        <v>76134355</v>
      </c>
      <c r="AN828" s="60">
        <f>SUBTOTAL(9,AC828:AM828)</f>
        <v>76134355</v>
      </c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>
        <f>VLOOKUP(B828,[2]Hoja3!J$3:K$674,2,0)</f>
        <v>247528810</v>
      </c>
      <c r="BB828" s="60"/>
      <c r="BC828" s="61">
        <f t="shared" si="113"/>
        <v>323663165</v>
      </c>
      <c r="BD828" s="60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>
        <v>0</v>
      </c>
      <c r="BO828" s="60"/>
      <c r="BP828" s="61">
        <v>323663165</v>
      </c>
      <c r="BQ828" s="61"/>
      <c r="BR828" s="61"/>
      <c r="BS828" s="61"/>
      <c r="BT828" s="61"/>
      <c r="BU828" s="61"/>
      <c r="BV828" s="61"/>
      <c r="BW828" s="61"/>
      <c r="BX828" s="61"/>
      <c r="BY828" s="61"/>
      <c r="BZ828" s="61"/>
      <c r="CA828" s="61"/>
      <c r="CB828" s="61"/>
      <c r="CC828" s="61">
        <v>0</v>
      </c>
      <c r="CD828" s="61"/>
      <c r="CE828" s="61"/>
      <c r="CF828" s="61"/>
      <c r="CG828" s="61">
        <f t="shared" si="114"/>
        <v>323663165</v>
      </c>
      <c r="CH828" s="62"/>
      <c r="CI828" s="62">
        <f t="shared" si="115"/>
        <v>323663165</v>
      </c>
      <c r="CJ828" s="63">
        <f t="shared" si="116"/>
        <v>323663165</v>
      </c>
      <c r="CK828" s="64">
        <f t="shared" si="117"/>
        <v>0</v>
      </c>
      <c r="CL828" s="16"/>
      <c r="CM828" s="8"/>
      <c r="CN828" s="8"/>
      <c r="CO828" s="8"/>
      <c r="CP828" s="8"/>
      <c r="CQ828" s="8"/>
      <c r="CR828" s="8"/>
    </row>
    <row r="829" spans="1:96" ht="15" customHeight="1" x14ac:dyDescent="0.2">
      <c r="A829" s="1">
        <v>8908011495</v>
      </c>
      <c r="B829" s="1">
        <v>890801149</v>
      </c>
      <c r="C829" s="9">
        <v>216217662</v>
      </c>
      <c r="D829" s="10" t="s">
        <v>356</v>
      </c>
      <c r="E829" s="45" t="s">
        <v>1385</v>
      </c>
      <c r="F829" s="21"/>
      <c r="G829" s="59"/>
      <c r="H829" s="21"/>
      <c r="I829" s="59"/>
      <c r="J829" s="21"/>
      <c r="K829" s="21"/>
      <c r="L829" s="59"/>
      <c r="M829" s="60"/>
      <c r="N829" s="21"/>
      <c r="O829" s="59"/>
      <c r="P829" s="21"/>
      <c r="Q829" s="59"/>
      <c r="R829" s="21"/>
      <c r="S829" s="21"/>
      <c r="T829" s="59"/>
      <c r="U829" s="60">
        <f t="shared" si="112"/>
        <v>0</v>
      </c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>
        <v>335215012</v>
      </c>
      <c r="AN829" s="60">
        <f>SUBTOTAL(9,AC829:AM829)</f>
        <v>335215012</v>
      </c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>
        <v>163252520</v>
      </c>
      <c r="AZ829" s="60"/>
      <c r="BA829" s="60"/>
      <c r="BB829" s="60">
        <f>VLOOKUP(B829,'[3]anuladas en mayo gratuidad}'!K$2:L$55,2,0)</f>
        <v>95588319</v>
      </c>
      <c r="BC829" s="61">
        <f t="shared" si="113"/>
        <v>402879213</v>
      </c>
      <c r="BD829" s="60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>
        <v>32650504</v>
      </c>
      <c r="BO829" s="60"/>
      <c r="BP829" s="61">
        <v>435529717</v>
      </c>
      <c r="BQ829" s="61"/>
      <c r="BR829" s="61"/>
      <c r="BS829" s="61"/>
      <c r="BT829" s="61"/>
      <c r="BU829" s="61"/>
      <c r="BV829" s="61"/>
      <c r="BW829" s="61"/>
      <c r="BX829" s="61"/>
      <c r="BY829" s="61"/>
      <c r="BZ829" s="61"/>
      <c r="CA829" s="61"/>
      <c r="CB829" s="61"/>
      <c r="CC829" s="61">
        <v>32650504</v>
      </c>
      <c r="CD829" s="61"/>
      <c r="CE829" s="61"/>
      <c r="CF829" s="61"/>
      <c r="CG829" s="61">
        <f t="shared" si="114"/>
        <v>468180221</v>
      </c>
      <c r="CH829" s="62">
        <f>VLOOKUP(B829,[1]RPTNCT049_ConsultaSaldosContabl!I$4:K$7987,3,0)</f>
        <v>228553528</v>
      </c>
      <c r="CI829" s="62">
        <f t="shared" si="115"/>
        <v>239626693</v>
      </c>
      <c r="CJ829" s="63">
        <f t="shared" si="116"/>
        <v>468180221</v>
      </c>
      <c r="CK829" s="64">
        <f t="shared" si="117"/>
        <v>0</v>
      </c>
      <c r="CL829" s="16"/>
      <c r="CM829" s="16"/>
      <c r="CN829" s="16"/>
    </row>
    <row r="830" spans="1:96" ht="15" customHeight="1" x14ac:dyDescent="0.2">
      <c r="A830" s="1">
        <v>8000991360</v>
      </c>
      <c r="B830" s="1">
        <v>800099136</v>
      </c>
      <c r="C830" s="9">
        <v>217852678</v>
      </c>
      <c r="D830" s="10" t="s">
        <v>738</v>
      </c>
      <c r="E830" s="45" t="s">
        <v>1760</v>
      </c>
      <c r="F830" s="21"/>
      <c r="G830" s="59"/>
      <c r="H830" s="21"/>
      <c r="I830" s="59"/>
      <c r="J830" s="21"/>
      <c r="K830" s="21"/>
      <c r="L830" s="59"/>
      <c r="M830" s="60"/>
      <c r="N830" s="21"/>
      <c r="O830" s="59"/>
      <c r="P830" s="21"/>
      <c r="Q830" s="59"/>
      <c r="R830" s="21"/>
      <c r="S830" s="21"/>
      <c r="T830" s="59"/>
      <c r="U830" s="60">
        <f t="shared" si="112"/>
        <v>0</v>
      </c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>
        <v>220738192</v>
      </c>
      <c r="AN830" s="60">
        <f>SUBTOTAL(9,AC830:AM830)</f>
        <v>220738192</v>
      </c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>
        <f>VLOOKUP(B830,[2]Hoja3!J$3:K$674,2,0)</f>
        <v>33785749</v>
      </c>
      <c r="BB830" s="60"/>
      <c r="BC830" s="61">
        <f t="shared" si="113"/>
        <v>254523941</v>
      </c>
      <c r="BD830" s="60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>
        <v>0</v>
      </c>
      <c r="BO830" s="60"/>
      <c r="BP830" s="61">
        <v>254523941</v>
      </c>
      <c r="BQ830" s="61"/>
      <c r="BR830" s="61"/>
      <c r="BS830" s="61"/>
      <c r="BT830" s="61"/>
      <c r="BU830" s="61"/>
      <c r="BV830" s="61"/>
      <c r="BW830" s="61"/>
      <c r="BX830" s="61"/>
      <c r="BY830" s="61"/>
      <c r="BZ830" s="61"/>
      <c r="CA830" s="61"/>
      <c r="CB830" s="61"/>
      <c r="CC830" s="61">
        <v>338408189</v>
      </c>
      <c r="CD830" s="61"/>
      <c r="CE830" s="61"/>
      <c r="CF830" s="61"/>
      <c r="CG830" s="61">
        <f t="shared" si="114"/>
        <v>592932130</v>
      </c>
      <c r="CH830" s="62">
        <f>VLOOKUP(B830,[1]RPTNCT049_ConsultaSaldosContabl!I$4:K$7987,3,0)</f>
        <v>338408189</v>
      </c>
      <c r="CI830" s="62">
        <f t="shared" si="115"/>
        <v>254523941</v>
      </c>
      <c r="CJ830" s="63">
        <f t="shared" si="116"/>
        <v>592932130</v>
      </c>
      <c r="CK830" s="64">
        <f t="shared" si="117"/>
        <v>0</v>
      </c>
      <c r="CL830" s="16"/>
      <c r="CM830" s="16"/>
      <c r="CN830" s="16"/>
    </row>
    <row r="831" spans="1:96" ht="15" customHeight="1" x14ac:dyDescent="0.2">
      <c r="A831" s="1">
        <v>8922800551</v>
      </c>
      <c r="B831" s="1">
        <v>892280055</v>
      </c>
      <c r="C831" s="9">
        <v>217070670</v>
      </c>
      <c r="D831" s="10" t="s">
        <v>905</v>
      </c>
      <c r="E831" s="45" t="s">
        <v>1918</v>
      </c>
      <c r="F831" s="21"/>
      <c r="G831" s="59"/>
      <c r="H831" s="21"/>
      <c r="I831" s="59"/>
      <c r="J831" s="21"/>
      <c r="K831" s="21"/>
      <c r="L831" s="59"/>
      <c r="M831" s="60"/>
      <c r="N831" s="21"/>
      <c r="O831" s="59"/>
      <c r="P831" s="21"/>
      <c r="Q831" s="59"/>
      <c r="R831" s="21"/>
      <c r="S831" s="21"/>
      <c r="T831" s="59"/>
      <c r="U831" s="60">
        <f t="shared" si="112"/>
        <v>0</v>
      </c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>
        <v>83946977</v>
      </c>
      <c r="AN831" s="60">
        <f>SUBTOTAL(9,AC831:AM831)</f>
        <v>83946977</v>
      </c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>
        <v>529346295</v>
      </c>
      <c r="AZ831" s="60"/>
      <c r="BA831" s="60">
        <f>VLOOKUP(B831,[2]Hoja3!J$3:K$674,2,0)</f>
        <v>731038825</v>
      </c>
      <c r="BB831" s="60"/>
      <c r="BC831" s="61">
        <f t="shared" si="113"/>
        <v>1344332097</v>
      </c>
      <c r="BD831" s="60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>
        <v>105869259</v>
      </c>
      <c r="BO831" s="60"/>
      <c r="BP831" s="61">
        <v>1450201356</v>
      </c>
      <c r="BQ831" s="61"/>
      <c r="BR831" s="61"/>
      <c r="BS831" s="61"/>
      <c r="BT831" s="61"/>
      <c r="BU831" s="61"/>
      <c r="BV831" s="61"/>
      <c r="BW831" s="61"/>
      <c r="BX831" s="61"/>
      <c r="BY831" s="61"/>
      <c r="BZ831" s="61"/>
      <c r="CA831" s="61"/>
      <c r="CB831" s="61"/>
      <c r="CC831" s="61">
        <v>105869259</v>
      </c>
      <c r="CD831" s="61"/>
      <c r="CE831" s="61"/>
      <c r="CF831" s="61"/>
      <c r="CG831" s="61">
        <f t="shared" si="114"/>
        <v>1556070615</v>
      </c>
      <c r="CH831" s="62">
        <f>VLOOKUP(B831,[1]RPTNCT049_ConsultaSaldosContabl!I$4:K$7987,3,0)</f>
        <v>741084813</v>
      </c>
      <c r="CI831" s="62">
        <f t="shared" si="115"/>
        <v>814985802</v>
      </c>
      <c r="CJ831" s="63">
        <f t="shared" si="116"/>
        <v>1556070615</v>
      </c>
      <c r="CK831" s="64">
        <f t="shared" si="117"/>
        <v>0</v>
      </c>
      <c r="CL831" s="16"/>
      <c r="CM831" s="16"/>
      <c r="CN831" s="16"/>
    </row>
    <row r="832" spans="1:96" ht="15" customHeight="1" x14ac:dyDescent="0.2">
      <c r="A832" s="1">
        <v>8911800566</v>
      </c>
      <c r="B832" s="1">
        <v>891180056</v>
      </c>
      <c r="C832" s="9">
        <v>216841668</v>
      </c>
      <c r="D832" s="10" t="s">
        <v>619</v>
      </c>
      <c r="E832" s="45" t="s">
        <v>1638</v>
      </c>
      <c r="F832" s="21"/>
      <c r="G832" s="59"/>
      <c r="H832" s="21"/>
      <c r="I832" s="59"/>
      <c r="J832" s="21"/>
      <c r="K832" s="21"/>
      <c r="L832" s="59"/>
      <c r="M832" s="60"/>
      <c r="N832" s="21"/>
      <c r="O832" s="59"/>
      <c r="P832" s="21"/>
      <c r="Q832" s="59"/>
      <c r="R832" s="21"/>
      <c r="S832" s="21"/>
      <c r="T832" s="59"/>
      <c r="U832" s="60">
        <f t="shared" si="112"/>
        <v>0</v>
      </c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>
        <v>218483400</v>
      </c>
      <c r="AZ832" s="60"/>
      <c r="BA832" s="60">
        <f>VLOOKUP(B832,[2]Hoja3!J$3:K$674,2,0)</f>
        <v>480705104</v>
      </c>
      <c r="BB832" s="60"/>
      <c r="BC832" s="61">
        <f t="shared" si="113"/>
        <v>699188504</v>
      </c>
      <c r="BD832" s="60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>
        <v>43696680</v>
      </c>
      <c r="BO832" s="60"/>
      <c r="BP832" s="61">
        <v>742885184</v>
      </c>
      <c r="BQ832" s="61"/>
      <c r="BR832" s="61"/>
      <c r="BS832" s="61"/>
      <c r="BT832" s="61"/>
      <c r="BU832" s="61"/>
      <c r="BV832" s="61"/>
      <c r="BW832" s="61"/>
      <c r="BX832" s="61"/>
      <c r="BY832" s="61"/>
      <c r="BZ832" s="61"/>
      <c r="CA832" s="61"/>
      <c r="CB832" s="61"/>
      <c r="CC832" s="61">
        <v>43696680</v>
      </c>
      <c r="CD832" s="61"/>
      <c r="CE832" s="61"/>
      <c r="CF832" s="61"/>
      <c r="CG832" s="61">
        <f t="shared" si="114"/>
        <v>786581864</v>
      </c>
      <c r="CH832" s="62">
        <f>VLOOKUP(B832,[1]RPTNCT049_ConsultaSaldosContabl!I$4:K$7987,3,0)</f>
        <v>305876760</v>
      </c>
      <c r="CI832" s="62">
        <f t="shared" si="115"/>
        <v>480705104</v>
      </c>
      <c r="CJ832" s="63">
        <f t="shared" si="116"/>
        <v>786581864</v>
      </c>
      <c r="CK832" s="64">
        <f t="shared" si="117"/>
        <v>0</v>
      </c>
      <c r="CL832" s="16"/>
      <c r="CM832" s="16"/>
      <c r="CN832" s="16"/>
    </row>
    <row r="833" spans="1:96" ht="15" customHeight="1" x14ac:dyDescent="0.2">
      <c r="A833" s="1">
        <v>8000966192</v>
      </c>
      <c r="B833" s="1">
        <v>800096619</v>
      </c>
      <c r="C833" s="9">
        <v>211020710</v>
      </c>
      <c r="D833" s="10" t="s">
        <v>433</v>
      </c>
      <c r="E833" s="45" t="s">
        <v>1460</v>
      </c>
      <c r="F833" s="21"/>
      <c r="G833" s="59"/>
      <c r="H833" s="21"/>
      <c r="I833" s="59"/>
      <c r="J833" s="21"/>
      <c r="K833" s="21"/>
      <c r="L833" s="59"/>
      <c r="M833" s="60"/>
      <c r="N833" s="21"/>
      <c r="O833" s="59"/>
      <c r="P833" s="21"/>
      <c r="Q833" s="59"/>
      <c r="R833" s="21"/>
      <c r="S833" s="21"/>
      <c r="T833" s="59"/>
      <c r="U833" s="60">
        <f t="shared" si="112"/>
        <v>0</v>
      </c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>
        <v>158666010</v>
      </c>
      <c r="AZ833" s="60"/>
      <c r="BA833" s="60">
        <f>VLOOKUP(B833,[2]Hoja3!J$3:K$674,2,0)</f>
        <v>341217894</v>
      </c>
      <c r="BB833" s="60"/>
      <c r="BC833" s="61">
        <f t="shared" si="113"/>
        <v>499883904</v>
      </c>
      <c r="BD833" s="60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>
        <v>31733202</v>
      </c>
      <c r="BO833" s="60"/>
      <c r="BP833" s="61">
        <v>531617106</v>
      </c>
      <c r="BQ833" s="61"/>
      <c r="BR833" s="61"/>
      <c r="BS833" s="61"/>
      <c r="BT833" s="61"/>
      <c r="BU833" s="61"/>
      <c r="BV833" s="61"/>
      <c r="BW833" s="61"/>
      <c r="BX833" s="61"/>
      <c r="BY833" s="61"/>
      <c r="BZ833" s="61"/>
      <c r="CA833" s="61"/>
      <c r="CB833" s="61"/>
      <c r="CC833" s="61">
        <v>31733202</v>
      </c>
      <c r="CD833" s="61"/>
      <c r="CE833" s="61"/>
      <c r="CF833" s="61"/>
      <c r="CG833" s="61">
        <f t="shared" si="114"/>
        <v>563350308</v>
      </c>
      <c r="CH833" s="62">
        <f>VLOOKUP(B833,[1]RPTNCT049_ConsultaSaldosContabl!I$4:K$7987,3,0)</f>
        <v>222132414</v>
      </c>
      <c r="CI833" s="62">
        <f t="shared" si="115"/>
        <v>341217894</v>
      </c>
      <c r="CJ833" s="63">
        <f t="shared" si="116"/>
        <v>563350308</v>
      </c>
      <c r="CK833" s="64">
        <f t="shared" si="117"/>
        <v>0</v>
      </c>
      <c r="CL833" s="16"/>
      <c r="CM833" s="16"/>
      <c r="CN833" s="16"/>
    </row>
    <row r="834" spans="1:96" ht="15" customHeight="1" x14ac:dyDescent="0.2">
      <c r="A834" s="1">
        <v>8000752319</v>
      </c>
      <c r="B834" s="1">
        <v>800075231</v>
      </c>
      <c r="C834" s="9">
        <v>217023670</v>
      </c>
      <c r="D834" s="10" t="s">
        <v>2200</v>
      </c>
      <c r="E834" s="45" t="s">
        <v>1481</v>
      </c>
      <c r="F834" s="21"/>
      <c r="G834" s="59"/>
      <c r="H834" s="21"/>
      <c r="I834" s="59"/>
      <c r="J834" s="21"/>
      <c r="K834" s="21"/>
      <c r="L834" s="59"/>
      <c r="M834" s="60"/>
      <c r="N834" s="21"/>
      <c r="O834" s="59"/>
      <c r="P834" s="21"/>
      <c r="Q834" s="59"/>
      <c r="R834" s="21"/>
      <c r="S834" s="21"/>
      <c r="T834" s="59"/>
      <c r="U834" s="60">
        <f t="shared" si="112"/>
        <v>0</v>
      </c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>
        <v>109164563</v>
      </c>
      <c r="AN834" s="60">
        <f>SUBTOTAL(9,AC834:AM834)</f>
        <v>109164563</v>
      </c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>
        <v>676388270</v>
      </c>
      <c r="AZ834" s="60"/>
      <c r="BA834" s="60"/>
      <c r="BB834" s="60"/>
      <c r="BC834" s="61">
        <f t="shared" si="113"/>
        <v>785552833</v>
      </c>
      <c r="BD834" s="60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>
        <v>135277654</v>
      </c>
      <c r="BO834" s="60"/>
      <c r="BP834" s="61">
        <v>920830487</v>
      </c>
      <c r="BQ834" s="61"/>
      <c r="BR834" s="61"/>
      <c r="BS834" s="61"/>
      <c r="BT834" s="61"/>
      <c r="BU834" s="61"/>
      <c r="BV834" s="61"/>
      <c r="BW834" s="61"/>
      <c r="BX834" s="61"/>
      <c r="BY834" s="61"/>
      <c r="BZ834" s="61"/>
      <c r="CA834" s="61"/>
      <c r="CB834" s="61"/>
      <c r="CC834" s="61">
        <v>135277654</v>
      </c>
      <c r="CD834" s="61"/>
      <c r="CE834" s="61">
        <v>705280349</v>
      </c>
      <c r="CF834" s="61"/>
      <c r="CG834" s="61">
        <f t="shared" si="114"/>
        <v>1761388490</v>
      </c>
      <c r="CH834" s="62">
        <f>VLOOKUP(B834,[1]RPTNCT049_ConsultaSaldosContabl!I$4:K$7987,3,0)</f>
        <v>946943578</v>
      </c>
      <c r="CI834" s="62">
        <f t="shared" si="115"/>
        <v>814444912</v>
      </c>
      <c r="CJ834" s="63">
        <f t="shared" si="116"/>
        <v>1761388490</v>
      </c>
      <c r="CK834" s="64">
        <f t="shared" si="117"/>
        <v>0</v>
      </c>
      <c r="CL834" s="16"/>
      <c r="CM834" s="16"/>
      <c r="CN834" s="16"/>
    </row>
    <row r="835" spans="1:96" ht="15" customHeight="1" x14ac:dyDescent="0.2">
      <c r="A835" s="1">
        <v>8909818683</v>
      </c>
      <c r="B835" s="1">
        <v>890981868</v>
      </c>
      <c r="C835" s="9">
        <v>214705647</v>
      </c>
      <c r="D835" s="10" t="s">
        <v>127</v>
      </c>
      <c r="E835" s="45" t="s">
        <v>1122</v>
      </c>
      <c r="F835" s="21"/>
      <c r="G835" s="59"/>
      <c r="H835" s="21"/>
      <c r="I835" s="59"/>
      <c r="J835" s="21"/>
      <c r="K835" s="21"/>
      <c r="L835" s="59"/>
      <c r="M835" s="60"/>
      <c r="N835" s="21"/>
      <c r="O835" s="59"/>
      <c r="P835" s="21"/>
      <c r="Q835" s="59"/>
      <c r="R835" s="21"/>
      <c r="S835" s="21"/>
      <c r="T835" s="59"/>
      <c r="U835" s="60">
        <f t="shared" ref="U835:U898" si="121">SUM(M835:T835)</f>
        <v>0</v>
      </c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>
        <v>47041855</v>
      </c>
      <c r="AZ835" s="60"/>
      <c r="BA835" s="60">
        <f>VLOOKUP(B835,[2]Hoja3!J$3:K$674,2,0)</f>
        <v>103780690</v>
      </c>
      <c r="BB835" s="60"/>
      <c r="BC835" s="61">
        <f t="shared" si="113"/>
        <v>150822545</v>
      </c>
      <c r="BD835" s="60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>
        <v>9408371</v>
      </c>
      <c r="BO835" s="60"/>
      <c r="BP835" s="61">
        <v>160230916</v>
      </c>
      <c r="BQ835" s="61"/>
      <c r="BR835" s="61"/>
      <c r="BS835" s="61"/>
      <c r="BT835" s="61"/>
      <c r="BU835" s="61"/>
      <c r="BV835" s="61"/>
      <c r="BW835" s="61"/>
      <c r="BX835" s="61"/>
      <c r="BY835" s="61"/>
      <c r="BZ835" s="61"/>
      <c r="CA835" s="61"/>
      <c r="CB835" s="61"/>
      <c r="CC835" s="61">
        <v>9408371</v>
      </c>
      <c r="CD835" s="61"/>
      <c r="CE835" s="61"/>
      <c r="CF835" s="61"/>
      <c r="CG835" s="61">
        <f t="shared" si="114"/>
        <v>169639287</v>
      </c>
      <c r="CH835" s="62">
        <f>VLOOKUP(B835,[1]RPTNCT049_ConsultaSaldosContabl!I$4:K$7987,3,0)</f>
        <v>65858597</v>
      </c>
      <c r="CI835" s="62">
        <f t="shared" si="115"/>
        <v>103780690</v>
      </c>
      <c r="CJ835" s="63">
        <f t="shared" si="116"/>
        <v>169639287</v>
      </c>
      <c r="CK835" s="64">
        <f t="shared" si="117"/>
        <v>0</v>
      </c>
      <c r="CL835" s="16"/>
      <c r="CM835" s="8"/>
      <c r="CN835" s="8"/>
      <c r="CO835" s="8"/>
      <c r="CP835" s="8"/>
      <c r="CQ835" s="8"/>
      <c r="CR835" s="8"/>
    </row>
    <row r="836" spans="1:96" ht="15" customHeight="1" x14ac:dyDescent="0.2">
      <c r="A836" s="1">
        <v>8902070221</v>
      </c>
      <c r="B836" s="1">
        <v>890207022</v>
      </c>
      <c r="C836" s="9">
        <v>216968669</v>
      </c>
      <c r="D836" s="10" t="s">
        <v>873</v>
      </c>
      <c r="E836" s="45" t="s">
        <v>1885</v>
      </c>
      <c r="F836" s="21"/>
      <c r="G836" s="59"/>
      <c r="H836" s="21"/>
      <c r="I836" s="59"/>
      <c r="J836" s="21"/>
      <c r="K836" s="21"/>
      <c r="L836" s="59"/>
      <c r="M836" s="60"/>
      <c r="N836" s="21"/>
      <c r="O836" s="59"/>
      <c r="P836" s="21"/>
      <c r="Q836" s="59"/>
      <c r="R836" s="21"/>
      <c r="S836" s="21"/>
      <c r="T836" s="59"/>
      <c r="U836" s="60">
        <f t="shared" si="121"/>
        <v>0</v>
      </c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>
        <v>19354654</v>
      </c>
      <c r="AN836" s="60">
        <f>SUBTOTAL(9,AC836:AM836)</f>
        <v>19354654</v>
      </c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>
        <v>67970400</v>
      </c>
      <c r="AZ836" s="60"/>
      <c r="BA836" s="60">
        <f>VLOOKUP(B836,[2]Hoja3!J$3:K$674,2,0)</f>
        <v>65097972</v>
      </c>
      <c r="BB836" s="60"/>
      <c r="BC836" s="61">
        <f t="shared" ref="BC836:BC899" si="122">SUM(AN836:BA836)-BB836</f>
        <v>152423026</v>
      </c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>
        <v>13594080</v>
      </c>
      <c r="BO836" s="60"/>
      <c r="BP836" s="61">
        <v>166017106</v>
      </c>
      <c r="BQ836" s="61"/>
      <c r="BR836" s="61"/>
      <c r="BS836" s="61"/>
      <c r="BT836" s="61"/>
      <c r="BU836" s="61"/>
      <c r="BV836" s="61"/>
      <c r="BW836" s="61"/>
      <c r="BX836" s="61"/>
      <c r="BY836" s="61"/>
      <c r="BZ836" s="61"/>
      <c r="CA836" s="61"/>
      <c r="CB836" s="61"/>
      <c r="CC836" s="61">
        <v>13594080</v>
      </c>
      <c r="CD836" s="61"/>
      <c r="CE836" s="61"/>
      <c r="CF836" s="61"/>
      <c r="CG836" s="61">
        <f t="shared" ref="CG836:CG899" si="123">SUM(BP836:CF836)</f>
        <v>179611186</v>
      </c>
      <c r="CH836" s="62">
        <f>VLOOKUP(B836,[1]RPTNCT049_ConsultaSaldosContabl!I$4:K$7987,3,0)</f>
        <v>95158560</v>
      </c>
      <c r="CI836" s="62">
        <f t="shared" ref="CI836:CI899" si="124">+AM836+BA836-BB836+BO836+CE836+CF836</f>
        <v>84452626</v>
      </c>
      <c r="CJ836" s="63">
        <f t="shared" ref="CJ836:CJ899" si="125">+CH836+CI836</f>
        <v>179611186</v>
      </c>
      <c r="CK836" s="64">
        <f t="shared" ref="CK836:CK899" si="126">+CG836-CJ836</f>
        <v>0</v>
      </c>
      <c r="CL836" s="16"/>
      <c r="CM836" s="16"/>
      <c r="CN836" s="16"/>
    </row>
    <row r="837" spans="1:96" ht="15" customHeight="1" x14ac:dyDescent="0.2">
      <c r="A837" s="1">
        <v>8000967818</v>
      </c>
      <c r="B837" s="1">
        <v>800096781</v>
      </c>
      <c r="C837" s="9">
        <v>217223672</v>
      </c>
      <c r="D837" s="10" t="s">
        <v>455</v>
      </c>
      <c r="E837" s="45" t="s">
        <v>1482</v>
      </c>
      <c r="F837" s="21"/>
      <c r="G837" s="59"/>
      <c r="H837" s="21"/>
      <c r="I837" s="59"/>
      <c r="J837" s="21"/>
      <c r="K837" s="21"/>
      <c r="L837" s="59"/>
      <c r="M837" s="60"/>
      <c r="N837" s="21"/>
      <c r="O837" s="59"/>
      <c r="P837" s="21"/>
      <c r="Q837" s="59"/>
      <c r="R837" s="21"/>
      <c r="S837" s="21"/>
      <c r="T837" s="59"/>
      <c r="U837" s="60">
        <f t="shared" si="121"/>
        <v>0</v>
      </c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>
        <v>630256153</v>
      </c>
      <c r="AN837" s="60">
        <f>SUBTOTAL(9,AC837:AM837)</f>
        <v>630256153</v>
      </c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1">
        <f t="shared" si="122"/>
        <v>630256153</v>
      </c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>
        <v>69023269</v>
      </c>
      <c r="BO837" s="60"/>
      <c r="BP837" s="61">
        <v>699279422</v>
      </c>
      <c r="BQ837" s="61"/>
      <c r="BR837" s="61"/>
      <c r="BS837" s="61"/>
      <c r="BT837" s="61"/>
      <c r="BU837" s="61"/>
      <c r="BV837" s="61"/>
      <c r="BW837" s="61"/>
      <c r="BX837" s="61"/>
      <c r="BY837" s="61"/>
      <c r="BZ837" s="61"/>
      <c r="CA837" s="61"/>
      <c r="CB837" s="61"/>
      <c r="CC837" s="61">
        <v>69023269</v>
      </c>
      <c r="CD837" s="61">
        <v>345116345</v>
      </c>
      <c r="CE837" s="61"/>
      <c r="CF837" s="61"/>
      <c r="CG837" s="61">
        <f t="shared" si="123"/>
        <v>1113419036</v>
      </c>
      <c r="CH837" s="62">
        <f>VLOOKUP(B837,[1]RPTNCT049_ConsultaSaldosContabl!I$4:K$7987,3,0)</f>
        <v>483162883</v>
      </c>
      <c r="CI837" s="62">
        <f t="shared" si="124"/>
        <v>630256153</v>
      </c>
      <c r="CJ837" s="63">
        <f t="shared" si="125"/>
        <v>1113419036</v>
      </c>
      <c r="CK837" s="64">
        <f t="shared" si="126"/>
        <v>0</v>
      </c>
      <c r="CL837" s="16"/>
      <c r="CM837" s="16"/>
      <c r="CN837" s="16"/>
    </row>
    <row r="838" spans="1:96" ht="15" customHeight="1" x14ac:dyDescent="0.2">
      <c r="A838" s="1">
        <v>8605270461</v>
      </c>
      <c r="B838" s="1">
        <v>860527046</v>
      </c>
      <c r="C838" s="9">
        <v>214525645</v>
      </c>
      <c r="D838" s="10" t="s">
        <v>2121</v>
      </c>
      <c r="E838" s="45" t="s">
        <v>1556</v>
      </c>
      <c r="F838" s="21"/>
      <c r="G838" s="59"/>
      <c r="H838" s="21"/>
      <c r="I838" s="59"/>
      <c r="J838" s="21"/>
      <c r="K838" s="21"/>
      <c r="L838" s="59"/>
      <c r="M838" s="60"/>
      <c r="N838" s="21"/>
      <c r="O838" s="59"/>
      <c r="P838" s="21"/>
      <c r="Q838" s="59"/>
      <c r="R838" s="21"/>
      <c r="S838" s="21"/>
      <c r="T838" s="59"/>
      <c r="U838" s="60">
        <f t="shared" si="121"/>
        <v>0</v>
      </c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>
        <v>58756097</v>
      </c>
      <c r="AN838" s="60">
        <f>SUBTOTAL(9,AC838:AM838)</f>
        <v>58756097</v>
      </c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>
        <f>VLOOKUP(B838,[2]Hoja3!J$3:K$674,2,0)</f>
        <v>93543776</v>
      </c>
      <c r="BB838" s="60"/>
      <c r="BC838" s="61">
        <f t="shared" si="122"/>
        <v>152299873</v>
      </c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>
        <v>0</v>
      </c>
      <c r="BO838" s="60"/>
      <c r="BP838" s="61">
        <v>152299873</v>
      </c>
      <c r="BQ838" s="61"/>
      <c r="BR838" s="61"/>
      <c r="BS838" s="61"/>
      <c r="BT838" s="61"/>
      <c r="BU838" s="61"/>
      <c r="BV838" s="61"/>
      <c r="BW838" s="61"/>
      <c r="BX838" s="61"/>
      <c r="BY838" s="61"/>
      <c r="BZ838" s="61"/>
      <c r="CA838" s="61"/>
      <c r="CB838" s="61"/>
      <c r="CC838" s="61">
        <v>0</v>
      </c>
      <c r="CD838" s="61"/>
      <c r="CE838" s="61"/>
      <c r="CF838" s="61"/>
      <c r="CG838" s="61">
        <f t="shared" si="123"/>
        <v>152299873</v>
      </c>
      <c r="CH838" s="62"/>
      <c r="CI838" s="62">
        <f t="shared" si="124"/>
        <v>152299873</v>
      </c>
      <c r="CJ838" s="63">
        <f t="shared" si="125"/>
        <v>152299873</v>
      </c>
      <c r="CK838" s="64">
        <f t="shared" si="126"/>
        <v>0</v>
      </c>
      <c r="CL838" s="16"/>
      <c r="CM838" s="16"/>
      <c r="CN838" s="16"/>
    </row>
    <row r="839" spans="1:96" ht="15" customHeight="1" x14ac:dyDescent="0.2">
      <c r="A839" s="1">
        <v>8001001411</v>
      </c>
      <c r="B839" s="1">
        <v>800100141</v>
      </c>
      <c r="C839" s="9">
        <v>217573675</v>
      </c>
      <c r="D839" s="10" t="s">
        <v>2237</v>
      </c>
      <c r="E839" s="45" t="s">
        <v>1965</v>
      </c>
      <c r="F839" s="21"/>
      <c r="G839" s="59"/>
      <c r="H839" s="21"/>
      <c r="I839" s="59"/>
      <c r="J839" s="21"/>
      <c r="K839" s="21"/>
      <c r="L839" s="59"/>
      <c r="M839" s="60"/>
      <c r="N839" s="21"/>
      <c r="O839" s="59"/>
      <c r="P839" s="21"/>
      <c r="Q839" s="59"/>
      <c r="R839" s="21"/>
      <c r="S839" s="21"/>
      <c r="T839" s="59"/>
      <c r="U839" s="60">
        <f t="shared" si="121"/>
        <v>0</v>
      </c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>
        <v>67183970</v>
      </c>
      <c r="AN839" s="60">
        <f>SUBTOTAL(9,AC839:AM839)</f>
        <v>67183970</v>
      </c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>
        <v>119609340</v>
      </c>
      <c r="AZ839" s="60"/>
      <c r="BA839" s="60">
        <f>VLOOKUP(B839,[2]Hoja3!J$3:K$674,2,0)</f>
        <v>176541768</v>
      </c>
      <c r="BB839" s="60"/>
      <c r="BC839" s="61">
        <f t="shared" si="122"/>
        <v>363335078</v>
      </c>
      <c r="BD839" s="60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>
        <v>23921868</v>
      </c>
      <c r="BO839" s="60"/>
      <c r="BP839" s="61">
        <v>387256946</v>
      </c>
      <c r="BQ839" s="61"/>
      <c r="BR839" s="61"/>
      <c r="BS839" s="61"/>
      <c r="BT839" s="61"/>
      <c r="BU839" s="61"/>
      <c r="BV839" s="61"/>
      <c r="BW839" s="61"/>
      <c r="BX839" s="61"/>
      <c r="BY839" s="61"/>
      <c r="BZ839" s="61"/>
      <c r="CA839" s="61"/>
      <c r="CB839" s="61"/>
      <c r="CC839" s="61">
        <v>23921868</v>
      </c>
      <c r="CD839" s="61"/>
      <c r="CE839" s="61"/>
      <c r="CF839" s="61"/>
      <c r="CG839" s="61">
        <f t="shared" si="123"/>
        <v>411178814</v>
      </c>
      <c r="CH839" s="62">
        <f>VLOOKUP(B839,[1]RPTNCT049_ConsultaSaldosContabl!I$4:K$7987,3,0)</f>
        <v>167453076</v>
      </c>
      <c r="CI839" s="62">
        <f t="shared" si="124"/>
        <v>243725738</v>
      </c>
      <c r="CJ839" s="63">
        <f t="shared" si="125"/>
        <v>411178814</v>
      </c>
      <c r="CK839" s="64">
        <f t="shared" si="126"/>
        <v>0</v>
      </c>
      <c r="CL839" s="16"/>
      <c r="CM839" s="16"/>
      <c r="CN839" s="16"/>
    </row>
    <row r="840" spans="1:96" ht="15" customHeight="1" x14ac:dyDescent="0.2">
      <c r="A840" s="1">
        <v>8922800544</v>
      </c>
      <c r="B840" s="1">
        <v>892280054</v>
      </c>
      <c r="C840" s="9">
        <v>217870678</v>
      </c>
      <c r="D840" s="10" t="s">
        <v>906</v>
      </c>
      <c r="E840" s="45" t="s">
        <v>1919</v>
      </c>
      <c r="F840" s="21"/>
      <c r="G840" s="59"/>
      <c r="H840" s="21"/>
      <c r="I840" s="59"/>
      <c r="J840" s="21"/>
      <c r="K840" s="21"/>
      <c r="L840" s="59"/>
      <c r="M840" s="60"/>
      <c r="N840" s="21"/>
      <c r="O840" s="59"/>
      <c r="P840" s="21"/>
      <c r="Q840" s="59"/>
      <c r="R840" s="21"/>
      <c r="S840" s="21"/>
      <c r="T840" s="59"/>
      <c r="U840" s="60">
        <f t="shared" si="121"/>
        <v>0</v>
      </c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>
        <f>VLOOKUP(B840,[2]Hoja3!J$3:K$674,2,0)</f>
        <v>519555219</v>
      </c>
      <c r="BB840" s="60"/>
      <c r="BC840" s="61">
        <f t="shared" si="122"/>
        <v>519555219</v>
      </c>
      <c r="BD840" s="60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>
        <v>0</v>
      </c>
      <c r="BO840" s="60"/>
      <c r="BP840" s="61">
        <v>519555219</v>
      </c>
      <c r="BQ840" s="61"/>
      <c r="BR840" s="61"/>
      <c r="BS840" s="61"/>
      <c r="BT840" s="61"/>
      <c r="BU840" s="61"/>
      <c r="BV840" s="61"/>
      <c r="BW840" s="61"/>
      <c r="BX840" s="61"/>
      <c r="BY840" s="61"/>
      <c r="BZ840" s="61"/>
      <c r="CA840" s="61"/>
      <c r="CB840" s="61"/>
      <c r="CC840" s="61"/>
      <c r="CD840" s="61"/>
      <c r="CE840" s="61"/>
      <c r="CF840" s="61"/>
      <c r="CG840" s="61">
        <f t="shared" si="123"/>
        <v>519555219</v>
      </c>
      <c r="CH840" s="62"/>
      <c r="CI840" s="62">
        <f t="shared" si="124"/>
        <v>519555219</v>
      </c>
      <c r="CJ840" s="63">
        <f t="shared" si="125"/>
        <v>519555219</v>
      </c>
      <c r="CK840" s="64">
        <f t="shared" si="126"/>
        <v>0</v>
      </c>
      <c r="CL840" s="16"/>
      <c r="CM840" s="16"/>
      <c r="CN840" s="16"/>
    </row>
    <row r="841" spans="1:96" ht="15" customHeight="1" x14ac:dyDescent="0.2">
      <c r="A841" s="1">
        <v>8902102275</v>
      </c>
      <c r="B841" s="1">
        <v>890210227</v>
      </c>
      <c r="C841" s="9">
        <v>217368673</v>
      </c>
      <c r="D841" s="10" t="s">
        <v>874</v>
      </c>
      <c r="E841" s="45" t="s">
        <v>1886</v>
      </c>
      <c r="F841" s="21"/>
      <c r="G841" s="59"/>
      <c r="H841" s="21"/>
      <c r="I841" s="59"/>
      <c r="J841" s="21"/>
      <c r="K841" s="21"/>
      <c r="L841" s="59"/>
      <c r="M841" s="60"/>
      <c r="N841" s="21"/>
      <c r="O841" s="59"/>
      <c r="P841" s="21"/>
      <c r="Q841" s="59"/>
      <c r="R841" s="21"/>
      <c r="S841" s="21"/>
      <c r="T841" s="59"/>
      <c r="U841" s="60">
        <f t="shared" si="121"/>
        <v>0</v>
      </c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>
        <v>19224243</v>
      </c>
      <c r="AN841" s="60">
        <f t="shared" ref="AN841:AN846" si="127">SUBTOTAL(9,AC841:AM841)</f>
        <v>19224243</v>
      </c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>
        <v>19220210</v>
      </c>
      <c r="AZ841" s="60"/>
      <c r="BA841" s="60">
        <f>VLOOKUP(B841,[2]Hoja3!J$3:K$674,2,0)</f>
        <v>19643415</v>
      </c>
      <c r="BB841" s="60"/>
      <c r="BC841" s="61">
        <f t="shared" si="122"/>
        <v>58087868</v>
      </c>
      <c r="BD841" s="60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>
        <v>3844042</v>
      </c>
      <c r="BO841" s="60"/>
      <c r="BP841" s="61">
        <v>61931910</v>
      </c>
      <c r="BQ841" s="61"/>
      <c r="BR841" s="61"/>
      <c r="BS841" s="61"/>
      <c r="BT841" s="61"/>
      <c r="BU841" s="61"/>
      <c r="BV841" s="61"/>
      <c r="BW841" s="61"/>
      <c r="BX841" s="61"/>
      <c r="BY841" s="61"/>
      <c r="BZ841" s="61"/>
      <c r="CA841" s="61"/>
      <c r="CB841" s="61"/>
      <c r="CC841" s="61">
        <v>3844042</v>
      </c>
      <c r="CD841" s="61"/>
      <c r="CE841" s="61"/>
      <c r="CF841" s="61"/>
      <c r="CG841" s="61">
        <f t="shared" si="123"/>
        <v>65775952</v>
      </c>
      <c r="CH841" s="62">
        <f>VLOOKUP(B841,[1]RPTNCT049_ConsultaSaldosContabl!I$4:K$7987,3,0)</f>
        <v>26908294</v>
      </c>
      <c r="CI841" s="62">
        <f t="shared" si="124"/>
        <v>38867658</v>
      </c>
      <c r="CJ841" s="63">
        <f t="shared" si="125"/>
        <v>65775952</v>
      </c>
      <c r="CK841" s="64">
        <f t="shared" si="126"/>
        <v>0</v>
      </c>
      <c r="CL841" s="16"/>
      <c r="CM841" s="16"/>
      <c r="CN841" s="16"/>
    </row>
    <row r="842" spans="1:96" ht="15" customHeight="1" x14ac:dyDescent="0.2">
      <c r="A842" s="1">
        <v>8000968049</v>
      </c>
      <c r="B842" s="1">
        <v>800096804</v>
      </c>
      <c r="C842" s="9">
        <v>217523675</v>
      </c>
      <c r="D842" s="10" t="s">
        <v>2113</v>
      </c>
      <c r="E842" s="45" t="s">
        <v>1483</v>
      </c>
      <c r="F842" s="21"/>
      <c r="G842" s="59"/>
      <c r="H842" s="21"/>
      <c r="I842" s="59"/>
      <c r="J842" s="21"/>
      <c r="K842" s="21"/>
      <c r="L842" s="59"/>
      <c r="M842" s="60"/>
      <c r="N842" s="21"/>
      <c r="O842" s="59"/>
      <c r="P842" s="21"/>
      <c r="Q842" s="59"/>
      <c r="R842" s="21"/>
      <c r="S842" s="21"/>
      <c r="T842" s="59"/>
      <c r="U842" s="60">
        <f t="shared" si="121"/>
        <v>0</v>
      </c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>
        <v>523822108</v>
      </c>
      <c r="AN842" s="60">
        <f t="shared" si="127"/>
        <v>523822108</v>
      </c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>
        <v>374686345</v>
      </c>
      <c r="AZ842" s="60"/>
      <c r="BA842" s="60">
        <f>VLOOKUP(B842,[2]Hoja3!J$3:K$674,2,0)</f>
        <v>40074503</v>
      </c>
      <c r="BB842" s="60"/>
      <c r="BC842" s="61">
        <f t="shared" si="122"/>
        <v>938582956</v>
      </c>
      <c r="BD842" s="60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>
        <v>74937269</v>
      </c>
      <c r="BO842" s="60"/>
      <c r="BP842" s="61">
        <v>1013520225</v>
      </c>
      <c r="BQ842" s="61"/>
      <c r="BR842" s="61"/>
      <c r="BS842" s="61"/>
      <c r="BT842" s="61"/>
      <c r="BU842" s="61"/>
      <c r="BV842" s="61"/>
      <c r="BW842" s="61"/>
      <c r="BX842" s="61"/>
      <c r="BY842" s="61"/>
      <c r="BZ842" s="61"/>
      <c r="CA842" s="61"/>
      <c r="CB842" s="61"/>
      <c r="CC842" s="61">
        <v>74937269</v>
      </c>
      <c r="CD842" s="61"/>
      <c r="CE842" s="61"/>
      <c r="CF842" s="61"/>
      <c r="CG842" s="61">
        <f t="shared" si="123"/>
        <v>1088457494</v>
      </c>
      <c r="CH842" s="62">
        <f>VLOOKUP(B842,[1]RPTNCT049_ConsultaSaldosContabl!I$4:K$7987,3,0)</f>
        <v>524560883</v>
      </c>
      <c r="CI842" s="62">
        <f t="shared" si="124"/>
        <v>563896611</v>
      </c>
      <c r="CJ842" s="63">
        <f t="shared" si="125"/>
        <v>1088457494</v>
      </c>
      <c r="CK842" s="64">
        <f t="shared" si="126"/>
        <v>0</v>
      </c>
      <c r="CL842" s="16"/>
      <c r="CM842" s="16"/>
      <c r="CN842" s="16"/>
    </row>
    <row r="843" spans="1:96" ht="15" customHeight="1" x14ac:dyDescent="0.2">
      <c r="A843" s="1">
        <v>8000934375</v>
      </c>
      <c r="B843" s="1">
        <v>800093437</v>
      </c>
      <c r="C843" s="9">
        <v>214925649</v>
      </c>
      <c r="D843" s="10" t="s">
        <v>531</v>
      </c>
      <c r="E843" s="45" t="s">
        <v>1557</v>
      </c>
      <c r="F843" s="21"/>
      <c r="G843" s="59"/>
      <c r="H843" s="21"/>
      <c r="I843" s="59"/>
      <c r="J843" s="21"/>
      <c r="K843" s="21"/>
      <c r="L843" s="59"/>
      <c r="M843" s="60"/>
      <c r="N843" s="21"/>
      <c r="O843" s="59"/>
      <c r="P843" s="21"/>
      <c r="Q843" s="59"/>
      <c r="R843" s="21"/>
      <c r="S843" s="21"/>
      <c r="T843" s="59"/>
      <c r="U843" s="60">
        <f t="shared" si="121"/>
        <v>0</v>
      </c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>
        <v>155952926</v>
      </c>
      <c r="AN843" s="60">
        <f t="shared" si="127"/>
        <v>155952926</v>
      </c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>
        <v>73920050</v>
      </c>
      <c r="AZ843" s="60"/>
      <c r="BA843" s="60"/>
      <c r="BB843" s="60"/>
      <c r="BC843" s="61">
        <f t="shared" si="122"/>
        <v>229872976</v>
      </c>
      <c r="BD843" s="60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>
        <v>14784010</v>
      </c>
      <c r="BO843" s="60"/>
      <c r="BP843" s="61">
        <v>244656986</v>
      </c>
      <c r="BQ843" s="61"/>
      <c r="BR843" s="61"/>
      <c r="BS843" s="61"/>
      <c r="BT843" s="61"/>
      <c r="BU843" s="61"/>
      <c r="BV843" s="61"/>
      <c r="BW843" s="61"/>
      <c r="BX843" s="61"/>
      <c r="BY843" s="61"/>
      <c r="BZ843" s="61"/>
      <c r="CA843" s="61"/>
      <c r="CB843" s="61"/>
      <c r="CC843" s="61">
        <v>14784010</v>
      </c>
      <c r="CD843" s="61"/>
      <c r="CE843" s="61"/>
      <c r="CF843" s="61"/>
      <c r="CG843" s="61">
        <f t="shared" si="123"/>
        <v>259440996</v>
      </c>
      <c r="CH843" s="62">
        <f>VLOOKUP(B843,[1]RPTNCT049_ConsultaSaldosContabl!I$4:K$7987,3,0)</f>
        <v>103488070</v>
      </c>
      <c r="CI843" s="62">
        <f t="shared" si="124"/>
        <v>155952926</v>
      </c>
      <c r="CJ843" s="63">
        <f t="shared" si="125"/>
        <v>259440996</v>
      </c>
      <c r="CK843" s="64">
        <f t="shared" si="126"/>
        <v>0</v>
      </c>
      <c r="CL843" s="16"/>
      <c r="CM843" s="16"/>
      <c r="CN843" s="16"/>
    </row>
    <row r="844" spans="1:96" ht="15" customHeight="1" x14ac:dyDescent="0.2">
      <c r="A844" s="1">
        <v>8001930318</v>
      </c>
      <c r="B844" s="1">
        <v>800193031</v>
      </c>
      <c r="C844" s="9">
        <v>218552685</v>
      </c>
      <c r="D844" s="10" t="s">
        <v>740</v>
      </c>
      <c r="E844" s="45" t="s">
        <v>1735</v>
      </c>
      <c r="F844" s="21"/>
      <c r="G844" s="59"/>
      <c r="H844" s="21"/>
      <c r="I844" s="59"/>
      <c r="J844" s="21"/>
      <c r="K844" s="21"/>
      <c r="L844" s="59"/>
      <c r="M844" s="60"/>
      <c r="N844" s="21"/>
      <c r="O844" s="59"/>
      <c r="P844" s="21"/>
      <c r="Q844" s="59"/>
      <c r="R844" s="21"/>
      <c r="S844" s="21"/>
      <c r="T844" s="59"/>
      <c r="U844" s="60">
        <f t="shared" si="121"/>
        <v>0</v>
      </c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>
        <v>84361079</v>
      </c>
      <c r="AN844" s="60">
        <f t="shared" si="127"/>
        <v>84361079</v>
      </c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>
        <v>54015170</v>
      </c>
      <c r="AZ844" s="60"/>
      <c r="BA844" s="60"/>
      <c r="BB844" s="60"/>
      <c r="BC844" s="61">
        <f t="shared" si="122"/>
        <v>138376249</v>
      </c>
      <c r="BD844" s="60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>
        <v>10803034</v>
      </c>
      <c r="BO844" s="60"/>
      <c r="BP844" s="61">
        <v>149179283</v>
      </c>
      <c r="BQ844" s="61"/>
      <c r="BR844" s="61"/>
      <c r="BS844" s="61"/>
      <c r="BT844" s="61"/>
      <c r="BU844" s="61"/>
      <c r="BV844" s="61"/>
      <c r="BW844" s="61"/>
      <c r="BX844" s="61"/>
      <c r="BY844" s="61"/>
      <c r="BZ844" s="61"/>
      <c r="CA844" s="61"/>
      <c r="CB844" s="61"/>
      <c r="CC844" s="61">
        <v>10803034</v>
      </c>
      <c r="CD844" s="61"/>
      <c r="CE844" s="61"/>
      <c r="CF844" s="61"/>
      <c r="CG844" s="61">
        <f t="shared" si="123"/>
        <v>159982317</v>
      </c>
      <c r="CH844" s="62">
        <f>VLOOKUP(B844,[1]RPTNCT049_ConsultaSaldosContabl!I$4:K$7987,3,0)</f>
        <v>75621238</v>
      </c>
      <c r="CI844" s="62">
        <f t="shared" si="124"/>
        <v>84361079</v>
      </c>
      <c r="CJ844" s="63">
        <f t="shared" si="125"/>
        <v>159982317</v>
      </c>
      <c r="CK844" s="64">
        <f t="shared" si="126"/>
        <v>0</v>
      </c>
      <c r="CL844" s="16"/>
      <c r="CM844" s="8"/>
      <c r="CN844" s="8"/>
      <c r="CO844" s="8"/>
      <c r="CP844" s="8"/>
      <c r="CQ844" s="8"/>
      <c r="CR844" s="8"/>
    </row>
    <row r="845" spans="1:96" ht="15" customHeight="1" x14ac:dyDescent="0.2">
      <c r="A845" s="1">
        <v>8000992606</v>
      </c>
      <c r="B845" s="1">
        <v>800099260</v>
      </c>
      <c r="C845" s="9">
        <v>217054670</v>
      </c>
      <c r="D845" s="10" t="s">
        <v>780</v>
      </c>
      <c r="E845" s="45" t="s">
        <v>1796</v>
      </c>
      <c r="F845" s="21"/>
      <c r="G845" s="59"/>
      <c r="H845" s="21"/>
      <c r="I845" s="59"/>
      <c r="J845" s="21"/>
      <c r="K845" s="21"/>
      <c r="L845" s="59"/>
      <c r="M845" s="60"/>
      <c r="N845" s="21"/>
      <c r="O845" s="59"/>
      <c r="P845" s="21"/>
      <c r="Q845" s="59"/>
      <c r="R845" s="21"/>
      <c r="S845" s="21"/>
      <c r="T845" s="59"/>
      <c r="U845" s="60">
        <f t="shared" si="121"/>
        <v>0</v>
      </c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>
        <v>44264459</v>
      </c>
      <c r="AN845" s="60">
        <f t="shared" si="127"/>
        <v>44264459</v>
      </c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>
        <v>132853365</v>
      </c>
      <c r="AZ845" s="60"/>
      <c r="BA845" s="60">
        <f>VLOOKUP(B845,[2]Hoja3!J$3:K$674,2,0)</f>
        <v>46482468</v>
      </c>
      <c r="BB845" s="60"/>
      <c r="BC845" s="61">
        <f t="shared" si="122"/>
        <v>223600292</v>
      </c>
      <c r="BD845" s="60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>
        <v>26570673</v>
      </c>
      <c r="BO845" s="60"/>
      <c r="BP845" s="61">
        <v>250170965</v>
      </c>
      <c r="BQ845" s="61"/>
      <c r="BR845" s="61"/>
      <c r="BS845" s="61"/>
      <c r="BT845" s="61"/>
      <c r="BU845" s="61"/>
      <c r="BV845" s="61"/>
      <c r="BW845" s="61"/>
      <c r="BX845" s="61"/>
      <c r="BY845" s="61"/>
      <c r="BZ845" s="61"/>
      <c r="CA845" s="61"/>
      <c r="CB845" s="61"/>
      <c r="CC845" s="61">
        <v>26570673</v>
      </c>
      <c r="CD845" s="61"/>
      <c r="CE845" s="61"/>
      <c r="CF845" s="61"/>
      <c r="CG845" s="61">
        <f t="shared" si="123"/>
        <v>276741638</v>
      </c>
      <c r="CH845" s="62">
        <f>VLOOKUP(B845,[1]RPTNCT049_ConsultaSaldosContabl!I$4:K$7987,3,0)</f>
        <v>185994711</v>
      </c>
      <c r="CI845" s="62">
        <f t="shared" si="124"/>
        <v>90746927</v>
      </c>
      <c r="CJ845" s="63">
        <f t="shared" si="125"/>
        <v>276741638</v>
      </c>
      <c r="CK845" s="64">
        <f t="shared" si="126"/>
        <v>0</v>
      </c>
      <c r="CL845" s="16"/>
      <c r="CM845" s="16"/>
      <c r="CN845" s="16"/>
    </row>
    <row r="846" spans="1:96" ht="15" customHeight="1" x14ac:dyDescent="0.2">
      <c r="A846" s="1">
        <v>8000982031</v>
      </c>
      <c r="B846" s="1">
        <v>800098203</v>
      </c>
      <c r="C846" s="9">
        <v>218050680</v>
      </c>
      <c r="D846" s="10" t="s">
        <v>2129</v>
      </c>
      <c r="E846" s="45" t="s">
        <v>1709</v>
      </c>
      <c r="F846" s="21"/>
      <c r="G846" s="59"/>
      <c r="H846" s="21"/>
      <c r="I846" s="59"/>
      <c r="J846" s="21"/>
      <c r="K846" s="21"/>
      <c r="L846" s="59"/>
      <c r="M846" s="60"/>
      <c r="N846" s="21"/>
      <c r="O846" s="59"/>
      <c r="P846" s="21"/>
      <c r="Q846" s="59"/>
      <c r="R846" s="21"/>
      <c r="S846" s="21"/>
      <c r="T846" s="59"/>
      <c r="U846" s="60">
        <f t="shared" si="121"/>
        <v>0</v>
      </c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>
        <v>105702620</v>
      </c>
      <c r="AN846" s="60">
        <f t="shared" si="127"/>
        <v>105702620</v>
      </c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>
        <v>80666215</v>
      </c>
      <c r="AZ846" s="60"/>
      <c r="BA846" s="60">
        <f>VLOOKUP(B846,[2]Hoja3!J$3:K$674,2,0)</f>
        <v>103255072</v>
      </c>
      <c r="BB846" s="60"/>
      <c r="BC846" s="61">
        <f t="shared" si="122"/>
        <v>289623907</v>
      </c>
      <c r="BD846" s="60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>
        <v>16133243</v>
      </c>
      <c r="BO846" s="60"/>
      <c r="BP846" s="61">
        <v>305757150</v>
      </c>
      <c r="BQ846" s="61"/>
      <c r="BR846" s="61"/>
      <c r="BS846" s="61"/>
      <c r="BT846" s="61"/>
      <c r="BU846" s="61"/>
      <c r="BV846" s="61"/>
      <c r="BW846" s="61"/>
      <c r="BX846" s="61"/>
      <c r="BY846" s="61"/>
      <c r="BZ846" s="61"/>
      <c r="CA846" s="61"/>
      <c r="CB846" s="61"/>
      <c r="CC846" s="61">
        <v>16133243</v>
      </c>
      <c r="CD846" s="61"/>
      <c r="CE846" s="61"/>
      <c r="CF846" s="61"/>
      <c r="CG846" s="61">
        <f t="shared" si="123"/>
        <v>321890393</v>
      </c>
      <c r="CH846" s="62">
        <f>VLOOKUP(B846,[1]RPTNCT049_ConsultaSaldosContabl!I$4:K$7987,3,0)</f>
        <v>112932701</v>
      </c>
      <c r="CI846" s="62">
        <f t="shared" si="124"/>
        <v>208957692</v>
      </c>
      <c r="CJ846" s="63">
        <f t="shared" si="125"/>
        <v>321890393</v>
      </c>
      <c r="CK846" s="64">
        <f t="shared" si="126"/>
        <v>0</v>
      </c>
      <c r="CL846" s="16"/>
      <c r="CM846" s="16"/>
      <c r="CN846" s="16"/>
    </row>
    <row r="847" spans="1:96" ht="15" customHeight="1" x14ac:dyDescent="0.2">
      <c r="A847" s="1">
        <v>8909837409</v>
      </c>
      <c r="B847" s="1">
        <v>890983740</v>
      </c>
      <c r="C847" s="9">
        <v>214905649</v>
      </c>
      <c r="D847" s="10" t="s">
        <v>128</v>
      </c>
      <c r="E847" s="45" t="s">
        <v>1156</v>
      </c>
      <c r="F847" s="21"/>
      <c r="G847" s="59"/>
      <c r="H847" s="21"/>
      <c r="I847" s="59"/>
      <c r="J847" s="21"/>
      <c r="K847" s="21"/>
      <c r="L847" s="59"/>
      <c r="M847" s="60"/>
      <c r="N847" s="21"/>
      <c r="O847" s="59"/>
      <c r="P847" s="21"/>
      <c r="Q847" s="59"/>
      <c r="R847" s="21"/>
      <c r="S847" s="21"/>
      <c r="T847" s="59"/>
      <c r="U847" s="60">
        <f t="shared" si="121"/>
        <v>0</v>
      </c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>
        <v>92121865</v>
      </c>
      <c r="AZ847" s="60"/>
      <c r="BA847" s="60">
        <f>VLOOKUP(B847,[2]Hoja3!J$3:K$674,2,0)</f>
        <v>211518500</v>
      </c>
      <c r="BB847" s="60"/>
      <c r="BC847" s="61">
        <f t="shared" si="122"/>
        <v>303640365</v>
      </c>
      <c r="BD847" s="60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>
        <v>18424373</v>
      </c>
      <c r="BO847" s="60"/>
      <c r="BP847" s="61">
        <v>322064738</v>
      </c>
      <c r="BQ847" s="61"/>
      <c r="BR847" s="61"/>
      <c r="BS847" s="61"/>
      <c r="BT847" s="61"/>
      <c r="BU847" s="61"/>
      <c r="BV847" s="61"/>
      <c r="BW847" s="61"/>
      <c r="BX847" s="61"/>
      <c r="BY847" s="61"/>
      <c r="BZ847" s="61"/>
      <c r="CA847" s="61"/>
      <c r="CB847" s="61"/>
      <c r="CC847" s="61">
        <v>18424373</v>
      </c>
      <c r="CD847" s="61"/>
      <c r="CE847" s="61"/>
      <c r="CF847" s="61"/>
      <c r="CG847" s="61">
        <f t="shared" si="123"/>
        <v>340489111</v>
      </c>
      <c r="CH847" s="62">
        <f>VLOOKUP(B847,[1]RPTNCT049_ConsultaSaldosContabl!I$4:K$7987,3,0)</f>
        <v>128970611</v>
      </c>
      <c r="CI847" s="62">
        <f t="shared" si="124"/>
        <v>211518500</v>
      </c>
      <c r="CJ847" s="63">
        <f t="shared" si="125"/>
        <v>340489111</v>
      </c>
      <c r="CK847" s="64">
        <f t="shared" si="126"/>
        <v>0</v>
      </c>
      <c r="CL847" s="16"/>
      <c r="CM847" s="16"/>
      <c r="CN847" s="16"/>
    </row>
    <row r="848" spans="1:96" ht="15" customHeight="1" x14ac:dyDescent="0.2">
      <c r="A848" s="1">
        <v>8000755377</v>
      </c>
      <c r="B848" s="1">
        <v>800075537</v>
      </c>
      <c r="C848" s="9">
        <v>217823678</v>
      </c>
      <c r="D848" s="10" t="s">
        <v>456</v>
      </c>
      <c r="E848" s="45" t="s">
        <v>1484</v>
      </c>
      <c r="F848" s="21"/>
      <c r="G848" s="59"/>
      <c r="H848" s="21"/>
      <c r="I848" s="59"/>
      <c r="J848" s="21"/>
      <c r="K848" s="21"/>
      <c r="L848" s="59"/>
      <c r="M848" s="60"/>
      <c r="N848" s="21"/>
      <c r="O848" s="59"/>
      <c r="P848" s="21"/>
      <c r="Q848" s="59"/>
      <c r="R848" s="21"/>
      <c r="S848" s="21"/>
      <c r="T848" s="59"/>
      <c r="U848" s="60">
        <f t="shared" si="121"/>
        <v>0</v>
      </c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>
        <v>280373146</v>
      </c>
      <c r="AN848" s="60">
        <f>SUBTOTAL(9,AC848:AM848)</f>
        <v>280373146</v>
      </c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>
        <v>259683020</v>
      </c>
      <c r="AZ848" s="60"/>
      <c r="BA848" s="60">
        <f>VLOOKUP(B848,[2]Hoja3!J$3:K$674,2,0)</f>
        <v>12838265</v>
      </c>
      <c r="BB848" s="60"/>
      <c r="BC848" s="61">
        <f t="shared" si="122"/>
        <v>552894431</v>
      </c>
      <c r="BD848" s="60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>
        <v>51936604</v>
      </c>
      <c r="BO848" s="60"/>
      <c r="BP848" s="61">
        <v>604831035</v>
      </c>
      <c r="BQ848" s="61"/>
      <c r="BR848" s="61"/>
      <c r="BS848" s="61"/>
      <c r="BT848" s="61"/>
      <c r="BU848" s="61"/>
      <c r="BV848" s="61"/>
      <c r="BW848" s="61"/>
      <c r="BX848" s="61"/>
      <c r="BY848" s="61"/>
      <c r="BZ848" s="61"/>
      <c r="CA848" s="61"/>
      <c r="CB848" s="61"/>
      <c r="CC848" s="61">
        <v>51936604</v>
      </c>
      <c r="CD848" s="61"/>
      <c r="CE848" s="61"/>
      <c r="CF848" s="61"/>
      <c r="CG848" s="61">
        <f t="shared" si="123"/>
        <v>656767639</v>
      </c>
      <c r="CH848" s="62">
        <f>VLOOKUP(B848,[1]RPTNCT049_ConsultaSaldosContabl!I$4:K$7987,3,0)</f>
        <v>363556228</v>
      </c>
      <c r="CI848" s="62">
        <f t="shared" si="124"/>
        <v>293211411</v>
      </c>
      <c r="CJ848" s="63">
        <f t="shared" si="125"/>
        <v>656767639</v>
      </c>
      <c r="CK848" s="64">
        <f t="shared" si="126"/>
        <v>0</v>
      </c>
      <c r="CL848" s="16"/>
      <c r="CM848" s="8"/>
      <c r="CN848" s="8"/>
      <c r="CO848" s="8"/>
      <c r="CP848" s="8"/>
      <c r="CQ848" s="8"/>
      <c r="CR848" s="8"/>
    </row>
    <row r="849" spans="1:96" ht="15" customHeight="1" x14ac:dyDescent="0.2">
      <c r="A849" s="1">
        <v>8000947518</v>
      </c>
      <c r="B849" s="1">
        <v>800094751</v>
      </c>
      <c r="C849" s="9">
        <v>215325653</v>
      </c>
      <c r="D849" s="10" t="s">
        <v>532</v>
      </c>
      <c r="E849" s="45" t="s">
        <v>1558</v>
      </c>
      <c r="F849" s="21"/>
      <c r="G849" s="59"/>
      <c r="H849" s="21"/>
      <c r="I849" s="59"/>
      <c r="J849" s="21"/>
      <c r="K849" s="21"/>
      <c r="L849" s="59"/>
      <c r="M849" s="60"/>
      <c r="N849" s="21"/>
      <c r="O849" s="59"/>
      <c r="P849" s="21"/>
      <c r="Q849" s="59"/>
      <c r="R849" s="21"/>
      <c r="S849" s="21"/>
      <c r="T849" s="59"/>
      <c r="U849" s="60">
        <f t="shared" si="121"/>
        <v>0</v>
      </c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>
        <v>73610186</v>
      </c>
      <c r="AN849" s="60">
        <f>SUBTOTAL(9,AC849:AM849)</f>
        <v>73610186</v>
      </c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>
        <v>34981250</v>
      </c>
      <c r="AZ849" s="60"/>
      <c r="BA849" s="60"/>
      <c r="BB849" s="60"/>
      <c r="BC849" s="61">
        <f t="shared" si="122"/>
        <v>108591436</v>
      </c>
      <c r="BD849" s="60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>
        <v>6996250</v>
      </c>
      <c r="BO849" s="60"/>
      <c r="BP849" s="61">
        <v>115587686</v>
      </c>
      <c r="BQ849" s="61"/>
      <c r="BR849" s="61"/>
      <c r="BS849" s="61"/>
      <c r="BT849" s="61"/>
      <c r="BU849" s="61"/>
      <c r="BV849" s="61"/>
      <c r="BW849" s="61"/>
      <c r="BX849" s="61"/>
      <c r="BY849" s="61"/>
      <c r="BZ849" s="61"/>
      <c r="CA849" s="61"/>
      <c r="CB849" s="61"/>
      <c r="CC849" s="61">
        <v>6996250</v>
      </c>
      <c r="CD849" s="61"/>
      <c r="CE849" s="61"/>
      <c r="CF849" s="61"/>
      <c r="CG849" s="61">
        <f t="shared" si="123"/>
        <v>122583936</v>
      </c>
      <c r="CH849" s="62">
        <f>VLOOKUP(B849,[1]RPTNCT049_ConsultaSaldosContabl!I$4:K$7987,3,0)</f>
        <v>48973750</v>
      </c>
      <c r="CI849" s="62">
        <f t="shared" si="124"/>
        <v>73610186</v>
      </c>
      <c r="CJ849" s="63">
        <f t="shared" si="125"/>
        <v>122583936</v>
      </c>
      <c r="CK849" s="64">
        <f t="shared" si="126"/>
        <v>0</v>
      </c>
      <c r="CL849" s="16"/>
      <c r="CM849" s="16"/>
      <c r="CN849" s="16"/>
    </row>
    <row r="850" spans="1:96" ht="15" customHeight="1" x14ac:dyDescent="0.2">
      <c r="A850" s="1">
        <v>8905018764</v>
      </c>
      <c r="B850" s="1">
        <v>890501876</v>
      </c>
      <c r="C850" s="9">
        <v>217354673</v>
      </c>
      <c r="D850" s="10" t="s">
        <v>781</v>
      </c>
      <c r="E850" s="45" t="s">
        <v>1797</v>
      </c>
      <c r="F850" s="21"/>
      <c r="G850" s="59"/>
      <c r="H850" s="21"/>
      <c r="I850" s="59"/>
      <c r="J850" s="21"/>
      <c r="K850" s="21"/>
      <c r="L850" s="59"/>
      <c r="M850" s="60"/>
      <c r="N850" s="21"/>
      <c r="O850" s="59"/>
      <c r="P850" s="21"/>
      <c r="Q850" s="59"/>
      <c r="R850" s="21"/>
      <c r="S850" s="21"/>
      <c r="T850" s="59"/>
      <c r="U850" s="60">
        <f t="shared" si="121"/>
        <v>0</v>
      </c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>
        <v>110362801</v>
      </c>
      <c r="AN850" s="60">
        <f>SUBTOTAL(9,AC850:AM850)</f>
        <v>110362801</v>
      </c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>
        <v>41907700</v>
      </c>
      <c r="AZ850" s="60"/>
      <c r="BA850" s="60"/>
      <c r="BB850" s="60"/>
      <c r="BC850" s="61">
        <f t="shared" si="122"/>
        <v>152270501</v>
      </c>
      <c r="BD850" s="60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>
        <v>8381540</v>
      </c>
      <c r="BO850" s="60"/>
      <c r="BP850" s="61">
        <v>160652041</v>
      </c>
      <c r="BQ850" s="61"/>
      <c r="BR850" s="61"/>
      <c r="BS850" s="61"/>
      <c r="BT850" s="61"/>
      <c r="BU850" s="61"/>
      <c r="BV850" s="61"/>
      <c r="BW850" s="61"/>
      <c r="BX850" s="61"/>
      <c r="BY850" s="61"/>
      <c r="BZ850" s="61"/>
      <c r="CA850" s="61"/>
      <c r="CB850" s="61"/>
      <c r="CC850" s="61">
        <v>8381540</v>
      </c>
      <c r="CD850" s="61"/>
      <c r="CE850" s="61"/>
      <c r="CF850" s="61"/>
      <c r="CG850" s="61">
        <f t="shared" si="123"/>
        <v>169033581</v>
      </c>
      <c r="CH850" s="62">
        <f>VLOOKUP(B850,[1]RPTNCT049_ConsultaSaldosContabl!I$4:K$7987,3,0)</f>
        <v>58670780</v>
      </c>
      <c r="CI850" s="62">
        <f t="shared" si="124"/>
        <v>110362801</v>
      </c>
      <c r="CJ850" s="63">
        <f t="shared" si="125"/>
        <v>169033581</v>
      </c>
      <c r="CK850" s="64">
        <f t="shared" si="126"/>
        <v>0</v>
      </c>
      <c r="CL850" s="16"/>
      <c r="CM850" s="8"/>
      <c r="CN850" s="8"/>
      <c r="CO850" s="8"/>
      <c r="CP850" s="8"/>
      <c r="CQ850" s="8"/>
      <c r="CR850" s="8"/>
    </row>
    <row r="851" spans="1:96" ht="15" customHeight="1" x14ac:dyDescent="0.2">
      <c r="A851" s="1">
        <v>8060012789</v>
      </c>
      <c r="B851" s="1">
        <v>806001278</v>
      </c>
      <c r="C851" s="9">
        <v>212013620</v>
      </c>
      <c r="D851" s="10" t="s">
        <v>203</v>
      </c>
      <c r="E851" s="45" t="s">
        <v>1234</v>
      </c>
      <c r="F851" s="21"/>
      <c r="G851" s="59"/>
      <c r="H851" s="21"/>
      <c r="I851" s="59"/>
      <c r="J851" s="21"/>
      <c r="K851" s="21"/>
      <c r="L851" s="59"/>
      <c r="M851" s="60"/>
      <c r="N851" s="21"/>
      <c r="O851" s="59"/>
      <c r="P851" s="21"/>
      <c r="Q851" s="59"/>
      <c r="R851" s="21"/>
      <c r="S851" s="21"/>
      <c r="T851" s="59"/>
      <c r="U851" s="60">
        <f t="shared" si="121"/>
        <v>0</v>
      </c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>
        <v>123095601</v>
      </c>
      <c r="AN851" s="60">
        <f>SUBTOTAL(9,AC851:AM851)</f>
        <v>123095601</v>
      </c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>
        <v>64436555</v>
      </c>
      <c r="AZ851" s="60"/>
      <c r="BA851" s="60"/>
      <c r="BB851" s="60"/>
      <c r="BC851" s="61">
        <f t="shared" si="122"/>
        <v>187532156</v>
      </c>
      <c r="BD851" s="60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>
        <v>12887311</v>
      </c>
      <c r="BO851" s="60"/>
      <c r="BP851" s="61">
        <v>200419467</v>
      </c>
      <c r="BQ851" s="61"/>
      <c r="BR851" s="61"/>
      <c r="BS851" s="61"/>
      <c r="BT851" s="61"/>
      <c r="BU851" s="61"/>
      <c r="BV851" s="61"/>
      <c r="BW851" s="61"/>
      <c r="BX851" s="61"/>
      <c r="BY851" s="61"/>
      <c r="BZ851" s="61"/>
      <c r="CA851" s="61"/>
      <c r="CB851" s="61"/>
      <c r="CC851" s="61">
        <v>12887311</v>
      </c>
      <c r="CD851" s="61"/>
      <c r="CE851" s="61"/>
      <c r="CF851" s="61"/>
      <c r="CG851" s="61">
        <f t="shared" si="123"/>
        <v>213306778</v>
      </c>
      <c r="CH851" s="62">
        <f>VLOOKUP(B851,[1]RPTNCT049_ConsultaSaldosContabl!I$4:K$7987,3,0)</f>
        <v>90211177</v>
      </c>
      <c r="CI851" s="62">
        <f t="shared" si="124"/>
        <v>123095601</v>
      </c>
      <c r="CJ851" s="63">
        <f t="shared" si="125"/>
        <v>213306778</v>
      </c>
      <c r="CK851" s="64">
        <f t="shared" si="126"/>
        <v>0</v>
      </c>
      <c r="CL851" s="16"/>
      <c r="CM851" s="8"/>
      <c r="CN851" s="8"/>
      <c r="CO851" s="8"/>
      <c r="CP851" s="8"/>
      <c r="CQ851" s="8"/>
      <c r="CR851" s="8"/>
    </row>
    <row r="852" spans="1:96" ht="15" customHeight="1" x14ac:dyDescent="0.2">
      <c r="A852" s="1">
        <v>8000966232</v>
      </c>
      <c r="B852" s="1">
        <v>800096623</v>
      </c>
      <c r="C852" s="9">
        <v>215020750</v>
      </c>
      <c r="D852" s="10" t="s">
        <v>434</v>
      </c>
      <c r="E852" s="45" t="s">
        <v>1461</v>
      </c>
      <c r="F852" s="21"/>
      <c r="G852" s="59"/>
      <c r="H852" s="21"/>
      <c r="I852" s="59"/>
      <c r="J852" s="21"/>
      <c r="K852" s="21"/>
      <c r="L852" s="59"/>
      <c r="M852" s="60"/>
      <c r="N852" s="21"/>
      <c r="O852" s="59"/>
      <c r="P852" s="21"/>
      <c r="Q852" s="59"/>
      <c r="R852" s="21"/>
      <c r="S852" s="21"/>
      <c r="T852" s="59"/>
      <c r="U852" s="60">
        <f t="shared" si="121"/>
        <v>0</v>
      </c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>
        <v>147372000</v>
      </c>
      <c r="AZ852" s="60"/>
      <c r="BA852" s="60">
        <f>VLOOKUP(B852,[2]Hoja3!J$3:K$674,2,0)</f>
        <v>309188529</v>
      </c>
      <c r="BB852" s="60"/>
      <c r="BC852" s="61">
        <f t="shared" si="122"/>
        <v>456560529</v>
      </c>
      <c r="BD852" s="60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>
        <v>29474400</v>
      </c>
      <c r="BO852" s="60"/>
      <c r="BP852" s="61">
        <v>486034929</v>
      </c>
      <c r="BQ852" s="61"/>
      <c r="BR852" s="61"/>
      <c r="BS852" s="61"/>
      <c r="BT852" s="61"/>
      <c r="BU852" s="61"/>
      <c r="BV852" s="61"/>
      <c r="BW852" s="61"/>
      <c r="BX852" s="61"/>
      <c r="BY852" s="61"/>
      <c r="BZ852" s="61"/>
      <c r="CA852" s="61"/>
      <c r="CB852" s="61"/>
      <c r="CC852" s="61">
        <v>29474400</v>
      </c>
      <c r="CD852" s="61"/>
      <c r="CE852" s="61"/>
      <c r="CF852" s="61"/>
      <c r="CG852" s="61">
        <f t="shared" si="123"/>
        <v>515509329</v>
      </c>
      <c r="CH852" s="62">
        <f>VLOOKUP(B852,[1]RPTNCT049_ConsultaSaldosContabl!I$4:K$7987,3,0)</f>
        <v>206320800</v>
      </c>
      <c r="CI852" s="62">
        <f t="shared" si="124"/>
        <v>309188529</v>
      </c>
      <c r="CJ852" s="63">
        <f t="shared" si="125"/>
        <v>515509329</v>
      </c>
      <c r="CK852" s="64">
        <f t="shared" si="126"/>
        <v>0</v>
      </c>
      <c r="CL852" s="16"/>
      <c r="CM852" s="16"/>
      <c r="CN852" s="16"/>
    </row>
    <row r="853" spans="1:96" ht="15" customHeight="1" x14ac:dyDescent="0.2">
      <c r="A853" s="1">
        <v>8918012820</v>
      </c>
      <c r="B853" s="1">
        <v>891801282</v>
      </c>
      <c r="C853" s="9">
        <v>216015660</v>
      </c>
      <c r="D853" s="10" t="s">
        <v>296</v>
      </c>
      <c r="E853" s="45" t="s">
        <v>1327</v>
      </c>
      <c r="F853" s="21"/>
      <c r="G853" s="59"/>
      <c r="H853" s="21"/>
      <c r="I853" s="59"/>
      <c r="J853" s="21"/>
      <c r="K853" s="21"/>
      <c r="L853" s="59"/>
      <c r="M853" s="60"/>
      <c r="N853" s="21"/>
      <c r="O853" s="59"/>
      <c r="P853" s="21"/>
      <c r="Q853" s="59"/>
      <c r="R853" s="21"/>
      <c r="S853" s="21"/>
      <c r="T853" s="59"/>
      <c r="U853" s="60">
        <f t="shared" si="121"/>
        <v>0</v>
      </c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>
        <v>14393575</v>
      </c>
      <c r="AZ853" s="60"/>
      <c r="BA853" s="60">
        <f>VLOOKUP(B853,[2]Hoja3!J$3:K$674,2,0)</f>
        <v>24289265</v>
      </c>
      <c r="BB853" s="60"/>
      <c r="BC853" s="61">
        <f t="shared" si="122"/>
        <v>38682840</v>
      </c>
      <c r="BD853" s="60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>
        <v>2878715</v>
      </c>
      <c r="BO853" s="60"/>
      <c r="BP853" s="61">
        <v>41561555</v>
      </c>
      <c r="BQ853" s="61"/>
      <c r="BR853" s="61"/>
      <c r="BS853" s="61"/>
      <c r="BT853" s="61"/>
      <c r="BU853" s="61"/>
      <c r="BV853" s="61"/>
      <c r="BW853" s="61"/>
      <c r="BX853" s="61"/>
      <c r="BY853" s="61"/>
      <c r="BZ853" s="61"/>
      <c r="CA853" s="61"/>
      <c r="CB853" s="61"/>
      <c r="CC853" s="61">
        <v>2878715</v>
      </c>
      <c r="CD853" s="61"/>
      <c r="CE853" s="61"/>
      <c r="CF853" s="61"/>
      <c r="CG853" s="61">
        <f t="shared" si="123"/>
        <v>44440270</v>
      </c>
      <c r="CH853" s="62">
        <f>VLOOKUP(B853,[1]RPTNCT049_ConsultaSaldosContabl!I$4:K$7987,3,0)</f>
        <v>20151005</v>
      </c>
      <c r="CI853" s="62">
        <f t="shared" si="124"/>
        <v>24289265</v>
      </c>
      <c r="CJ853" s="63">
        <f t="shared" si="125"/>
        <v>44440270</v>
      </c>
      <c r="CK853" s="64">
        <f t="shared" si="126"/>
        <v>0</v>
      </c>
      <c r="CL853" s="16"/>
      <c r="CM853" s="8"/>
      <c r="CN853" s="8"/>
      <c r="CO853" s="8"/>
      <c r="CP853" s="8"/>
      <c r="CQ853" s="8"/>
      <c r="CR853" s="8"/>
    </row>
    <row r="854" spans="1:96" ht="15" customHeight="1" x14ac:dyDescent="0.2">
      <c r="A854" s="1">
        <v>8904813100</v>
      </c>
      <c r="B854" s="1">
        <v>890481310</v>
      </c>
      <c r="C854" s="9">
        <v>214713647</v>
      </c>
      <c r="D854" s="10" t="s">
        <v>204</v>
      </c>
      <c r="E854" s="45" t="s">
        <v>1235</v>
      </c>
      <c r="F854" s="21"/>
      <c r="G854" s="59"/>
      <c r="H854" s="21"/>
      <c r="I854" s="59"/>
      <c r="J854" s="21"/>
      <c r="K854" s="21"/>
      <c r="L854" s="59"/>
      <c r="M854" s="60"/>
      <c r="N854" s="21"/>
      <c r="O854" s="59"/>
      <c r="P854" s="21"/>
      <c r="Q854" s="59"/>
      <c r="R854" s="21"/>
      <c r="S854" s="21"/>
      <c r="T854" s="59"/>
      <c r="U854" s="60">
        <f t="shared" si="121"/>
        <v>0</v>
      </c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>
        <v>140690410</v>
      </c>
      <c r="AN854" s="60">
        <f>SUBTOTAL(9,AC854:AM854)</f>
        <v>140690410</v>
      </c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>
        <v>165127655</v>
      </c>
      <c r="AZ854" s="60"/>
      <c r="BA854" s="60">
        <f>VLOOKUP(B854,[2]Hoja3!J$3:K$674,2,0)</f>
        <v>152186664</v>
      </c>
      <c r="BB854" s="60"/>
      <c r="BC854" s="61">
        <f t="shared" si="122"/>
        <v>458004729</v>
      </c>
      <c r="BD854" s="60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>
        <v>33025531</v>
      </c>
      <c r="BO854" s="60"/>
      <c r="BP854" s="61">
        <v>491030260</v>
      </c>
      <c r="BQ854" s="61"/>
      <c r="BR854" s="61"/>
      <c r="BS854" s="61"/>
      <c r="BT854" s="61"/>
      <c r="BU854" s="61"/>
      <c r="BV854" s="61"/>
      <c r="BW854" s="61"/>
      <c r="BX854" s="61"/>
      <c r="BY854" s="61"/>
      <c r="BZ854" s="61"/>
      <c r="CA854" s="61"/>
      <c r="CB854" s="61"/>
      <c r="CC854" s="61">
        <v>33025531</v>
      </c>
      <c r="CD854" s="61"/>
      <c r="CE854" s="61"/>
      <c r="CF854" s="61"/>
      <c r="CG854" s="61">
        <f t="shared" si="123"/>
        <v>524055791</v>
      </c>
      <c r="CH854" s="62">
        <f>VLOOKUP(B854,[1]RPTNCT049_ConsultaSaldosContabl!I$4:K$7987,3,0)</f>
        <v>231178717</v>
      </c>
      <c r="CI854" s="62">
        <f t="shared" si="124"/>
        <v>292877074</v>
      </c>
      <c r="CJ854" s="63">
        <f t="shared" si="125"/>
        <v>524055791</v>
      </c>
      <c r="CK854" s="64">
        <f t="shared" si="126"/>
        <v>0</v>
      </c>
      <c r="CL854" s="16"/>
      <c r="CM854" s="8"/>
      <c r="CN854" s="8"/>
      <c r="CO854" s="8"/>
      <c r="CP854" s="8"/>
      <c r="CQ854" s="8"/>
      <c r="CR854" s="8"/>
    </row>
    <row r="855" spans="1:96" ht="15" customHeight="1" x14ac:dyDescent="0.2">
      <c r="A855" s="1">
        <v>8000371666</v>
      </c>
      <c r="B855" s="1">
        <v>800037166</v>
      </c>
      <c r="C855" s="9">
        <v>215013650</v>
      </c>
      <c r="D855" s="10" t="s">
        <v>205</v>
      </c>
      <c r="E855" s="45" t="s">
        <v>1236</v>
      </c>
      <c r="F855" s="21"/>
      <c r="G855" s="59"/>
      <c r="H855" s="21"/>
      <c r="I855" s="59"/>
      <c r="J855" s="21"/>
      <c r="K855" s="21"/>
      <c r="L855" s="59"/>
      <c r="M855" s="60"/>
      <c r="N855" s="21"/>
      <c r="O855" s="59"/>
      <c r="P855" s="21"/>
      <c r="Q855" s="59"/>
      <c r="R855" s="21"/>
      <c r="S855" s="21"/>
      <c r="T855" s="59"/>
      <c r="U855" s="60">
        <f t="shared" si="121"/>
        <v>0</v>
      </c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>
        <v>214091118</v>
      </c>
      <c r="AN855" s="60">
        <f>SUBTOTAL(9,AC855:AM855)</f>
        <v>214091118</v>
      </c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1">
        <f t="shared" si="122"/>
        <v>214091118</v>
      </c>
      <c r="BD855" s="60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>
        <v>0</v>
      </c>
      <c r="BO855" s="60"/>
      <c r="BP855" s="61">
        <v>214091118</v>
      </c>
      <c r="BQ855" s="61"/>
      <c r="BR855" s="61"/>
      <c r="BS855" s="61"/>
      <c r="BT855" s="61"/>
      <c r="BU855" s="61"/>
      <c r="BV855" s="61"/>
      <c r="BW855" s="61"/>
      <c r="BX855" s="61"/>
      <c r="BY855" s="61"/>
      <c r="BZ855" s="61"/>
      <c r="CA855" s="61"/>
      <c r="CB855" s="61"/>
      <c r="CC855" s="61">
        <v>0</v>
      </c>
      <c r="CD855" s="61"/>
      <c r="CE855" s="61"/>
      <c r="CF855" s="61"/>
      <c r="CG855" s="61">
        <f t="shared" si="123"/>
        <v>214091118</v>
      </c>
      <c r="CH855" s="62"/>
      <c r="CI855" s="62">
        <f t="shared" si="124"/>
        <v>214091118</v>
      </c>
      <c r="CJ855" s="63">
        <f t="shared" si="125"/>
        <v>214091118</v>
      </c>
      <c r="CK855" s="64">
        <f t="shared" si="126"/>
        <v>0</v>
      </c>
      <c r="CL855" s="16"/>
      <c r="CM855" s="8"/>
      <c r="CN855" s="8"/>
      <c r="CO855" s="8"/>
      <c r="CP855" s="8"/>
      <c r="CQ855" s="8"/>
      <c r="CR855" s="8"/>
    </row>
    <row r="856" spans="1:96" ht="15" customHeight="1" x14ac:dyDescent="0.2">
      <c r="A856" s="1">
        <v>8000227914</v>
      </c>
      <c r="B856" s="1">
        <v>800022791</v>
      </c>
      <c r="C856" s="9">
        <v>215205652</v>
      </c>
      <c r="D856" s="10" t="s">
        <v>129</v>
      </c>
      <c r="E856" s="45" t="s">
        <v>1157</v>
      </c>
      <c r="F856" s="21"/>
      <c r="G856" s="59"/>
      <c r="H856" s="21"/>
      <c r="I856" s="59"/>
      <c r="J856" s="21"/>
      <c r="K856" s="21"/>
      <c r="L856" s="59"/>
      <c r="M856" s="60"/>
      <c r="N856" s="21"/>
      <c r="O856" s="59"/>
      <c r="P856" s="21"/>
      <c r="Q856" s="59"/>
      <c r="R856" s="21"/>
      <c r="S856" s="21"/>
      <c r="T856" s="59"/>
      <c r="U856" s="60">
        <f t="shared" si="121"/>
        <v>0</v>
      </c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>
        <v>39742425</v>
      </c>
      <c r="AZ856" s="60"/>
      <c r="BA856" s="60">
        <f>VLOOKUP(B856,[2]Hoja3!J$3:K$674,2,0)</f>
        <v>76522980</v>
      </c>
      <c r="BB856" s="60"/>
      <c r="BC856" s="61">
        <f t="shared" si="122"/>
        <v>116265405</v>
      </c>
      <c r="BD856" s="60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>
        <v>7948485</v>
      </c>
      <c r="BO856" s="60"/>
      <c r="BP856" s="61">
        <v>124213890</v>
      </c>
      <c r="BQ856" s="61"/>
      <c r="BR856" s="61"/>
      <c r="BS856" s="61"/>
      <c r="BT856" s="61"/>
      <c r="BU856" s="61"/>
      <c r="BV856" s="61"/>
      <c r="BW856" s="61"/>
      <c r="BX856" s="61"/>
      <c r="BY856" s="61"/>
      <c r="BZ856" s="61"/>
      <c r="CA856" s="61"/>
      <c r="CB856" s="61"/>
      <c r="CC856" s="61">
        <v>7948485</v>
      </c>
      <c r="CD856" s="61"/>
      <c r="CE856" s="61"/>
      <c r="CF856" s="61"/>
      <c r="CG856" s="61">
        <f t="shared" si="123"/>
        <v>132162375</v>
      </c>
      <c r="CH856" s="62">
        <f>VLOOKUP(B856,[1]RPTNCT049_ConsultaSaldosContabl!I$4:K$7987,3,0)</f>
        <v>55639395</v>
      </c>
      <c r="CI856" s="62">
        <f t="shared" si="124"/>
        <v>76522980</v>
      </c>
      <c r="CJ856" s="63">
        <f t="shared" si="125"/>
        <v>132162375</v>
      </c>
      <c r="CK856" s="64">
        <f t="shared" si="126"/>
        <v>0</v>
      </c>
      <c r="CL856" s="16"/>
      <c r="CM856" s="16"/>
      <c r="CN856" s="16"/>
    </row>
    <row r="857" spans="1:96" ht="15" customHeight="1" x14ac:dyDescent="0.2">
      <c r="A857" s="1">
        <v>8999991735</v>
      </c>
      <c r="B857" s="1">
        <v>899999173</v>
      </c>
      <c r="C857" s="9">
        <v>215825658</v>
      </c>
      <c r="D857" s="10" t="s">
        <v>533</v>
      </c>
      <c r="E857" s="45" t="s">
        <v>2077</v>
      </c>
      <c r="F857" s="21"/>
      <c r="G857" s="59"/>
      <c r="H857" s="21"/>
      <c r="I857" s="59"/>
      <c r="J857" s="21"/>
      <c r="K857" s="21"/>
      <c r="L857" s="59"/>
      <c r="M857" s="60"/>
      <c r="N857" s="21"/>
      <c r="O857" s="59"/>
      <c r="P857" s="21"/>
      <c r="Q857" s="59"/>
      <c r="R857" s="21"/>
      <c r="S857" s="21"/>
      <c r="T857" s="59"/>
      <c r="U857" s="60">
        <f t="shared" si="121"/>
        <v>0</v>
      </c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>
        <v>129740329</v>
      </c>
      <c r="AN857" s="60">
        <f>SUBTOTAL(9,AC857:AM857)</f>
        <v>129740329</v>
      </c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1">
        <f t="shared" si="122"/>
        <v>129740329</v>
      </c>
      <c r="BD857" s="60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>
        <v>0</v>
      </c>
      <c r="BO857" s="60"/>
      <c r="BP857" s="61">
        <v>129740329</v>
      </c>
      <c r="BQ857" s="61"/>
      <c r="BR857" s="61"/>
      <c r="BS857" s="61"/>
      <c r="BT857" s="61"/>
      <c r="BU857" s="61"/>
      <c r="BV857" s="61"/>
      <c r="BW857" s="61"/>
      <c r="BX857" s="61"/>
      <c r="BY857" s="61"/>
      <c r="BZ857" s="61"/>
      <c r="CA857" s="61"/>
      <c r="CB857" s="61"/>
      <c r="CC857" s="61">
        <v>71645175</v>
      </c>
      <c r="CD857" s="61"/>
      <c r="CE857" s="61"/>
      <c r="CF857" s="61"/>
      <c r="CG857" s="61">
        <f t="shared" si="123"/>
        <v>201385504</v>
      </c>
      <c r="CH857" s="62">
        <f>VLOOKUP(B857,[1]RPTNCT049_ConsultaSaldosContabl!I$4:K$7987,3,0)</f>
        <v>71645175</v>
      </c>
      <c r="CI857" s="62">
        <f t="shared" si="124"/>
        <v>129740329</v>
      </c>
      <c r="CJ857" s="63">
        <f t="shared" si="125"/>
        <v>201385504</v>
      </c>
      <c r="CK857" s="64">
        <f t="shared" si="126"/>
        <v>0</v>
      </c>
      <c r="CL857" s="16"/>
      <c r="CM857" s="8"/>
      <c r="CN857" s="8"/>
      <c r="CO857" s="8"/>
      <c r="CP857" s="8"/>
      <c r="CQ857" s="8"/>
      <c r="CR857" s="8"/>
    </row>
    <row r="858" spans="1:96" ht="15" customHeight="1" x14ac:dyDescent="0.2">
      <c r="A858" s="1">
        <v>8001029036</v>
      </c>
      <c r="B858" s="1">
        <v>800102903</v>
      </c>
      <c r="C858" s="9">
        <v>215586755</v>
      </c>
      <c r="D858" s="10" t="s">
        <v>982</v>
      </c>
      <c r="E858" s="45" t="s">
        <v>2039</v>
      </c>
      <c r="F858" s="21"/>
      <c r="G858" s="59"/>
      <c r="H858" s="21"/>
      <c r="I858" s="59"/>
      <c r="J858" s="21"/>
      <c r="K858" s="21"/>
      <c r="L858" s="59"/>
      <c r="M858" s="60"/>
      <c r="N858" s="21"/>
      <c r="O858" s="59"/>
      <c r="P858" s="21"/>
      <c r="Q858" s="59"/>
      <c r="R858" s="21"/>
      <c r="S858" s="21"/>
      <c r="T858" s="59"/>
      <c r="U858" s="60">
        <f t="shared" si="121"/>
        <v>0</v>
      </c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>
        <v>7614600</v>
      </c>
      <c r="AN858" s="60">
        <f>SUBTOTAL(9,AC858:AM858)</f>
        <v>7614600</v>
      </c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>
        <v>40426000</v>
      </c>
      <c r="AZ858" s="60"/>
      <c r="BA858" s="60">
        <f>VLOOKUP(B858,[2]Hoja3!J$3:K$674,2,0)</f>
        <v>61996194</v>
      </c>
      <c r="BB858" s="60"/>
      <c r="BC858" s="61">
        <f t="shared" si="122"/>
        <v>110036794</v>
      </c>
      <c r="BD858" s="60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>
        <v>8085200</v>
      </c>
      <c r="BO858" s="60"/>
      <c r="BP858" s="61">
        <v>118121994</v>
      </c>
      <c r="BQ858" s="61"/>
      <c r="BR858" s="61"/>
      <c r="BS858" s="61"/>
      <c r="BT858" s="61"/>
      <c r="BU858" s="61"/>
      <c r="BV858" s="61"/>
      <c r="BW858" s="61"/>
      <c r="BX858" s="61"/>
      <c r="BY858" s="61"/>
      <c r="BZ858" s="61"/>
      <c r="CA858" s="61"/>
      <c r="CB858" s="61"/>
      <c r="CC858" s="61">
        <v>8085200</v>
      </c>
      <c r="CD858" s="61"/>
      <c r="CE858" s="61"/>
      <c r="CF858" s="61"/>
      <c r="CG858" s="61">
        <f t="shared" si="123"/>
        <v>126207194</v>
      </c>
      <c r="CH858" s="62">
        <f>VLOOKUP(B858,[1]RPTNCT049_ConsultaSaldosContabl!I$4:K$7987,3,0)</f>
        <v>56596400</v>
      </c>
      <c r="CI858" s="62">
        <f t="shared" si="124"/>
        <v>69610794</v>
      </c>
      <c r="CJ858" s="63">
        <f t="shared" si="125"/>
        <v>126207194</v>
      </c>
      <c r="CK858" s="64">
        <f t="shared" si="126"/>
        <v>0</v>
      </c>
      <c r="CL858" s="16"/>
      <c r="CM858" s="8"/>
      <c r="CN858" s="8"/>
      <c r="CO858" s="8"/>
      <c r="CP858" s="8"/>
      <c r="CQ858" s="8"/>
      <c r="CR858" s="8"/>
    </row>
    <row r="859" spans="1:96" ht="15" customHeight="1" x14ac:dyDescent="0.2">
      <c r="A859" s="1">
        <v>8000998241</v>
      </c>
      <c r="B859" s="1">
        <v>800099824</v>
      </c>
      <c r="C859" s="9">
        <v>217968679</v>
      </c>
      <c r="D859" s="10" t="s">
        <v>875</v>
      </c>
      <c r="E859" s="45" t="s">
        <v>1887</v>
      </c>
      <c r="F859" s="21"/>
      <c r="G859" s="59"/>
      <c r="H859" s="21"/>
      <c r="I859" s="59"/>
      <c r="J859" s="21"/>
      <c r="K859" s="21"/>
      <c r="L859" s="59"/>
      <c r="M859" s="60"/>
      <c r="N859" s="21"/>
      <c r="O859" s="59"/>
      <c r="P859" s="21"/>
      <c r="Q859" s="59"/>
      <c r="R859" s="21"/>
      <c r="S859" s="21"/>
      <c r="T859" s="59"/>
      <c r="U859" s="60">
        <f t="shared" si="121"/>
        <v>0</v>
      </c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>
        <v>662148310</v>
      </c>
      <c r="AN859" s="60">
        <f>SUBTOTAL(9,AC859:AM859)</f>
        <v>662148310</v>
      </c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>
        <v>266084560</v>
      </c>
      <c r="AZ859" s="60"/>
      <c r="BA859" s="60"/>
      <c r="BB859" s="60"/>
      <c r="BC859" s="61">
        <f t="shared" si="122"/>
        <v>928232870</v>
      </c>
      <c r="BD859" s="60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>
        <v>53216912</v>
      </c>
      <c r="BO859" s="60"/>
      <c r="BP859" s="61">
        <v>981449782</v>
      </c>
      <c r="BQ859" s="61"/>
      <c r="BR859" s="61"/>
      <c r="BS859" s="61"/>
      <c r="BT859" s="61"/>
      <c r="BU859" s="61"/>
      <c r="BV859" s="61"/>
      <c r="BW859" s="61"/>
      <c r="BX859" s="61"/>
      <c r="BY859" s="61"/>
      <c r="BZ859" s="61"/>
      <c r="CA859" s="61"/>
      <c r="CB859" s="61"/>
      <c r="CC859" s="61">
        <v>53216912</v>
      </c>
      <c r="CD859" s="61"/>
      <c r="CE859" s="61"/>
      <c r="CF859" s="61"/>
      <c r="CG859" s="61">
        <f t="shared" si="123"/>
        <v>1034666694</v>
      </c>
      <c r="CH859" s="62">
        <f>VLOOKUP(B859,[1]RPTNCT049_ConsultaSaldosContabl!I$4:K$7987,3,0)</f>
        <v>372518384</v>
      </c>
      <c r="CI859" s="62">
        <f t="shared" si="124"/>
        <v>662148310</v>
      </c>
      <c r="CJ859" s="63">
        <f t="shared" si="125"/>
        <v>1034666694</v>
      </c>
      <c r="CK859" s="64">
        <f t="shared" si="126"/>
        <v>0</v>
      </c>
      <c r="CL859" s="16"/>
      <c r="CM859" s="16"/>
      <c r="CN859" s="16"/>
    </row>
    <row r="860" spans="1:96" ht="15" customHeight="1" x14ac:dyDescent="0.2">
      <c r="A860" s="1">
        <v>8000266851</v>
      </c>
      <c r="B860" s="1">
        <v>800026685</v>
      </c>
      <c r="C860" s="9">
        <v>215413654</v>
      </c>
      <c r="D860" s="77" t="s">
        <v>2161</v>
      </c>
      <c r="E860" s="45" t="s">
        <v>1009</v>
      </c>
      <c r="F860" s="21"/>
      <c r="G860" s="59"/>
      <c r="H860" s="21"/>
      <c r="I860" s="59"/>
      <c r="J860" s="21"/>
      <c r="K860" s="21"/>
      <c r="L860" s="59"/>
      <c r="M860" s="60"/>
      <c r="N860" s="21"/>
      <c r="O860" s="59"/>
      <c r="P860" s="21"/>
      <c r="Q860" s="59"/>
      <c r="R860" s="21"/>
      <c r="S860" s="21"/>
      <c r="T860" s="59"/>
      <c r="U860" s="60">
        <f t="shared" si="121"/>
        <v>0</v>
      </c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>
        <v>349720780</v>
      </c>
      <c r="AZ860" s="60"/>
      <c r="BA860" s="60">
        <f>VLOOKUP(B860,[2]Hoja3!J$3:K$674,2,0)</f>
        <v>484487408</v>
      </c>
      <c r="BB860" s="60"/>
      <c r="BC860" s="61">
        <f t="shared" si="122"/>
        <v>834208188</v>
      </c>
      <c r="BD860" s="60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>
        <v>69944156</v>
      </c>
      <c r="BO860" s="60"/>
      <c r="BP860" s="61">
        <v>904152344</v>
      </c>
      <c r="BQ860" s="61"/>
      <c r="BR860" s="61"/>
      <c r="BS860" s="61"/>
      <c r="BT860" s="61"/>
      <c r="BU860" s="61"/>
      <c r="BV860" s="61"/>
      <c r="BW860" s="61"/>
      <c r="BX860" s="61"/>
      <c r="BY860" s="61"/>
      <c r="BZ860" s="61"/>
      <c r="CA860" s="61"/>
      <c r="CB860" s="61"/>
      <c r="CC860" s="61">
        <v>69944156</v>
      </c>
      <c r="CD860" s="61"/>
      <c r="CE860" s="61"/>
      <c r="CF860" s="61"/>
      <c r="CG860" s="61">
        <f t="shared" si="123"/>
        <v>974096500</v>
      </c>
      <c r="CH860" s="62">
        <f>VLOOKUP(B860,[1]RPTNCT049_ConsultaSaldosContabl!I$4:K$7987,3,0)</f>
        <v>489609092</v>
      </c>
      <c r="CI860" s="62">
        <f t="shared" si="124"/>
        <v>484487408</v>
      </c>
      <c r="CJ860" s="63">
        <f t="shared" si="125"/>
        <v>974096500</v>
      </c>
      <c r="CK860" s="64">
        <f t="shared" si="126"/>
        <v>0</v>
      </c>
      <c r="CL860" s="16"/>
      <c r="CM860" s="8"/>
      <c r="CN860" s="8"/>
      <c r="CO860" s="8"/>
      <c r="CP860" s="8"/>
      <c r="CQ860" s="8"/>
      <c r="CR860" s="8"/>
    </row>
    <row r="861" spans="1:96" ht="15" customHeight="1" x14ac:dyDescent="0.2">
      <c r="A861" s="1">
        <v>8060038841</v>
      </c>
      <c r="B861" s="1">
        <v>806003884</v>
      </c>
      <c r="C861" s="9">
        <v>215513655</v>
      </c>
      <c r="D861" s="77" t="s">
        <v>1004</v>
      </c>
      <c r="E861" s="45" t="s">
        <v>1237</v>
      </c>
      <c r="F861" s="21"/>
      <c r="G861" s="59"/>
      <c r="H861" s="21"/>
      <c r="I861" s="59"/>
      <c r="J861" s="21"/>
      <c r="K861" s="21"/>
      <c r="L861" s="59"/>
      <c r="M861" s="60"/>
      <c r="N861" s="21"/>
      <c r="O861" s="59"/>
      <c r="P861" s="21"/>
      <c r="Q861" s="59"/>
      <c r="R861" s="21"/>
      <c r="S861" s="21"/>
      <c r="T861" s="59"/>
      <c r="U861" s="60">
        <f t="shared" si="121"/>
        <v>0</v>
      </c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1">
        <f t="shared" si="122"/>
        <v>0</v>
      </c>
      <c r="BD861" s="60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>
        <v>0</v>
      </c>
      <c r="BO861" s="60"/>
      <c r="BP861" s="60">
        <v>0</v>
      </c>
      <c r="BQ861" s="61"/>
      <c r="BR861" s="61"/>
      <c r="BS861" s="61"/>
      <c r="BT861" s="61"/>
      <c r="BU861" s="61"/>
      <c r="BV861" s="61"/>
      <c r="BW861" s="61"/>
      <c r="BX861" s="61"/>
      <c r="BY861" s="61"/>
      <c r="BZ861" s="61"/>
      <c r="CA861" s="61"/>
      <c r="CB861" s="61"/>
      <c r="CC861" s="61">
        <v>0</v>
      </c>
      <c r="CD861" s="61"/>
      <c r="CE861" s="61">
        <v>99171140</v>
      </c>
      <c r="CF861" s="61"/>
      <c r="CG861" s="61">
        <f t="shared" si="123"/>
        <v>99171140</v>
      </c>
      <c r="CH861" s="62"/>
      <c r="CI861" s="62">
        <f t="shared" si="124"/>
        <v>99171140</v>
      </c>
      <c r="CJ861" s="63">
        <f t="shared" si="125"/>
        <v>99171140</v>
      </c>
      <c r="CK861" s="64">
        <f t="shared" si="126"/>
        <v>0</v>
      </c>
      <c r="CL861" s="16"/>
      <c r="CM861" s="8"/>
      <c r="CN861" s="8"/>
      <c r="CO861" s="8"/>
      <c r="CP861" s="8"/>
      <c r="CQ861" s="8"/>
      <c r="CR861" s="8"/>
    </row>
    <row r="862" spans="1:96" ht="15" customHeight="1" x14ac:dyDescent="0.2">
      <c r="A862" s="1">
        <v>8909208145</v>
      </c>
      <c r="B862" s="1">
        <v>890920814</v>
      </c>
      <c r="C862" s="9">
        <v>215605656</v>
      </c>
      <c r="D862" s="10" t="s">
        <v>130</v>
      </c>
      <c r="E862" s="45" t="s">
        <v>1158</v>
      </c>
      <c r="F862" s="21"/>
      <c r="G862" s="59"/>
      <c r="H862" s="21"/>
      <c r="I862" s="59"/>
      <c r="J862" s="21"/>
      <c r="K862" s="21"/>
      <c r="L862" s="59"/>
      <c r="M862" s="60"/>
      <c r="N862" s="21"/>
      <c r="O862" s="59"/>
      <c r="P862" s="21"/>
      <c r="Q862" s="59"/>
      <c r="R862" s="21"/>
      <c r="S862" s="21"/>
      <c r="T862" s="59"/>
      <c r="U862" s="60">
        <f t="shared" si="121"/>
        <v>0</v>
      </c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>
        <f>VLOOKUP(B862,[2]Hoja3!J$3:K$674,2,0)</f>
        <v>195197066</v>
      </c>
      <c r="BB862" s="60"/>
      <c r="BC862" s="61">
        <f t="shared" si="122"/>
        <v>195197066</v>
      </c>
      <c r="BD862" s="60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>
        <v>15839345</v>
      </c>
      <c r="BO862" s="60"/>
      <c r="BP862" s="61">
        <v>211036411</v>
      </c>
      <c r="BQ862" s="61"/>
      <c r="BR862" s="61"/>
      <c r="BS862" s="61"/>
      <c r="BT862" s="61"/>
      <c r="BU862" s="61"/>
      <c r="BV862" s="61"/>
      <c r="BW862" s="61"/>
      <c r="BX862" s="61"/>
      <c r="BY862" s="61"/>
      <c r="BZ862" s="61"/>
      <c r="CA862" s="61"/>
      <c r="CB862" s="61"/>
      <c r="CC862" s="61">
        <v>15839345</v>
      </c>
      <c r="CD862" s="61">
        <v>79196725</v>
      </c>
      <c r="CE862" s="61"/>
      <c r="CF862" s="61"/>
      <c r="CG862" s="61">
        <f t="shared" si="123"/>
        <v>306072481</v>
      </c>
      <c r="CH862" s="62">
        <f>VLOOKUP(B862,[1]RPTNCT049_ConsultaSaldosContabl!I$4:K$7987,3,0)</f>
        <v>110875415</v>
      </c>
      <c r="CI862" s="62">
        <f t="shared" si="124"/>
        <v>195197066</v>
      </c>
      <c r="CJ862" s="63">
        <f t="shared" si="125"/>
        <v>306072481</v>
      </c>
      <c r="CK862" s="64">
        <f t="shared" si="126"/>
        <v>0</v>
      </c>
      <c r="CL862" s="16"/>
      <c r="CM862" s="16"/>
      <c r="CN862" s="16"/>
    </row>
    <row r="863" spans="1:96" ht="15" customHeight="1" x14ac:dyDescent="0.2">
      <c r="A863" s="1">
        <v>8902086762</v>
      </c>
      <c r="B863" s="1">
        <v>890208676</v>
      </c>
      <c r="C863" s="9">
        <v>218268682</v>
      </c>
      <c r="D863" s="10" t="s">
        <v>876</v>
      </c>
      <c r="E863" s="45" t="s">
        <v>1852</v>
      </c>
      <c r="F863" s="21"/>
      <c r="G863" s="59"/>
      <c r="H863" s="21"/>
      <c r="I863" s="59"/>
      <c r="J863" s="21"/>
      <c r="K863" s="21"/>
      <c r="L863" s="59"/>
      <c r="M863" s="60"/>
      <c r="N863" s="21"/>
      <c r="O863" s="59"/>
      <c r="P863" s="21"/>
      <c r="Q863" s="59"/>
      <c r="R863" s="21"/>
      <c r="S863" s="21"/>
      <c r="T863" s="59"/>
      <c r="U863" s="60">
        <f t="shared" si="121"/>
        <v>0</v>
      </c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>
        <v>17168600</v>
      </c>
      <c r="AZ863" s="60"/>
      <c r="BA863" s="60">
        <f>VLOOKUP(B863,[2]Hoja3!J$3:K$674,2,0)</f>
        <v>32792671</v>
      </c>
      <c r="BB863" s="60"/>
      <c r="BC863" s="61">
        <f t="shared" si="122"/>
        <v>49961271</v>
      </c>
      <c r="BD863" s="60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>
        <v>3433720</v>
      </c>
      <c r="BO863" s="60"/>
      <c r="BP863" s="61">
        <v>53394991</v>
      </c>
      <c r="BQ863" s="61"/>
      <c r="BR863" s="61"/>
      <c r="BS863" s="61"/>
      <c r="BT863" s="61"/>
      <c r="BU863" s="61"/>
      <c r="BV863" s="61"/>
      <c r="BW863" s="61"/>
      <c r="BX863" s="61"/>
      <c r="BY863" s="61"/>
      <c r="BZ863" s="61"/>
      <c r="CA863" s="61"/>
      <c r="CB863" s="61"/>
      <c r="CC863" s="61">
        <v>3433720</v>
      </c>
      <c r="CD863" s="61"/>
      <c r="CE863" s="61"/>
      <c r="CF863" s="61"/>
      <c r="CG863" s="61">
        <f t="shared" si="123"/>
        <v>56828711</v>
      </c>
      <c r="CH863" s="62">
        <f>VLOOKUP(B863,[1]RPTNCT049_ConsultaSaldosContabl!I$4:K$7987,3,0)</f>
        <v>24036040</v>
      </c>
      <c r="CI863" s="62">
        <f t="shared" si="124"/>
        <v>32792671</v>
      </c>
      <c r="CJ863" s="63">
        <f t="shared" si="125"/>
        <v>56828711</v>
      </c>
      <c r="CK863" s="64">
        <f t="shared" si="126"/>
        <v>0</v>
      </c>
      <c r="CL863" s="16"/>
      <c r="CM863" s="16"/>
      <c r="CN863" s="16"/>
    </row>
    <row r="864" spans="1:96" ht="15" customHeight="1" x14ac:dyDescent="0.2">
      <c r="A864" s="1">
        <v>8916800809</v>
      </c>
      <c r="B864" s="1">
        <v>891680080</v>
      </c>
      <c r="C864" s="9">
        <v>216027660</v>
      </c>
      <c r="D864" s="10" t="s">
        <v>2115</v>
      </c>
      <c r="E864" s="45" t="s">
        <v>1611</v>
      </c>
      <c r="F864" s="21"/>
      <c r="G864" s="59"/>
      <c r="H864" s="21"/>
      <c r="I864" s="59"/>
      <c r="J864" s="21"/>
      <c r="K864" s="21"/>
      <c r="L864" s="59"/>
      <c r="M864" s="60"/>
      <c r="N864" s="21"/>
      <c r="O864" s="59"/>
      <c r="P864" s="21"/>
      <c r="Q864" s="59"/>
      <c r="R864" s="21"/>
      <c r="S864" s="21"/>
      <c r="T864" s="59"/>
      <c r="U864" s="60">
        <f t="shared" si="121"/>
        <v>0</v>
      </c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>
        <v>79617884</v>
      </c>
      <c r="AN864" s="60">
        <f t="shared" ref="AN864:AN874" si="128">SUBTOTAL(9,AC864:AM864)</f>
        <v>79617884</v>
      </c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1">
        <f t="shared" si="122"/>
        <v>79617884</v>
      </c>
      <c r="BD864" s="60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>
        <v>7744334</v>
      </c>
      <c r="BO864" s="60"/>
      <c r="BP864" s="61">
        <v>87362218</v>
      </c>
      <c r="BQ864" s="61"/>
      <c r="BR864" s="61"/>
      <c r="BS864" s="61"/>
      <c r="BT864" s="61"/>
      <c r="BU864" s="61"/>
      <c r="BV864" s="61"/>
      <c r="BW864" s="61"/>
      <c r="BX864" s="61"/>
      <c r="BY864" s="61"/>
      <c r="BZ864" s="61"/>
      <c r="CA864" s="61"/>
      <c r="CB864" s="61"/>
      <c r="CC864" s="61">
        <v>7744334</v>
      </c>
      <c r="CD864" s="61">
        <v>38721670</v>
      </c>
      <c r="CE864" s="61"/>
      <c r="CF864" s="61"/>
      <c r="CG864" s="61">
        <f t="shared" si="123"/>
        <v>133828222</v>
      </c>
      <c r="CH864" s="62">
        <f>VLOOKUP(B864,[1]RPTNCT049_ConsultaSaldosContabl!I$4:K$7987,3,0)</f>
        <v>54210338</v>
      </c>
      <c r="CI864" s="62">
        <f t="shared" si="124"/>
        <v>79617884</v>
      </c>
      <c r="CJ864" s="63">
        <f t="shared" si="125"/>
        <v>133828222</v>
      </c>
      <c r="CK864" s="64">
        <f t="shared" si="126"/>
        <v>0</v>
      </c>
      <c r="CL864" s="16"/>
      <c r="CM864" s="16"/>
      <c r="CN864" s="16"/>
    </row>
    <row r="865" spans="1:96" ht="15" customHeight="1" x14ac:dyDescent="0.2">
      <c r="A865" s="1">
        <v>8000832337</v>
      </c>
      <c r="B865" s="1">
        <v>800083233</v>
      </c>
      <c r="C865" s="9">
        <v>216415664</v>
      </c>
      <c r="D865" s="10" t="s">
        <v>297</v>
      </c>
      <c r="E865" s="45" t="s">
        <v>1328</v>
      </c>
      <c r="F865" s="21"/>
      <c r="G865" s="59"/>
      <c r="H865" s="21"/>
      <c r="I865" s="59"/>
      <c r="J865" s="21"/>
      <c r="K865" s="21"/>
      <c r="L865" s="59"/>
      <c r="M865" s="60"/>
      <c r="N865" s="21"/>
      <c r="O865" s="59"/>
      <c r="P865" s="21"/>
      <c r="Q865" s="59"/>
      <c r="R865" s="21"/>
      <c r="S865" s="21"/>
      <c r="T865" s="59"/>
      <c r="U865" s="60">
        <f t="shared" si="121"/>
        <v>0</v>
      </c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>
        <v>14556599</v>
      </c>
      <c r="AN865" s="60">
        <f t="shared" si="128"/>
        <v>14556599</v>
      </c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>
        <v>37585305</v>
      </c>
      <c r="AZ865" s="60"/>
      <c r="BA865" s="60">
        <f>VLOOKUP(B865,[2]Hoja3!J$3:K$674,2,0)</f>
        <v>45002686</v>
      </c>
      <c r="BB865" s="60"/>
      <c r="BC865" s="61">
        <f t="shared" si="122"/>
        <v>97144590</v>
      </c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>
        <v>7517061</v>
      </c>
      <c r="BO865" s="60"/>
      <c r="BP865" s="61">
        <v>104661651</v>
      </c>
      <c r="BQ865" s="61"/>
      <c r="BR865" s="61"/>
      <c r="BS865" s="61"/>
      <c r="BT865" s="61"/>
      <c r="BU865" s="61"/>
      <c r="BV865" s="61"/>
      <c r="BW865" s="61"/>
      <c r="BX865" s="61"/>
      <c r="BY865" s="61"/>
      <c r="BZ865" s="61"/>
      <c r="CA865" s="61"/>
      <c r="CB865" s="61"/>
      <c r="CC865" s="61">
        <v>7517061</v>
      </c>
      <c r="CD865" s="61"/>
      <c r="CE865" s="61"/>
      <c r="CF865" s="61"/>
      <c r="CG865" s="61">
        <f t="shared" si="123"/>
        <v>112178712</v>
      </c>
      <c r="CH865" s="62">
        <f>VLOOKUP(B865,[1]RPTNCT049_ConsultaSaldosContabl!I$4:K$7987,3,0)</f>
        <v>52619427</v>
      </c>
      <c r="CI865" s="62">
        <f t="shared" si="124"/>
        <v>59559285</v>
      </c>
      <c r="CJ865" s="63">
        <f t="shared" si="125"/>
        <v>112178712</v>
      </c>
      <c r="CK865" s="64">
        <f t="shared" si="126"/>
        <v>0</v>
      </c>
      <c r="CL865" s="16"/>
      <c r="CM865" s="8"/>
      <c r="CN865" s="8"/>
      <c r="CO865" s="8"/>
      <c r="CP865" s="8"/>
      <c r="CQ865" s="8"/>
      <c r="CR865" s="8"/>
    </row>
    <row r="866" spans="1:96" ht="15" customHeight="1" x14ac:dyDescent="0.2">
      <c r="A866" s="1">
        <v>9002200618</v>
      </c>
      <c r="B866" s="1">
        <v>900220061</v>
      </c>
      <c r="C866" s="9">
        <v>923271475</v>
      </c>
      <c r="D866" s="10" t="s">
        <v>2201</v>
      </c>
      <c r="E866" s="45" t="s">
        <v>2069</v>
      </c>
      <c r="F866" s="21"/>
      <c r="G866" s="59"/>
      <c r="H866" s="21"/>
      <c r="I866" s="59"/>
      <c r="J866" s="21"/>
      <c r="K866" s="21"/>
      <c r="L866" s="59"/>
      <c r="M866" s="60"/>
      <c r="N866" s="21"/>
      <c r="O866" s="59"/>
      <c r="P866" s="21"/>
      <c r="Q866" s="59"/>
      <c r="R866" s="21"/>
      <c r="S866" s="21"/>
      <c r="T866" s="59"/>
      <c r="U866" s="60">
        <f t="shared" si="121"/>
        <v>0</v>
      </c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>
        <v>127998579</v>
      </c>
      <c r="AN866" s="60">
        <f t="shared" si="128"/>
        <v>127998579</v>
      </c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>
        <v>165316175</v>
      </c>
      <c r="AZ866" s="60"/>
      <c r="BA866" s="60"/>
      <c r="BB866" s="60"/>
      <c r="BC866" s="61">
        <f t="shared" si="122"/>
        <v>293314754</v>
      </c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>
        <v>33063235</v>
      </c>
      <c r="BO866" s="60"/>
      <c r="BP866" s="61">
        <v>326377989</v>
      </c>
      <c r="BQ866" s="61"/>
      <c r="BR866" s="61"/>
      <c r="BS866" s="61"/>
      <c r="BT866" s="61"/>
      <c r="BU866" s="61"/>
      <c r="BV866" s="61"/>
      <c r="BW866" s="61"/>
      <c r="BX866" s="61"/>
      <c r="BY866" s="61"/>
      <c r="BZ866" s="61"/>
      <c r="CA866" s="61"/>
      <c r="CB866" s="61"/>
      <c r="CC866" s="61">
        <v>33063235</v>
      </c>
      <c r="CD866" s="61"/>
      <c r="CE866" s="61"/>
      <c r="CF866" s="61"/>
      <c r="CG866" s="61">
        <f t="shared" si="123"/>
        <v>359441224</v>
      </c>
      <c r="CH866" s="62">
        <f>VLOOKUP(B866,[1]RPTNCT049_ConsultaSaldosContabl!I$4:K$7987,3,0)</f>
        <v>231442645</v>
      </c>
      <c r="CI866" s="62">
        <f t="shared" si="124"/>
        <v>127998579</v>
      </c>
      <c r="CJ866" s="63">
        <f t="shared" si="125"/>
        <v>359441224</v>
      </c>
      <c r="CK866" s="64">
        <f t="shared" si="126"/>
        <v>0</v>
      </c>
      <c r="CL866" s="16"/>
      <c r="CM866" s="16"/>
      <c r="CN866" s="16"/>
    </row>
    <row r="867" spans="1:96" ht="15" customHeight="1" x14ac:dyDescent="0.2">
      <c r="A867" s="1">
        <v>8001031802</v>
      </c>
      <c r="B867" s="1">
        <v>800103180</v>
      </c>
      <c r="C867" s="9">
        <v>210195001</v>
      </c>
      <c r="D867" s="10" t="s">
        <v>2122</v>
      </c>
      <c r="E867" s="45" t="s">
        <v>2047</v>
      </c>
      <c r="F867" s="21"/>
      <c r="G867" s="59"/>
      <c r="H867" s="21"/>
      <c r="I867" s="59"/>
      <c r="J867" s="21"/>
      <c r="K867" s="21"/>
      <c r="L867" s="59"/>
      <c r="M867" s="60"/>
      <c r="N867" s="21"/>
      <c r="O867" s="59"/>
      <c r="P867" s="21"/>
      <c r="Q867" s="59"/>
      <c r="R867" s="21"/>
      <c r="S867" s="21"/>
      <c r="T867" s="59"/>
      <c r="U867" s="60">
        <f t="shared" si="121"/>
        <v>0</v>
      </c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>
        <v>839717817</v>
      </c>
      <c r="AN867" s="60">
        <f t="shared" si="128"/>
        <v>839717817</v>
      </c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>
        <v>462255835</v>
      </c>
      <c r="AZ867" s="60"/>
      <c r="BA867" s="60"/>
      <c r="BB867" s="60"/>
      <c r="BC867" s="61">
        <f t="shared" si="122"/>
        <v>1301973652</v>
      </c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>
        <v>92451167</v>
      </c>
      <c r="BO867" s="60"/>
      <c r="BP867" s="61">
        <v>1394424819</v>
      </c>
      <c r="BQ867" s="61"/>
      <c r="BR867" s="61"/>
      <c r="BS867" s="61"/>
      <c r="BT867" s="61"/>
      <c r="BU867" s="61"/>
      <c r="BV867" s="61"/>
      <c r="BW867" s="61"/>
      <c r="BX867" s="61"/>
      <c r="BY867" s="61"/>
      <c r="BZ867" s="61"/>
      <c r="CA867" s="61"/>
      <c r="CB867" s="61"/>
      <c r="CC867" s="61">
        <v>92451167</v>
      </c>
      <c r="CD867" s="61"/>
      <c r="CE867" s="61"/>
      <c r="CF867" s="61"/>
      <c r="CG867" s="61">
        <f t="shared" si="123"/>
        <v>1486875986</v>
      </c>
      <c r="CH867" s="62">
        <f>VLOOKUP(B867,[1]RPTNCT049_ConsultaSaldosContabl!I$4:K$7987,3,0)</f>
        <v>647158169</v>
      </c>
      <c r="CI867" s="62">
        <f t="shared" si="124"/>
        <v>839717817</v>
      </c>
      <c r="CJ867" s="63">
        <f t="shared" si="125"/>
        <v>1486875986</v>
      </c>
      <c r="CK867" s="64">
        <f t="shared" si="126"/>
        <v>0</v>
      </c>
      <c r="CL867" s="16"/>
      <c r="CM867" s="16"/>
      <c r="CN867" s="16"/>
    </row>
    <row r="868" spans="1:96" ht="15" customHeight="1" x14ac:dyDescent="0.2">
      <c r="A868" s="1">
        <v>8000957820</v>
      </c>
      <c r="B868" s="1">
        <v>800095782</v>
      </c>
      <c r="C868" s="9">
        <v>211018610</v>
      </c>
      <c r="D868" s="10" t="s">
        <v>2195</v>
      </c>
      <c r="E868" s="45" t="s">
        <v>1400</v>
      </c>
      <c r="F868" s="21"/>
      <c r="G868" s="59"/>
      <c r="H868" s="21"/>
      <c r="I868" s="59"/>
      <c r="J868" s="21"/>
      <c r="K868" s="21"/>
      <c r="L868" s="59"/>
      <c r="M868" s="60"/>
      <c r="N868" s="21"/>
      <c r="O868" s="59"/>
      <c r="P868" s="21"/>
      <c r="Q868" s="59"/>
      <c r="R868" s="21"/>
      <c r="S868" s="21"/>
      <c r="T868" s="59"/>
      <c r="U868" s="60">
        <f t="shared" si="121"/>
        <v>0</v>
      </c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>
        <v>251064524</v>
      </c>
      <c r="AN868" s="60">
        <f t="shared" si="128"/>
        <v>251064524</v>
      </c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>
        <v>132244025</v>
      </c>
      <c r="AZ868" s="60"/>
      <c r="BA868" s="60"/>
      <c r="BB868" s="60"/>
      <c r="BC868" s="61">
        <f t="shared" si="122"/>
        <v>383308549</v>
      </c>
      <c r="BD868" s="60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>
        <v>26448805</v>
      </c>
      <c r="BO868" s="60"/>
      <c r="BP868" s="61">
        <v>409757354</v>
      </c>
      <c r="BQ868" s="61"/>
      <c r="BR868" s="61"/>
      <c r="BS868" s="61"/>
      <c r="BT868" s="61"/>
      <c r="BU868" s="61"/>
      <c r="BV868" s="61"/>
      <c r="BW868" s="61"/>
      <c r="BX868" s="61"/>
      <c r="BY868" s="61"/>
      <c r="BZ868" s="61"/>
      <c r="CA868" s="61"/>
      <c r="CB868" s="61"/>
      <c r="CC868" s="61">
        <v>26448805</v>
      </c>
      <c r="CD868" s="61"/>
      <c r="CE868" s="61"/>
      <c r="CF868" s="61"/>
      <c r="CG868" s="61">
        <f t="shared" si="123"/>
        <v>436206159</v>
      </c>
      <c r="CH868" s="62">
        <f>VLOOKUP(B868,[1]RPTNCT049_ConsultaSaldosContabl!I$4:K$7987,3,0)</f>
        <v>185141635</v>
      </c>
      <c r="CI868" s="62">
        <f t="shared" si="124"/>
        <v>251064524</v>
      </c>
      <c r="CJ868" s="63">
        <f t="shared" si="125"/>
        <v>436206159</v>
      </c>
      <c r="CK868" s="64">
        <f t="shared" si="126"/>
        <v>0</v>
      </c>
      <c r="CL868" s="16"/>
      <c r="CM868" s="16"/>
      <c r="CN868" s="16"/>
    </row>
    <row r="869" spans="1:96" ht="15" customHeight="1" x14ac:dyDescent="0.2">
      <c r="A869" s="1">
        <v>8902048904</v>
      </c>
      <c r="B869" s="1">
        <v>890204890</v>
      </c>
      <c r="C869" s="9">
        <v>218468684</v>
      </c>
      <c r="D869" s="10" t="s">
        <v>2136</v>
      </c>
      <c r="E869" s="45" t="s">
        <v>1888</v>
      </c>
      <c r="F869" s="21"/>
      <c r="G869" s="59"/>
      <c r="H869" s="21"/>
      <c r="I869" s="59"/>
      <c r="J869" s="21"/>
      <c r="K869" s="21"/>
      <c r="L869" s="59"/>
      <c r="M869" s="60"/>
      <c r="N869" s="21"/>
      <c r="O869" s="59"/>
      <c r="P869" s="21"/>
      <c r="Q869" s="59"/>
      <c r="R869" s="21"/>
      <c r="S869" s="21"/>
      <c r="T869" s="59"/>
      <c r="U869" s="60">
        <f t="shared" si="121"/>
        <v>0</v>
      </c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>
        <v>52552207</v>
      </c>
      <c r="AN869" s="60">
        <f t="shared" si="128"/>
        <v>52552207</v>
      </c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>
        <v>29033440</v>
      </c>
      <c r="AZ869" s="60"/>
      <c r="BA869" s="60"/>
      <c r="BB869" s="60"/>
      <c r="BC869" s="61">
        <f t="shared" si="122"/>
        <v>81585647</v>
      </c>
      <c r="BD869" s="60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>
        <v>5806688</v>
      </c>
      <c r="BO869" s="60"/>
      <c r="BP869" s="61">
        <v>87392335</v>
      </c>
      <c r="BQ869" s="61"/>
      <c r="BR869" s="61"/>
      <c r="BS869" s="61"/>
      <c r="BT869" s="61"/>
      <c r="BU869" s="61"/>
      <c r="BV869" s="61"/>
      <c r="BW869" s="61"/>
      <c r="BX869" s="61"/>
      <c r="BY869" s="61"/>
      <c r="BZ869" s="61"/>
      <c r="CA869" s="61"/>
      <c r="CB869" s="61"/>
      <c r="CC869" s="61">
        <v>5806688</v>
      </c>
      <c r="CD869" s="61"/>
      <c r="CE869" s="61"/>
      <c r="CF869" s="61"/>
      <c r="CG869" s="61">
        <f t="shared" si="123"/>
        <v>93199023</v>
      </c>
      <c r="CH869" s="62">
        <f>VLOOKUP(B869,[1]RPTNCT049_ConsultaSaldosContabl!I$4:K$7987,3,0)</f>
        <v>40646816</v>
      </c>
      <c r="CI869" s="62">
        <f t="shared" si="124"/>
        <v>52552207</v>
      </c>
      <c r="CJ869" s="63">
        <f t="shared" si="125"/>
        <v>93199023</v>
      </c>
      <c r="CK869" s="64">
        <f t="shared" si="126"/>
        <v>0</v>
      </c>
      <c r="CL869" s="16"/>
      <c r="CM869" s="16"/>
      <c r="CN869" s="16"/>
    </row>
    <row r="870" spans="1:96" ht="15" customHeight="1" x14ac:dyDescent="0.2">
      <c r="A870" s="1">
        <v>8100019988</v>
      </c>
      <c r="B870" s="1">
        <v>810001998</v>
      </c>
      <c r="C870" s="9">
        <v>216517665</v>
      </c>
      <c r="D870" s="10" t="s">
        <v>357</v>
      </c>
      <c r="E870" s="45" t="s">
        <v>1386</v>
      </c>
      <c r="F870" s="21"/>
      <c r="G870" s="59"/>
      <c r="H870" s="21"/>
      <c r="I870" s="59"/>
      <c r="J870" s="21"/>
      <c r="K870" s="21"/>
      <c r="L870" s="59"/>
      <c r="M870" s="60"/>
      <c r="N870" s="21"/>
      <c r="O870" s="59"/>
      <c r="P870" s="21"/>
      <c r="Q870" s="59"/>
      <c r="R870" s="21"/>
      <c r="S870" s="21"/>
      <c r="T870" s="59"/>
      <c r="U870" s="60">
        <f t="shared" si="121"/>
        <v>0</v>
      </c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>
        <v>75311670</v>
      </c>
      <c r="AN870" s="60">
        <f t="shared" si="128"/>
        <v>75311670</v>
      </c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>
        <v>38320085</v>
      </c>
      <c r="AZ870" s="60"/>
      <c r="BA870" s="60"/>
      <c r="BB870" s="60"/>
      <c r="BC870" s="61">
        <f t="shared" si="122"/>
        <v>113631755</v>
      </c>
      <c r="BD870" s="60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>
        <v>7664017</v>
      </c>
      <c r="BO870" s="60"/>
      <c r="BP870" s="61">
        <v>121295772</v>
      </c>
      <c r="BQ870" s="61"/>
      <c r="BR870" s="61"/>
      <c r="BS870" s="61"/>
      <c r="BT870" s="61"/>
      <c r="BU870" s="61"/>
      <c r="BV870" s="61"/>
      <c r="BW870" s="61"/>
      <c r="BX870" s="61"/>
      <c r="BY870" s="61"/>
      <c r="BZ870" s="61"/>
      <c r="CA870" s="61"/>
      <c r="CB870" s="61"/>
      <c r="CC870" s="61">
        <v>7664017</v>
      </c>
      <c r="CD870" s="61"/>
      <c r="CE870" s="61"/>
      <c r="CF870" s="61"/>
      <c r="CG870" s="61">
        <f t="shared" si="123"/>
        <v>128959789</v>
      </c>
      <c r="CH870" s="62">
        <f>VLOOKUP(B870,[1]RPTNCT049_ConsultaSaldosContabl!I$4:K$7987,3,0)</f>
        <v>53648119</v>
      </c>
      <c r="CI870" s="62">
        <f t="shared" si="124"/>
        <v>75311670</v>
      </c>
      <c r="CJ870" s="63">
        <f t="shared" si="125"/>
        <v>128959789</v>
      </c>
      <c r="CK870" s="64">
        <f t="shared" si="126"/>
        <v>0</v>
      </c>
      <c r="CL870" s="16"/>
      <c r="CM870" s="16"/>
      <c r="CN870" s="16"/>
    </row>
    <row r="871" spans="1:96" ht="15" customHeight="1" x14ac:dyDescent="0.2">
      <c r="A871" s="1">
        <v>8922012821</v>
      </c>
      <c r="B871" s="1">
        <v>892201282</v>
      </c>
      <c r="C871" s="9">
        <v>210270702</v>
      </c>
      <c r="D871" s="10" t="s">
        <v>2139</v>
      </c>
      <c r="E871" s="45" t="s">
        <v>1920</v>
      </c>
      <c r="F871" s="21"/>
      <c r="G871" s="59"/>
      <c r="H871" s="21"/>
      <c r="I871" s="59"/>
      <c r="J871" s="21"/>
      <c r="K871" s="21"/>
      <c r="L871" s="59"/>
      <c r="M871" s="60"/>
      <c r="N871" s="21"/>
      <c r="O871" s="59"/>
      <c r="P871" s="21"/>
      <c r="Q871" s="59"/>
      <c r="R871" s="21"/>
      <c r="S871" s="21"/>
      <c r="T871" s="59"/>
      <c r="U871" s="60">
        <f t="shared" si="121"/>
        <v>0</v>
      </c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>
        <v>42370217</v>
      </c>
      <c r="AN871" s="60">
        <f t="shared" si="128"/>
        <v>42370217</v>
      </c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>
        <v>117463185</v>
      </c>
      <c r="AZ871" s="60"/>
      <c r="BA871" s="60">
        <f>VLOOKUP(B871,[2]Hoja3!J$3:K$674,2,0)</f>
        <v>159590057</v>
      </c>
      <c r="BB871" s="60"/>
      <c r="BC871" s="61">
        <f t="shared" si="122"/>
        <v>319423459</v>
      </c>
      <c r="BD871" s="60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>
        <v>23492637</v>
      </c>
      <c r="BO871" s="60"/>
      <c r="BP871" s="61">
        <v>342916096</v>
      </c>
      <c r="BQ871" s="61"/>
      <c r="BR871" s="61"/>
      <c r="BS871" s="61"/>
      <c r="BT871" s="61"/>
      <c r="BU871" s="61"/>
      <c r="BV871" s="61"/>
      <c r="BW871" s="61"/>
      <c r="BX871" s="61"/>
      <c r="BY871" s="61"/>
      <c r="BZ871" s="61"/>
      <c r="CA871" s="61"/>
      <c r="CB871" s="61"/>
      <c r="CC871" s="61">
        <v>23492637</v>
      </c>
      <c r="CD871" s="61"/>
      <c r="CE871" s="61">
        <v>7536705</v>
      </c>
      <c r="CF871" s="61"/>
      <c r="CG871" s="61">
        <f t="shared" si="123"/>
        <v>373945438</v>
      </c>
      <c r="CH871" s="62">
        <f>VLOOKUP(B871,[1]RPTNCT049_ConsultaSaldosContabl!I$4:K$7987,3,0)</f>
        <v>164448459</v>
      </c>
      <c r="CI871" s="62">
        <f t="shared" si="124"/>
        <v>209496979</v>
      </c>
      <c r="CJ871" s="63">
        <f t="shared" si="125"/>
        <v>373945438</v>
      </c>
      <c r="CK871" s="64">
        <f t="shared" si="126"/>
        <v>0</v>
      </c>
      <c r="CL871" s="16"/>
      <c r="CM871" s="16"/>
      <c r="CN871" s="16"/>
    </row>
    <row r="872" spans="1:96" ht="15" customHeight="1" x14ac:dyDescent="0.2">
      <c r="A872" s="1">
        <v>8000982056</v>
      </c>
      <c r="B872" s="1">
        <v>800098205</v>
      </c>
      <c r="C872" s="9">
        <v>218350683</v>
      </c>
      <c r="D872" s="10" t="s">
        <v>688</v>
      </c>
      <c r="E872" s="45" t="s">
        <v>1710</v>
      </c>
      <c r="F872" s="21"/>
      <c r="G872" s="59"/>
      <c r="H872" s="21"/>
      <c r="I872" s="59"/>
      <c r="J872" s="21"/>
      <c r="K872" s="21"/>
      <c r="L872" s="59"/>
      <c r="M872" s="60"/>
      <c r="N872" s="21"/>
      <c r="O872" s="59"/>
      <c r="P872" s="21"/>
      <c r="Q872" s="59"/>
      <c r="R872" s="21"/>
      <c r="S872" s="21"/>
      <c r="T872" s="59"/>
      <c r="U872" s="60">
        <f t="shared" si="121"/>
        <v>0</v>
      </c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>
        <v>129758954</v>
      </c>
      <c r="AN872" s="60">
        <f t="shared" si="128"/>
        <v>129758954</v>
      </c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>
        <v>55913080</v>
      </c>
      <c r="AZ872" s="60"/>
      <c r="BA872" s="60"/>
      <c r="BB872" s="60"/>
      <c r="BC872" s="61">
        <f t="shared" si="122"/>
        <v>185672034</v>
      </c>
      <c r="BD872" s="60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>
        <v>11182616</v>
      </c>
      <c r="BO872" s="60"/>
      <c r="BP872" s="61">
        <v>196854650</v>
      </c>
      <c r="BQ872" s="61"/>
      <c r="BR872" s="61"/>
      <c r="BS872" s="61"/>
      <c r="BT872" s="61"/>
      <c r="BU872" s="61"/>
      <c r="BV872" s="61"/>
      <c r="BW872" s="61"/>
      <c r="BX872" s="61"/>
      <c r="BY872" s="61"/>
      <c r="BZ872" s="61"/>
      <c r="CA872" s="61"/>
      <c r="CB872" s="61"/>
      <c r="CC872" s="61">
        <v>11182616</v>
      </c>
      <c r="CD872" s="61"/>
      <c r="CE872" s="61"/>
      <c r="CF872" s="61"/>
      <c r="CG872" s="61">
        <f t="shared" si="123"/>
        <v>208037266</v>
      </c>
      <c r="CH872" s="62">
        <f>VLOOKUP(B872,[1]RPTNCT049_ConsultaSaldosContabl!I$4:K$7987,3,0)</f>
        <v>78278312</v>
      </c>
      <c r="CI872" s="62">
        <f t="shared" si="124"/>
        <v>129758954</v>
      </c>
      <c r="CJ872" s="63">
        <f t="shared" si="125"/>
        <v>208037266</v>
      </c>
      <c r="CK872" s="64">
        <f t="shared" si="126"/>
        <v>0</v>
      </c>
      <c r="CL872" s="16"/>
      <c r="CM872" s="16"/>
      <c r="CN872" s="16"/>
    </row>
    <row r="873" spans="1:96" ht="15" customHeight="1" x14ac:dyDescent="0.2">
      <c r="A873" s="1">
        <v>8999994224</v>
      </c>
      <c r="B873" s="1">
        <v>899999422</v>
      </c>
      <c r="C873" s="9">
        <v>216225662</v>
      </c>
      <c r="D873" s="10" t="s">
        <v>2118</v>
      </c>
      <c r="E873" s="45" t="s">
        <v>1559</v>
      </c>
      <c r="F873" s="21"/>
      <c r="G873" s="59"/>
      <c r="H873" s="21"/>
      <c r="I873" s="59"/>
      <c r="J873" s="21"/>
      <c r="K873" s="21"/>
      <c r="L873" s="59"/>
      <c r="M873" s="60"/>
      <c r="N873" s="21"/>
      <c r="O873" s="59"/>
      <c r="P873" s="21"/>
      <c r="Q873" s="59"/>
      <c r="R873" s="21"/>
      <c r="S873" s="21"/>
      <c r="T873" s="59"/>
      <c r="U873" s="60">
        <f t="shared" si="121"/>
        <v>0</v>
      </c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>
        <v>134849144</v>
      </c>
      <c r="AN873" s="60">
        <f t="shared" si="128"/>
        <v>134849144</v>
      </c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1">
        <f t="shared" si="122"/>
        <v>134849144</v>
      </c>
      <c r="BD873" s="60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>
        <v>0</v>
      </c>
      <c r="BO873" s="60"/>
      <c r="BP873" s="61">
        <v>134849144</v>
      </c>
      <c r="BQ873" s="61"/>
      <c r="BR873" s="61"/>
      <c r="BS873" s="61"/>
      <c r="BT873" s="61"/>
      <c r="BU873" s="61"/>
      <c r="BV873" s="61"/>
      <c r="BW873" s="61"/>
      <c r="BX873" s="61"/>
      <c r="BY873" s="61"/>
      <c r="BZ873" s="61"/>
      <c r="CA873" s="61"/>
      <c r="CB873" s="61"/>
      <c r="CC873" s="61">
        <v>0</v>
      </c>
      <c r="CD873" s="61"/>
      <c r="CE873" s="61"/>
      <c r="CF873" s="61"/>
      <c r="CG873" s="61">
        <f t="shared" si="123"/>
        <v>134849144</v>
      </c>
      <c r="CH873" s="62"/>
      <c r="CI873" s="62">
        <f t="shared" si="124"/>
        <v>134849144</v>
      </c>
      <c r="CJ873" s="63">
        <f t="shared" si="125"/>
        <v>134849144</v>
      </c>
      <c r="CK873" s="64">
        <f t="shared" si="126"/>
        <v>0</v>
      </c>
      <c r="CL873" s="16"/>
      <c r="CM873" s="16"/>
      <c r="CN873" s="16"/>
    </row>
    <row r="874" spans="1:96" ht="15" customHeight="1" x14ac:dyDescent="0.2">
      <c r="A874" s="1">
        <v>8921151790</v>
      </c>
      <c r="B874" s="1">
        <v>892115179</v>
      </c>
      <c r="C874" s="9">
        <v>215044650</v>
      </c>
      <c r="D874" s="10" t="s">
        <v>2123</v>
      </c>
      <c r="E874" s="45" t="s">
        <v>1656</v>
      </c>
      <c r="F874" s="21"/>
      <c r="G874" s="59"/>
      <c r="H874" s="21"/>
      <c r="I874" s="59"/>
      <c r="J874" s="21"/>
      <c r="K874" s="21"/>
      <c r="L874" s="59"/>
      <c r="M874" s="60"/>
      <c r="N874" s="21"/>
      <c r="O874" s="59"/>
      <c r="P874" s="21"/>
      <c r="Q874" s="59"/>
      <c r="R874" s="21"/>
      <c r="S874" s="21"/>
      <c r="T874" s="59"/>
      <c r="U874" s="60">
        <f t="shared" si="121"/>
        <v>0</v>
      </c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>
        <v>189783892</v>
      </c>
      <c r="AN874" s="60">
        <f t="shared" si="128"/>
        <v>189783892</v>
      </c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>
        <v>374478495</v>
      </c>
      <c r="AZ874" s="60"/>
      <c r="BA874" s="60">
        <f>VLOOKUP(B874,[2]Hoja3!J$3:K$674,2,0)</f>
        <v>443002223</v>
      </c>
      <c r="BB874" s="60"/>
      <c r="BC874" s="61">
        <f t="shared" si="122"/>
        <v>1007264610</v>
      </c>
      <c r="BD874" s="60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>
        <v>74895699</v>
      </c>
      <c r="BO874" s="60"/>
      <c r="BP874" s="61">
        <v>1082160309</v>
      </c>
      <c r="BQ874" s="61"/>
      <c r="BR874" s="61"/>
      <c r="BS874" s="61"/>
      <c r="BT874" s="61"/>
      <c r="BU874" s="61"/>
      <c r="BV874" s="61"/>
      <c r="BW874" s="61"/>
      <c r="BX874" s="61"/>
      <c r="BY874" s="61"/>
      <c r="BZ874" s="61"/>
      <c r="CA874" s="61"/>
      <c r="CB874" s="61"/>
      <c r="CC874" s="61">
        <v>74895699</v>
      </c>
      <c r="CD874" s="61"/>
      <c r="CE874" s="61">
        <v>89241957</v>
      </c>
      <c r="CF874" s="61"/>
      <c r="CG874" s="61">
        <f t="shared" si="123"/>
        <v>1246297965</v>
      </c>
      <c r="CH874" s="62">
        <f>VLOOKUP(B874,[1]RPTNCT049_ConsultaSaldosContabl!I$4:K$7987,3,0)</f>
        <v>524269893</v>
      </c>
      <c r="CI874" s="62">
        <f t="shared" si="124"/>
        <v>722028072</v>
      </c>
      <c r="CJ874" s="63">
        <f t="shared" si="125"/>
        <v>1246297965</v>
      </c>
      <c r="CK874" s="64">
        <f t="shared" si="126"/>
        <v>0</v>
      </c>
      <c r="CL874" s="16"/>
      <c r="CM874" s="16"/>
      <c r="CN874" s="16"/>
    </row>
    <row r="875" spans="1:96" ht="15" customHeight="1" x14ac:dyDescent="0.2">
      <c r="A875" s="1">
        <v>8000136767</v>
      </c>
      <c r="B875" s="1">
        <v>800013676</v>
      </c>
      <c r="C875" s="9">
        <v>215905659</v>
      </c>
      <c r="D875" s="10" t="s">
        <v>2127</v>
      </c>
      <c r="E875" s="45" t="s">
        <v>1160</v>
      </c>
      <c r="F875" s="21"/>
      <c r="G875" s="59"/>
      <c r="H875" s="21"/>
      <c r="I875" s="59"/>
      <c r="J875" s="21"/>
      <c r="K875" s="21"/>
      <c r="L875" s="59"/>
      <c r="M875" s="60"/>
      <c r="N875" s="21"/>
      <c r="O875" s="59"/>
      <c r="P875" s="21"/>
      <c r="Q875" s="59"/>
      <c r="R875" s="21"/>
      <c r="S875" s="21"/>
      <c r="T875" s="59"/>
      <c r="U875" s="60">
        <f t="shared" si="121"/>
        <v>0</v>
      </c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>
        <f>VLOOKUP(B875,[2]Hoja3!J$3:K$674,2,0)</f>
        <v>518308558</v>
      </c>
      <c r="BB875" s="60"/>
      <c r="BC875" s="61">
        <f t="shared" si="122"/>
        <v>518308558</v>
      </c>
      <c r="BD875" s="60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>
        <v>0</v>
      </c>
      <c r="BO875" s="60"/>
      <c r="BP875" s="61">
        <v>518308558</v>
      </c>
      <c r="BQ875" s="61"/>
      <c r="BR875" s="61"/>
      <c r="BS875" s="61"/>
      <c r="BT875" s="61"/>
      <c r="BU875" s="61"/>
      <c r="BV875" s="61"/>
      <c r="BW875" s="61"/>
      <c r="BX875" s="61"/>
      <c r="BY875" s="61"/>
      <c r="BZ875" s="61"/>
      <c r="CA875" s="61"/>
      <c r="CB875" s="61"/>
      <c r="CC875" s="61">
        <v>0</v>
      </c>
      <c r="CD875" s="61"/>
      <c r="CE875" s="61"/>
      <c r="CF875" s="61"/>
      <c r="CG875" s="61">
        <f t="shared" si="123"/>
        <v>518308558</v>
      </c>
      <c r="CH875" s="62"/>
      <c r="CI875" s="62">
        <f t="shared" si="124"/>
        <v>518308558</v>
      </c>
      <c r="CJ875" s="63">
        <f t="shared" si="125"/>
        <v>518308558</v>
      </c>
      <c r="CK875" s="64">
        <f t="shared" si="126"/>
        <v>0</v>
      </c>
      <c r="CL875" s="16"/>
      <c r="CM875" s="16"/>
      <c r="CN875" s="16"/>
    </row>
    <row r="876" spans="1:96" ht="15" customHeight="1" x14ac:dyDescent="0.2">
      <c r="A876" s="1">
        <v>8920992467</v>
      </c>
      <c r="B876" s="1">
        <v>892099246</v>
      </c>
      <c r="C876" s="9">
        <v>218650686</v>
      </c>
      <c r="D876" s="10" t="s">
        <v>689</v>
      </c>
      <c r="E876" s="45" t="s">
        <v>1711</v>
      </c>
      <c r="F876" s="21"/>
      <c r="G876" s="59"/>
      <c r="H876" s="21"/>
      <c r="I876" s="59"/>
      <c r="J876" s="21"/>
      <c r="K876" s="21"/>
      <c r="L876" s="59"/>
      <c r="M876" s="60"/>
      <c r="N876" s="21"/>
      <c r="O876" s="59"/>
      <c r="P876" s="21"/>
      <c r="Q876" s="59"/>
      <c r="R876" s="21"/>
      <c r="S876" s="21"/>
      <c r="T876" s="59"/>
      <c r="U876" s="60">
        <f t="shared" si="121"/>
        <v>0</v>
      </c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>
        <v>29313108</v>
      </c>
      <c r="AN876" s="60">
        <f>SUBTOTAL(9,AC876:AM876)</f>
        <v>29313108</v>
      </c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>
        <v>10699785</v>
      </c>
      <c r="AZ876" s="60"/>
      <c r="BA876" s="60"/>
      <c r="BB876" s="60"/>
      <c r="BC876" s="61">
        <f t="shared" si="122"/>
        <v>40012893</v>
      </c>
      <c r="BD876" s="60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>
        <v>2139957</v>
      </c>
      <c r="BO876" s="60"/>
      <c r="BP876" s="61">
        <v>42152850</v>
      </c>
      <c r="BQ876" s="61"/>
      <c r="BR876" s="61"/>
      <c r="BS876" s="61"/>
      <c r="BT876" s="61"/>
      <c r="BU876" s="61"/>
      <c r="BV876" s="61"/>
      <c r="BW876" s="61"/>
      <c r="BX876" s="61"/>
      <c r="BY876" s="61"/>
      <c r="BZ876" s="61"/>
      <c r="CA876" s="61"/>
      <c r="CB876" s="61"/>
      <c r="CC876" s="61">
        <v>2139957</v>
      </c>
      <c r="CD876" s="61"/>
      <c r="CE876" s="61"/>
      <c r="CF876" s="61"/>
      <c r="CG876" s="61">
        <f t="shared" si="123"/>
        <v>44292807</v>
      </c>
      <c r="CH876" s="62">
        <f>VLOOKUP(B876,[1]RPTNCT049_ConsultaSaldosContabl!I$4:K$7987,3,0)</f>
        <v>14979699</v>
      </c>
      <c r="CI876" s="62">
        <f t="shared" si="124"/>
        <v>29313108</v>
      </c>
      <c r="CJ876" s="63">
        <f t="shared" si="125"/>
        <v>44292807</v>
      </c>
      <c r="CK876" s="64">
        <f t="shared" si="126"/>
        <v>0</v>
      </c>
      <c r="CL876" s="16"/>
      <c r="CM876" s="16"/>
      <c r="CN876" s="16"/>
    </row>
    <row r="877" spans="1:96" ht="15" customHeight="1" x14ac:dyDescent="0.2">
      <c r="A877" s="1">
        <v>8000991425</v>
      </c>
      <c r="B877" s="1">
        <v>800099142</v>
      </c>
      <c r="C877" s="9">
        <v>218752687</v>
      </c>
      <c r="D877" s="10" t="s">
        <v>741</v>
      </c>
      <c r="E877" s="45" t="s">
        <v>1762</v>
      </c>
      <c r="F877" s="21"/>
      <c r="G877" s="59"/>
      <c r="H877" s="21"/>
      <c r="I877" s="59"/>
      <c r="J877" s="21"/>
      <c r="K877" s="21"/>
      <c r="L877" s="59"/>
      <c r="M877" s="60"/>
      <c r="N877" s="21"/>
      <c r="O877" s="59"/>
      <c r="P877" s="21"/>
      <c r="Q877" s="59"/>
      <c r="R877" s="21"/>
      <c r="S877" s="21"/>
      <c r="T877" s="59"/>
      <c r="U877" s="60">
        <f t="shared" si="121"/>
        <v>0</v>
      </c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>
        <v>31698235</v>
      </c>
      <c r="AN877" s="60">
        <f>SUBTOTAL(9,AC877:AM877)</f>
        <v>31698235</v>
      </c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>
        <f>VLOOKUP(B877,[2]Hoja3!J$3:K$674,2,0)</f>
        <v>200465302</v>
      </c>
      <c r="BB877" s="60"/>
      <c r="BC877" s="61">
        <f t="shared" si="122"/>
        <v>232163537</v>
      </c>
      <c r="BD877" s="60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>
        <v>0</v>
      </c>
      <c r="BO877" s="60"/>
      <c r="BP877" s="61">
        <v>232163537</v>
      </c>
      <c r="BQ877" s="61"/>
      <c r="BR877" s="61"/>
      <c r="BS877" s="61"/>
      <c r="BT877" s="61"/>
      <c r="BU877" s="61"/>
      <c r="BV877" s="61"/>
      <c r="BW877" s="61"/>
      <c r="BX877" s="61"/>
      <c r="BY877" s="61"/>
      <c r="BZ877" s="61"/>
      <c r="CA877" s="61"/>
      <c r="CB877" s="61"/>
      <c r="CC877" s="61">
        <v>204067815</v>
      </c>
      <c r="CD877" s="61"/>
      <c r="CE877" s="61"/>
      <c r="CF877" s="61"/>
      <c r="CG877" s="61">
        <f t="shared" si="123"/>
        <v>436231352</v>
      </c>
      <c r="CH877" s="62">
        <f>VLOOKUP(B877,[1]RPTNCT049_ConsultaSaldosContabl!I$4:K$7987,3,0)</f>
        <v>204067815</v>
      </c>
      <c r="CI877" s="62">
        <f t="shared" si="124"/>
        <v>232163537</v>
      </c>
      <c r="CJ877" s="63">
        <f t="shared" si="125"/>
        <v>436231352</v>
      </c>
      <c r="CK877" s="64">
        <f t="shared" si="126"/>
        <v>0</v>
      </c>
      <c r="CL877" s="16"/>
      <c r="CM877" s="16"/>
      <c r="CN877" s="16"/>
    </row>
    <row r="878" spans="1:96" ht="15" customHeight="1" x14ac:dyDescent="0.2">
      <c r="A878" s="1">
        <v>8918021519</v>
      </c>
      <c r="B878" s="1">
        <v>891802151</v>
      </c>
      <c r="C878" s="9">
        <v>216715667</v>
      </c>
      <c r="D878" s="10" t="s">
        <v>298</v>
      </c>
      <c r="E878" s="45" t="s">
        <v>1329</v>
      </c>
      <c r="F878" s="21"/>
      <c r="G878" s="59"/>
      <c r="H878" s="21"/>
      <c r="I878" s="59"/>
      <c r="J878" s="21"/>
      <c r="K878" s="21"/>
      <c r="L878" s="59"/>
      <c r="M878" s="60"/>
      <c r="N878" s="21"/>
      <c r="O878" s="59"/>
      <c r="P878" s="21"/>
      <c r="Q878" s="59"/>
      <c r="R878" s="21"/>
      <c r="S878" s="21"/>
      <c r="T878" s="59"/>
      <c r="U878" s="60">
        <f t="shared" si="121"/>
        <v>0</v>
      </c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>
        <v>39127040</v>
      </c>
      <c r="AZ878" s="60"/>
      <c r="BA878" s="60">
        <f>VLOOKUP(B878,[2]Hoja3!J$3:K$674,2,0)</f>
        <v>82751417</v>
      </c>
      <c r="BB878" s="60"/>
      <c r="BC878" s="61">
        <f t="shared" si="122"/>
        <v>121878457</v>
      </c>
      <c r="BD878" s="60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>
        <v>7825408</v>
      </c>
      <c r="BO878" s="60"/>
      <c r="BP878" s="61">
        <v>129703865</v>
      </c>
      <c r="BQ878" s="61"/>
      <c r="BR878" s="61"/>
      <c r="BS878" s="61"/>
      <c r="BT878" s="61"/>
      <c r="BU878" s="61"/>
      <c r="BV878" s="61"/>
      <c r="BW878" s="61"/>
      <c r="BX878" s="61"/>
      <c r="BY878" s="61"/>
      <c r="BZ878" s="61"/>
      <c r="CA878" s="61"/>
      <c r="CB878" s="61"/>
      <c r="CC878" s="61">
        <v>7825408</v>
      </c>
      <c r="CD878" s="61"/>
      <c r="CE878" s="61"/>
      <c r="CF878" s="61"/>
      <c r="CG878" s="61">
        <f t="shared" si="123"/>
        <v>137529273</v>
      </c>
      <c r="CH878" s="62">
        <f>VLOOKUP(B878,[1]RPTNCT049_ConsultaSaldosContabl!I$4:K$7987,3,0)</f>
        <v>54777856</v>
      </c>
      <c r="CI878" s="62">
        <f t="shared" si="124"/>
        <v>82751417</v>
      </c>
      <c r="CJ878" s="63">
        <f t="shared" si="125"/>
        <v>137529273</v>
      </c>
      <c r="CK878" s="64">
        <f t="shared" si="126"/>
        <v>0</v>
      </c>
      <c r="CL878" s="16"/>
      <c r="CM878" s="8"/>
      <c r="CN878" s="8"/>
      <c r="CO878" s="8"/>
      <c r="CP878" s="8"/>
      <c r="CQ878" s="8"/>
      <c r="CR878" s="8"/>
    </row>
    <row r="879" spans="1:96" ht="15" customHeight="1" x14ac:dyDescent="0.2">
      <c r="A879" s="1">
        <v>8001037201</v>
      </c>
      <c r="B879" s="1">
        <v>800103720</v>
      </c>
      <c r="C879" s="9">
        <v>212585325</v>
      </c>
      <c r="D879" s="10" t="s">
        <v>969</v>
      </c>
      <c r="E879" s="45" t="s">
        <v>2028</v>
      </c>
      <c r="F879" s="21"/>
      <c r="G879" s="59"/>
      <c r="H879" s="21"/>
      <c r="I879" s="59"/>
      <c r="J879" s="21"/>
      <c r="K879" s="21"/>
      <c r="L879" s="59"/>
      <c r="M879" s="60"/>
      <c r="N879" s="21"/>
      <c r="O879" s="59"/>
      <c r="P879" s="21"/>
      <c r="Q879" s="59"/>
      <c r="R879" s="21"/>
      <c r="S879" s="21"/>
      <c r="T879" s="59"/>
      <c r="U879" s="60">
        <f t="shared" si="121"/>
        <v>0</v>
      </c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>
        <v>115180134</v>
      </c>
      <c r="AN879" s="60">
        <f t="shared" ref="AN879:AN884" si="129">SUBTOTAL(9,AC879:AM879)</f>
        <v>115180134</v>
      </c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1">
        <f t="shared" si="122"/>
        <v>115180134</v>
      </c>
      <c r="BD879" s="60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>
        <v>0</v>
      </c>
      <c r="BO879" s="60"/>
      <c r="BP879" s="61">
        <v>115180134</v>
      </c>
      <c r="BQ879" s="61"/>
      <c r="BR879" s="61"/>
      <c r="BS879" s="61"/>
      <c r="BT879" s="61"/>
      <c r="BU879" s="61"/>
      <c r="BV879" s="61"/>
      <c r="BW879" s="61"/>
      <c r="BX879" s="61"/>
      <c r="BY879" s="61"/>
      <c r="BZ879" s="61"/>
      <c r="CA879" s="61"/>
      <c r="CB879" s="61"/>
      <c r="CC879" s="61">
        <v>91146797</v>
      </c>
      <c r="CD879" s="61"/>
      <c r="CE879" s="61"/>
      <c r="CF879" s="61"/>
      <c r="CG879" s="61">
        <f t="shared" si="123"/>
        <v>206326931</v>
      </c>
      <c r="CH879" s="62">
        <f>VLOOKUP(B879,[1]RPTNCT049_ConsultaSaldosContabl!I$4:K$7987,3,0)</f>
        <v>91146797</v>
      </c>
      <c r="CI879" s="62">
        <f t="shared" si="124"/>
        <v>115180134</v>
      </c>
      <c r="CJ879" s="63">
        <f t="shared" si="125"/>
        <v>206326931</v>
      </c>
      <c r="CK879" s="64">
        <f t="shared" si="126"/>
        <v>0</v>
      </c>
      <c r="CL879" s="16"/>
      <c r="CM879" s="16"/>
      <c r="CN879" s="16"/>
    </row>
    <row r="880" spans="1:96" ht="15" customHeight="1" x14ac:dyDescent="0.2">
      <c r="A880" s="1">
        <v>8909843765</v>
      </c>
      <c r="B880" s="1">
        <v>890984376</v>
      </c>
      <c r="C880" s="9">
        <v>216005660</v>
      </c>
      <c r="D880" s="10" t="s">
        <v>131</v>
      </c>
      <c r="E880" s="45" t="s">
        <v>1161</v>
      </c>
      <c r="F880" s="21"/>
      <c r="G880" s="59"/>
      <c r="H880" s="21"/>
      <c r="I880" s="59"/>
      <c r="J880" s="21"/>
      <c r="K880" s="21"/>
      <c r="L880" s="59"/>
      <c r="M880" s="60"/>
      <c r="N880" s="21"/>
      <c r="O880" s="59"/>
      <c r="P880" s="21"/>
      <c r="Q880" s="59"/>
      <c r="R880" s="21"/>
      <c r="S880" s="21"/>
      <c r="T880" s="59"/>
      <c r="U880" s="60">
        <f t="shared" si="121"/>
        <v>0</v>
      </c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>
        <v>120275193</v>
      </c>
      <c r="AN880" s="60">
        <f t="shared" si="129"/>
        <v>120275193</v>
      </c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>
        <f>VLOOKUP(B880,[2]Hoja3!J$3:K$674,2,0)</f>
        <v>88232376</v>
      </c>
      <c r="BB880" s="60"/>
      <c r="BC880" s="61">
        <f t="shared" si="122"/>
        <v>208507569</v>
      </c>
      <c r="BD880" s="60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>
        <v>0</v>
      </c>
      <c r="BO880" s="60"/>
      <c r="BP880" s="61">
        <v>208507569</v>
      </c>
      <c r="BQ880" s="61"/>
      <c r="BR880" s="61"/>
      <c r="BS880" s="61"/>
      <c r="BT880" s="61"/>
      <c r="BU880" s="61"/>
      <c r="BV880" s="61"/>
      <c r="BW880" s="61"/>
      <c r="BX880" s="61"/>
      <c r="BY880" s="61"/>
      <c r="BZ880" s="61"/>
      <c r="CA880" s="61"/>
      <c r="CB880" s="61"/>
      <c r="CC880" s="61">
        <v>0</v>
      </c>
      <c r="CD880" s="61"/>
      <c r="CE880" s="61"/>
      <c r="CF880" s="61"/>
      <c r="CG880" s="61">
        <f t="shared" si="123"/>
        <v>208507569</v>
      </c>
      <c r="CH880" s="62"/>
      <c r="CI880" s="62">
        <f t="shared" si="124"/>
        <v>208507569</v>
      </c>
      <c r="CJ880" s="63">
        <f t="shared" si="125"/>
        <v>208507569</v>
      </c>
      <c r="CK880" s="64">
        <f t="shared" si="126"/>
        <v>0</v>
      </c>
      <c r="CL880" s="16"/>
      <c r="CM880" s="16"/>
      <c r="CN880" s="16"/>
    </row>
    <row r="881" spans="1:96" ht="15" customHeight="1" x14ac:dyDescent="0.2">
      <c r="A881" s="1">
        <v>8907008428</v>
      </c>
      <c r="B881" s="1">
        <v>890700842</v>
      </c>
      <c r="C881" s="9">
        <v>217873678</v>
      </c>
      <c r="D881" s="10" t="s">
        <v>2238</v>
      </c>
      <c r="E881" s="45" t="s">
        <v>1966</v>
      </c>
      <c r="F881" s="21"/>
      <c r="G881" s="59"/>
      <c r="H881" s="21"/>
      <c r="I881" s="59"/>
      <c r="J881" s="21"/>
      <c r="K881" s="21"/>
      <c r="L881" s="59"/>
      <c r="M881" s="60"/>
      <c r="N881" s="21"/>
      <c r="O881" s="59"/>
      <c r="P881" s="21"/>
      <c r="Q881" s="59"/>
      <c r="R881" s="21"/>
      <c r="S881" s="21"/>
      <c r="T881" s="59"/>
      <c r="U881" s="60">
        <f t="shared" si="121"/>
        <v>0</v>
      </c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>
        <v>68151645</v>
      </c>
      <c r="AN881" s="60">
        <f t="shared" si="129"/>
        <v>68151645</v>
      </c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>
        <v>102599290</v>
      </c>
      <c r="AZ881" s="60"/>
      <c r="BA881" s="60">
        <f>VLOOKUP(B881,[2]Hoja3!J$3:K$674,2,0)</f>
        <v>157713075</v>
      </c>
      <c r="BB881" s="60"/>
      <c r="BC881" s="61">
        <f t="shared" si="122"/>
        <v>328464010</v>
      </c>
      <c r="BD881" s="60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>
        <v>20519858</v>
      </c>
      <c r="BO881" s="60"/>
      <c r="BP881" s="61">
        <v>348983868</v>
      </c>
      <c r="BQ881" s="61"/>
      <c r="BR881" s="61"/>
      <c r="BS881" s="61"/>
      <c r="BT881" s="61"/>
      <c r="BU881" s="61"/>
      <c r="BV881" s="61"/>
      <c r="BW881" s="61"/>
      <c r="BX881" s="61"/>
      <c r="BY881" s="61"/>
      <c r="BZ881" s="61"/>
      <c r="CA881" s="61"/>
      <c r="CB881" s="61"/>
      <c r="CC881" s="61">
        <v>20519858</v>
      </c>
      <c r="CD881" s="61"/>
      <c r="CE881" s="61"/>
      <c r="CF881" s="61"/>
      <c r="CG881" s="61">
        <f t="shared" si="123"/>
        <v>369503726</v>
      </c>
      <c r="CH881" s="62">
        <f>VLOOKUP(B881,[1]RPTNCT049_ConsultaSaldosContabl!I$4:K$7987,3,0)</f>
        <v>143639006</v>
      </c>
      <c r="CI881" s="62">
        <f t="shared" si="124"/>
        <v>225864720</v>
      </c>
      <c r="CJ881" s="63">
        <f t="shared" si="125"/>
        <v>369503726</v>
      </c>
      <c r="CK881" s="64">
        <f t="shared" si="126"/>
        <v>0</v>
      </c>
      <c r="CL881" s="16"/>
      <c r="CM881" s="8"/>
      <c r="CN881" s="8"/>
      <c r="CO881" s="8"/>
      <c r="CP881" s="8"/>
      <c r="CQ881" s="8"/>
      <c r="CR881" s="8"/>
    </row>
    <row r="882" spans="1:96" ht="15" customHeight="1" x14ac:dyDescent="0.2">
      <c r="A882" s="1">
        <v>8922005916</v>
      </c>
      <c r="B882" s="1">
        <v>892200591</v>
      </c>
      <c r="C882" s="9">
        <v>210870708</v>
      </c>
      <c r="D882" s="10" t="s">
        <v>907</v>
      </c>
      <c r="E882" s="45" t="s">
        <v>1921</v>
      </c>
      <c r="F882" s="21"/>
      <c r="G882" s="59"/>
      <c r="H882" s="21"/>
      <c r="I882" s="59"/>
      <c r="J882" s="21"/>
      <c r="K882" s="21"/>
      <c r="L882" s="59"/>
      <c r="M882" s="60"/>
      <c r="N882" s="21"/>
      <c r="O882" s="59"/>
      <c r="P882" s="21"/>
      <c r="Q882" s="59"/>
      <c r="R882" s="21"/>
      <c r="S882" s="21"/>
      <c r="T882" s="59"/>
      <c r="U882" s="60">
        <f t="shared" si="121"/>
        <v>0</v>
      </c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>
        <v>52831576</v>
      </c>
      <c r="AN882" s="60">
        <f t="shared" si="129"/>
        <v>52831576</v>
      </c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>
        <v>579229200</v>
      </c>
      <c r="AZ882" s="60"/>
      <c r="BA882" s="60">
        <f>VLOOKUP(B882,[2]Hoja3!J$3:K$674,2,0)</f>
        <v>964005739</v>
      </c>
      <c r="BB882" s="60"/>
      <c r="BC882" s="61">
        <f t="shared" si="122"/>
        <v>1596066515</v>
      </c>
      <c r="BD882" s="60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>
        <v>115845840</v>
      </c>
      <c r="BO882" s="60"/>
      <c r="BP882" s="61">
        <v>1711912355</v>
      </c>
      <c r="BQ882" s="61"/>
      <c r="BR882" s="61"/>
      <c r="BS882" s="61"/>
      <c r="BT882" s="61"/>
      <c r="BU882" s="61"/>
      <c r="BV882" s="61"/>
      <c r="BW882" s="61"/>
      <c r="BX882" s="61"/>
      <c r="BY882" s="61"/>
      <c r="BZ882" s="61"/>
      <c r="CA882" s="61"/>
      <c r="CB882" s="61"/>
      <c r="CC882" s="61">
        <v>115845840</v>
      </c>
      <c r="CD882" s="61"/>
      <c r="CE882" s="61"/>
      <c r="CF882" s="61"/>
      <c r="CG882" s="61">
        <f t="shared" si="123"/>
        <v>1827758195</v>
      </c>
      <c r="CH882" s="62">
        <f>VLOOKUP(B882,[1]RPTNCT049_ConsultaSaldosContabl!I$4:K$7987,3,0)</f>
        <v>810920880</v>
      </c>
      <c r="CI882" s="62">
        <f t="shared" si="124"/>
        <v>1016837315</v>
      </c>
      <c r="CJ882" s="63">
        <f t="shared" si="125"/>
        <v>1827758195</v>
      </c>
      <c r="CK882" s="64">
        <f t="shared" si="126"/>
        <v>0</v>
      </c>
      <c r="CL882" s="16"/>
      <c r="CM882" s="16"/>
      <c r="CN882" s="16"/>
    </row>
    <row r="883" spans="1:96" ht="15" customHeight="1" x14ac:dyDescent="0.2">
      <c r="A883" s="1">
        <v>8923010933</v>
      </c>
      <c r="B883" s="1">
        <v>892301093</v>
      </c>
      <c r="C883" s="9">
        <v>217020770</v>
      </c>
      <c r="D883" s="10" t="s">
        <v>435</v>
      </c>
      <c r="E883" s="45" t="s">
        <v>1462</v>
      </c>
      <c r="F883" s="21"/>
      <c r="G883" s="59"/>
      <c r="H883" s="21"/>
      <c r="I883" s="59"/>
      <c r="J883" s="21"/>
      <c r="K883" s="21"/>
      <c r="L883" s="59"/>
      <c r="M883" s="60"/>
      <c r="N883" s="21"/>
      <c r="O883" s="59"/>
      <c r="P883" s="21"/>
      <c r="Q883" s="59"/>
      <c r="R883" s="21"/>
      <c r="S883" s="21"/>
      <c r="T883" s="59"/>
      <c r="U883" s="60">
        <f t="shared" si="121"/>
        <v>0</v>
      </c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>
        <v>31628964</v>
      </c>
      <c r="AN883" s="60">
        <f t="shared" si="129"/>
        <v>31628964</v>
      </c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>
        <v>176103235</v>
      </c>
      <c r="AZ883" s="60"/>
      <c r="BA883" s="60">
        <f>VLOOKUP(B883,[2]Hoja3!J$3:K$674,2,0)</f>
        <v>353846449</v>
      </c>
      <c r="BB883" s="60"/>
      <c r="BC883" s="61">
        <f t="shared" si="122"/>
        <v>561578648</v>
      </c>
      <c r="BD883" s="60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>
        <v>35220647</v>
      </c>
      <c r="BO883" s="60"/>
      <c r="BP883" s="61">
        <v>596799295</v>
      </c>
      <c r="BQ883" s="61"/>
      <c r="BR883" s="61"/>
      <c r="BS883" s="61"/>
      <c r="BT883" s="61"/>
      <c r="BU883" s="61"/>
      <c r="BV883" s="61"/>
      <c r="BW883" s="61"/>
      <c r="BX883" s="61"/>
      <c r="BY883" s="61"/>
      <c r="BZ883" s="61"/>
      <c r="CA883" s="61"/>
      <c r="CB883" s="61"/>
      <c r="CC883" s="61">
        <v>35220647</v>
      </c>
      <c r="CD883" s="61"/>
      <c r="CE883" s="61"/>
      <c r="CF883" s="61"/>
      <c r="CG883" s="61">
        <f t="shared" si="123"/>
        <v>632019942</v>
      </c>
      <c r="CH883" s="62">
        <f>VLOOKUP(B883,[1]RPTNCT049_ConsultaSaldosContabl!I$4:K$7987,3,0)</f>
        <v>246544529</v>
      </c>
      <c r="CI883" s="62">
        <f t="shared" si="124"/>
        <v>385475413</v>
      </c>
      <c r="CJ883" s="63">
        <f t="shared" si="125"/>
        <v>632019942</v>
      </c>
      <c r="CK883" s="64">
        <f t="shared" si="126"/>
        <v>0</v>
      </c>
      <c r="CL883" s="16"/>
      <c r="CM883" s="16"/>
      <c r="CN883" s="16"/>
    </row>
    <row r="884" spans="1:96" ht="15" customHeight="1" x14ac:dyDescent="0.2">
      <c r="A884" s="1">
        <v>8920995486</v>
      </c>
      <c r="B884" s="1">
        <v>892099548</v>
      </c>
      <c r="C884" s="9">
        <v>218950689</v>
      </c>
      <c r="D884" s="10" t="s">
        <v>690</v>
      </c>
      <c r="E884" s="45" t="s">
        <v>1712</v>
      </c>
      <c r="F884" s="21"/>
      <c r="G884" s="59"/>
      <c r="H884" s="21"/>
      <c r="I884" s="59"/>
      <c r="J884" s="21"/>
      <c r="K884" s="21"/>
      <c r="L884" s="59"/>
      <c r="M884" s="60"/>
      <c r="N884" s="21"/>
      <c r="O884" s="59"/>
      <c r="P884" s="21"/>
      <c r="Q884" s="59"/>
      <c r="R884" s="21"/>
      <c r="S884" s="21"/>
      <c r="T884" s="59"/>
      <c r="U884" s="60">
        <f t="shared" si="121"/>
        <v>0</v>
      </c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>
        <v>380805611</v>
      </c>
      <c r="AN884" s="60">
        <f t="shared" si="129"/>
        <v>380805611</v>
      </c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>
        <v>140983620</v>
      </c>
      <c r="AZ884" s="60"/>
      <c r="BA884" s="60"/>
      <c r="BB884" s="60"/>
      <c r="BC884" s="61">
        <f t="shared" si="122"/>
        <v>521789231</v>
      </c>
      <c r="BD884" s="60"/>
      <c r="BE884" s="60"/>
      <c r="BF884" s="60"/>
      <c r="BG884" s="60"/>
      <c r="BH884" s="60"/>
      <c r="BI884" s="60"/>
      <c r="BJ884" s="60"/>
      <c r="BK884" s="60"/>
      <c r="BL884" s="60"/>
      <c r="BM884" s="60"/>
      <c r="BN884" s="60">
        <v>28196724</v>
      </c>
      <c r="BO884" s="60"/>
      <c r="BP884" s="61">
        <v>549985955</v>
      </c>
      <c r="BQ884" s="61"/>
      <c r="BR884" s="61"/>
      <c r="BS884" s="61"/>
      <c r="BT884" s="61"/>
      <c r="BU884" s="61"/>
      <c r="BV884" s="61"/>
      <c r="BW884" s="61"/>
      <c r="BX884" s="61"/>
      <c r="BY884" s="61"/>
      <c r="BZ884" s="61"/>
      <c r="CA884" s="61"/>
      <c r="CB884" s="61"/>
      <c r="CC884" s="61">
        <v>28196724</v>
      </c>
      <c r="CD884" s="61"/>
      <c r="CE884" s="61"/>
      <c r="CF884" s="61"/>
      <c r="CG884" s="61">
        <f t="shared" si="123"/>
        <v>578182679</v>
      </c>
      <c r="CH884" s="62">
        <f>VLOOKUP(B884,[1]RPTNCT049_ConsultaSaldosContabl!I$4:K$7987,3,0)</f>
        <v>197377068</v>
      </c>
      <c r="CI884" s="62">
        <f t="shared" si="124"/>
        <v>380805611</v>
      </c>
      <c r="CJ884" s="63">
        <f t="shared" si="125"/>
        <v>578182679</v>
      </c>
      <c r="CK884" s="64">
        <f t="shared" si="126"/>
        <v>0</v>
      </c>
      <c r="CL884" s="16"/>
      <c r="CM884" s="16"/>
      <c r="CN884" s="16"/>
    </row>
    <row r="885" spans="1:96" ht="15" customHeight="1" x14ac:dyDescent="0.2">
      <c r="A885" s="1">
        <v>8918578211</v>
      </c>
      <c r="B885" s="1">
        <v>891857821</v>
      </c>
      <c r="C885" s="9">
        <v>217315673</v>
      </c>
      <c r="D885" s="10" t="s">
        <v>299</v>
      </c>
      <c r="E885" s="45" t="s">
        <v>1330</v>
      </c>
      <c r="F885" s="21"/>
      <c r="G885" s="59"/>
      <c r="H885" s="21"/>
      <c r="I885" s="59"/>
      <c r="J885" s="21"/>
      <c r="K885" s="21"/>
      <c r="L885" s="59"/>
      <c r="M885" s="60"/>
      <c r="N885" s="21"/>
      <c r="O885" s="59"/>
      <c r="P885" s="21"/>
      <c r="Q885" s="59"/>
      <c r="R885" s="21"/>
      <c r="S885" s="21"/>
      <c r="T885" s="59"/>
      <c r="U885" s="60">
        <f t="shared" si="121"/>
        <v>0</v>
      </c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>
        <v>34927660</v>
      </c>
      <c r="AZ885" s="60"/>
      <c r="BA885" s="60">
        <f>VLOOKUP(B885,[2]Hoja3!J$3:K$674,2,0)</f>
        <v>50364666</v>
      </c>
      <c r="BB885" s="60"/>
      <c r="BC885" s="61">
        <f t="shared" si="122"/>
        <v>85292326</v>
      </c>
      <c r="BD885" s="60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>
        <v>6985532</v>
      </c>
      <c r="BO885" s="60"/>
      <c r="BP885" s="61">
        <v>92277858</v>
      </c>
      <c r="BQ885" s="61"/>
      <c r="BR885" s="61"/>
      <c r="BS885" s="61"/>
      <c r="BT885" s="61"/>
      <c r="BU885" s="61"/>
      <c r="BV885" s="61"/>
      <c r="BW885" s="61"/>
      <c r="BX885" s="61"/>
      <c r="BY885" s="61"/>
      <c r="BZ885" s="61"/>
      <c r="CA885" s="61"/>
      <c r="CB885" s="61"/>
      <c r="CC885" s="61">
        <v>6985532</v>
      </c>
      <c r="CD885" s="61"/>
      <c r="CE885" s="61"/>
      <c r="CF885" s="61"/>
      <c r="CG885" s="61">
        <f t="shared" si="123"/>
        <v>99263390</v>
      </c>
      <c r="CH885" s="62">
        <f>VLOOKUP(B885,[1]RPTNCT049_ConsultaSaldosContabl!I$4:K$7987,3,0)</f>
        <v>48898724</v>
      </c>
      <c r="CI885" s="62">
        <f t="shared" si="124"/>
        <v>50364666</v>
      </c>
      <c r="CJ885" s="63">
        <f t="shared" si="125"/>
        <v>99263390</v>
      </c>
      <c r="CK885" s="64">
        <f t="shared" si="126"/>
        <v>0</v>
      </c>
      <c r="CL885" s="16"/>
      <c r="CM885" s="8"/>
      <c r="CN885" s="8"/>
      <c r="CO885" s="8"/>
      <c r="CP885" s="8"/>
      <c r="CQ885" s="8"/>
      <c r="CR885" s="8"/>
    </row>
    <row r="886" spans="1:96" ht="15" customHeight="1" x14ac:dyDescent="0.2">
      <c r="A886" s="1">
        <v>8918012861</v>
      </c>
      <c r="B886" s="1">
        <v>891801286</v>
      </c>
      <c r="C886" s="9">
        <v>217615676</v>
      </c>
      <c r="D886" s="10" t="s">
        <v>300</v>
      </c>
      <c r="E886" s="45" t="s">
        <v>1331</v>
      </c>
      <c r="F886" s="21"/>
      <c r="G886" s="59"/>
      <c r="H886" s="21"/>
      <c r="I886" s="59"/>
      <c r="J886" s="21"/>
      <c r="K886" s="21"/>
      <c r="L886" s="59"/>
      <c r="M886" s="60"/>
      <c r="N886" s="21"/>
      <c r="O886" s="59"/>
      <c r="P886" s="21"/>
      <c r="Q886" s="59"/>
      <c r="R886" s="21"/>
      <c r="S886" s="21"/>
      <c r="T886" s="59"/>
      <c r="U886" s="60">
        <f t="shared" si="121"/>
        <v>0</v>
      </c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>
        <v>31334193</v>
      </c>
      <c r="AN886" s="60">
        <f>SUBTOTAL(9,AC886:AM886)</f>
        <v>31334193</v>
      </c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>
        <v>28203090</v>
      </c>
      <c r="AZ886" s="60"/>
      <c r="BA886" s="60">
        <f>VLOOKUP(B886,[2]Hoja3!J$3:K$674,2,0)</f>
        <v>26159703</v>
      </c>
      <c r="BB886" s="60"/>
      <c r="BC886" s="61">
        <f t="shared" si="122"/>
        <v>85696986</v>
      </c>
      <c r="BD886" s="60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>
        <v>5640618</v>
      </c>
      <c r="BO886" s="60"/>
      <c r="BP886" s="61">
        <v>91337604</v>
      </c>
      <c r="BQ886" s="61"/>
      <c r="BR886" s="61"/>
      <c r="BS886" s="61"/>
      <c r="BT886" s="61"/>
      <c r="BU886" s="61"/>
      <c r="BV886" s="61"/>
      <c r="BW886" s="61"/>
      <c r="BX886" s="61"/>
      <c r="BY886" s="61"/>
      <c r="BZ886" s="61"/>
      <c r="CA886" s="61"/>
      <c r="CB886" s="61"/>
      <c r="CC886" s="61">
        <v>5640618</v>
      </c>
      <c r="CD886" s="61"/>
      <c r="CE886" s="61"/>
      <c r="CF886" s="61"/>
      <c r="CG886" s="61">
        <f t="shared" si="123"/>
        <v>96978222</v>
      </c>
      <c r="CH886" s="62">
        <f>VLOOKUP(B886,[1]RPTNCT049_ConsultaSaldosContabl!I$4:K$7987,3,0)</f>
        <v>39484326</v>
      </c>
      <c r="CI886" s="62">
        <f t="shared" si="124"/>
        <v>57493896</v>
      </c>
      <c r="CJ886" s="63">
        <f t="shared" si="125"/>
        <v>96978222</v>
      </c>
      <c r="CK886" s="64">
        <f t="shared" si="126"/>
        <v>0</v>
      </c>
      <c r="CL886" s="16"/>
      <c r="CM886" s="8"/>
      <c r="CN886" s="8"/>
      <c r="CO886" s="8"/>
      <c r="CP886" s="8"/>
      <c r="CQ886" s="8"/>
      <c r="CR886" s="8"/>
    </row>
    <row r="887" spans="1:96" ht="15" customHeight="1" x14ac:dyDescent="0.2">
      <c r="A887" s="1">
        <v>8002529229</v>
      </c>
      <c r="B887" s="1">
        <v>800252922</v>
      </c>
      <c r="C887" s="9">
        <v>215786757</v>
      </c>
      <c r="D887" s="10" t="s">
        <v>983</v>
      </c>
      <c r="E887" s="45" t="s">
        <v>2040</v>
      </c>
      <c r="F887" s="21"/>
      <c r="G887" s="59"/>
      <c r="H887" s="21"/>
      <c r="I887" s="59"/>
      <c r="J887" s="21"/>
      <c r="K887" s="21"/>
      <c r="L887" s="59"/>
      <c r="M887" s="60"/>
      <c r="N887" s="21"/>
      <c r="O887" s="59"/>
      <c r="P887" s="21"/>
      <c r="Q887" s="59"/>
      <c r="R887" s="21"/>
      <c r="S887" s="21"/>
      <c r="T887" s="59"/>
      <c r="U887" s="60">
        <f t="shared" si="121"/>
        <v>0</v>
      </c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>
        <v>129890809</v>
      </c>
      <c r="AN887" s="60">
        <f>SUBTOTAL(9,AC887:AM887)</f>
        <v>129890809</v>
      </c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>
        <v>156264785</v>
      </c>
      <c r="AZ887" s="60"/>
      <c r="BA887" s="60">
        <f>VLOOKUP(B887,[2]Hoja3!J$3:K$674,2,0)</f>
        <v>165657126</v>
      </c>
      <c r="BB887" s="60"/>
      <c r="BC887" s="61">
        <f t="shared" si="122"/>
        <v>451812720</v>
      </c>
      <c r="BD887" s="60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>
        <v>31252957</v>
      </c>
      <c r="BO887" s="60"/>
      <c r="BP887" s="61">
        <v>483065677</v>
      </c>
      <c r="BQ887" s="61"/>
      <c r="BR887" s="61"/>
      <c r="BS887" s="61"/>
      <c r="BT887" s="61"/>
      <c r="BU887" s="61"/>
      <c r="BV887" s="61"/>
      <c r="BW887" s="61"/>
      <c r="BX887" s="61"/>
      <c r="BY887" s="61"/>
      <c r="BZ887" s="61"/>
      <c r="CA887" s="61"/>
      <c r="CB887" s="61"/>
      <c r="CC887" s="61">
        <v>31252957</v>
      </c>
      <c r="CD887" s="61"/>
      <c r="CE887" s="61"/>
      <c r="CF887" s="61"/>
      <c r="CG887" s="61">
        <f t="shared" si="123"/>
        <v>514318634</v>
      </c>
      <c r="CH887" s="62">
        <f>VLOOKUP(B887,[1]RPTNCT049_ConsultaSaldosContabl!I$4:K$7987,3,0)</f>
        <v>218770699</v>
      </c>
      <c r="CI887" s="62">
        <f t="shared" si="124"/>
        <v>295547935</v>
      </c>
      <c r="CJ887" s="63">
        <f t="shared" si="125"/>
        <v>514318634</v>
      </c>
      <c r="CK887" s="64">
        <f t="shared" si="126"/>
        <v>0</v>
      </c>
      <c r="CL887" s="16"/>
      <c r="CM887" s="8"/>
      <c r="CN887" s="8"/>
      <c r="CO887" s="8"/>
      <c r="CP887" s="8"/>
      <c r="CQ887" s="8"/>
      <c r="CR887" s="8"/>
    </row>
    <row r="888" spans="1:96" ht="15" customHeight="1" x14ac:dyDescent="0.2">
      <c r="A888" s="1">
        <v>8902109502</v>
      </c>
      <c r="B888" s="1">
        <v>890210950</v>
      </c>
      <c r="C888" s="9">
        <v>218668686</v>
      </c>
      <c r="D888" s="10" t="s">
        <v>877</v>
      </c>
      <c r="E888" s="45" t="s">
        <v>1889</v>
      </c>
      <c r="F888" s="21"/>
      <c r="G888" s="59"/>
      <c r="H888" s="21"/>
      <c r="I888" s="59"/>
      <c r="J888" s="21"/>
      <c r="K888" s="21"/>
      <c r="L888" s="59"/>
      <c r="M888" s="60"/>
      <c r="N888" s="21"/>
      <c r="O888" s="59"/>
      <c r="P888" s="21"/>
      <c r="Q888" s="59"/>
      <c r="R888" s="21"/>
      <c r="S888" s="21"/>
      <c r="T888" s="59"/>
      <c r="U888" s="60">
        <f t="shared" si="121"/>
        <v>0</v>
      </c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>
        <v>23253940</v>
      </c>
      <c r="AZ888" s="60"/>
      <c r="BA888" s="60">
        <f>VLOOKUP(B888,[2]Hoja3!J$3:K$674,2,0)</f>
        <v>35229974</v>
      </c>
      <c r="BB888" s="60"/>
      <c r="BC888" s="61">
        <f t="shared" si="122"/>
        <v>58483914</v>
      </c>
      <c r="BD888" s="60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>
        <v>4650788</v>
      </c>
      <c r="BO888" s="60"/>
      <c r="BP888" s="61">
        <v>63134702</v>
      </c>
      <c r="BQ888" s="61"/>
      <c r="BR888" s="61"/>
      <c r="BS888" s="61"/>
      <c r="BT888" s="61"/>
      <c r="BU888" s="61"/>
      <c r="BV888" s="61"/>
      <c r="BW888" s="61"/>
      <c r="BX888" s="61"/>
      <c r="BY888" s="61"/>
      <c r="BZ888" s="61"/>
      <c r="CA888" s="61"/>
      <c r="CB888" s="61"/>
      <c r="CC888" s="61">
        <v>4650788</v>
      </c>
      <c r="CD888" s="61"/>
      <c r="CE888" s="61"/>
      <c r="CF888" s="61"/>
      <c r="CG888" s="61">
        <f t="shared" si="123"/>
        <v>67785490</v>
      </c>
      <c r="CH888" s="62">
        <f>VLOOKUP(B888,[1]RPTNCT049_ConsultaSaldosContabl!I$4:K$7987,3,0)</f>
        <v>32555516</v>
      </c>
      <c r="CI888" s="62">
        <f t="shared" si="124"/>
        <v>35229974</v>
      </c>
      <c r="CJ888" s="63">
        <f t="shared" si="125"/>
        <v>67785490</v>
      </c>
      <c r="CK888" s="64">
        <f t="shared" si="126"/>
        <v>0</v>
      </c>
      <c r="CL888" s="16"/>
      <c r="CM888" s="16"/>
      <c r="CN888" s="16"/>
    </row>
    <row r="889" spans="1:96" ht="15" customHeight="1" x14ac:dyDescent="0.2">
      <c r="A889" s="1">
        <v>8922005923</v>
      </c>
      <c r="B889" s="1">
        <v>892200592</v>
      </c>
      <c r="C889" s="9">
        <v>211370713</v>
      </c>
      <c r="D889" s="10" t="s">
        <v>908</v>
      </c>
      <c r="E889" s="45" t="s">
        <v>1922</v>
      </c>
      <c r="F889" s="21"/>
      <c r="G889" s="59"/>
      <c r="H889" s="21"/>
      <c r="I889" s="59"/>
      <c r="J889" s="21"/>
      <c r="K889" s="21"/>
      <c r="L889" s="59"/>
      <c r="M889" s="60"/>
      <c r="N889" s="21"/>
      <c r="O889" s="59"/>
      <c r="P889" s="21"/>
      <c r="Q889" s="59"/>
      <c r="R889" s="21"/>
      <c r="S889" s="21"/>
      <c r="T889" s="59"/>
      <c r="U889" s="60">
        <f t="shared" si="121"/>
        <v>0</v>
      </c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>
        <f>VLOOKUP(B889,[2]Hoja3!J$3:K$674,2,0)</f>
        <v>1094725168</v>
      </c>
      <c r="BB889" s="60"/>
      <c r="BC889" s="61">
        <f t="shared" si="122"/>
        <v>1094725168</v>
      </c>
      <c r="BD889" s="60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>
        <v>0</v>
      </c>
      <c r="BO889" s="60"/>
      <c r="BP889" s="61">
        <v>1094725168</v>
      </c>
      <c r="BQ889" s="61"/>
      <c r="BR889" s="61"/>
      <c r="BS889" s="61"/>
      <c r="BT889" s="61"/>
      <c r="BU889" s="61"/>
      <c r="BV889" s="61"/>
      <c r="BW889" s="61"/>
      <c r="BX889" s="61"/>
      <c r="BY889" s="61"/>
      <c r="BZ889" s="61"/>
      <c r="CA889" s="61"/>
      <c r="CB889" s="61"/>
      <c r="CC889" s="61">
        <v>952601461</v>
      </c>
      <c r="CD889" s="61"/>
      <c r="CE889" s="61"/>
      <c r="CF889" s="61"/>
      <c r="CG889" s="61">
        <f t="shared" si="123"/>
        <v>2047326629</v>
      </c>
      <c r="CH889" s="62">
        <f>VLOOKUP(B889,[1]RPTNCT049_ConsultaSaldosContabl!I$4:K$7987,3,0)</f>
        <v>952601461</v>
      </c>
      <c r="CI889" s="62">
        <f t="shared" si="124"/>
        <v>1094725168</v>
      </c>
      <c r="CJ889" s="63">
        <f t="shared" si="125"/>
        <v>2047326629</v>
      </c>
      <c r="CK889" s="64">
        <f t="shared" si="126"/>
        <v>0</v>
      </c>
      <c r="CL889" s="16"/>
      <c r="CM889" s="16"/>
      <c r="CN889" s="16"/>
    </row>
    <row r="890" spans="1:96" ht="15" customHeight="1" x14ac:dyDescent="0.2">
      <c r="A890" s="1">
        <v>8918013692</v>
      </c>
      <c r="B890" s="1">
        <v>891801369</v>
      </c>
      <c r="C890" s="9">
        <v>218115681</v>
      </c>
      <c r="D890" s="10" t="s">
        <v>301</v>
      </c>
      <c r="E890" s="45" t="s">
        <v>1332</v>
      </c>
      <c r="F890" s="21"/>
      <c r="G890" s="59"/>
      <c r="H890" s="21"/>
      <c r="I890" s="59"/>
      <c r="J890" s="21"/>
      <c r="K890" s="21"/>
      <c r="L890" s="59"/>
      <c r="M890" s="60"/>
      <c r="N890" s="21"/>
      <c r="O890" s="59"/>
      <c r="P890" s="21"/>
      <c r="Q890" s="59"/>
      <c r="R890" s="21"/>
      <c r="S890" s="21"/>
      <c r="T890" s="59"/>
      <c r="U890" s="60">
        <f t="shared" si="121"/>
        <v>0</v>
      </c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>
        <v>70941805</v>
      </c>
      <c r="AZ890" s="60"/>
      <c r="BA890" s="60">
        <f>VLOOKUP(B890,[2]Hoja3!J$3:K$674,2,0)</f>
        <v>115660597</v>
      </c>
      <c r="BB890" s="60"/>
      <c r="BC890" s="61">
        <f t="shared" si="122"/>
        <v>186602402</v>
      </c>
      <c r="BD890" s="60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>
        <v>14188361</v>
      </c>
      <c r="BO890" s="60"/>
      <c r="BP890" s="61">
        <v>200790763</v>
      </c>
      <c r="BQ890" s="61"/>
      <c r="BR890" s="61"/>
      <c r="BS890" s="61"/>
      <c r="BT890" s="61"/>
      <c r="BU890" s="61"/>
      <c r="BV890" s="61"/>
      <c r="BW890" s="61"/>
      <c r="BX890" s="61"/>
      <c r="BY890" s="61"/>
      <c r="BZ890" s="61"/>
      <c r="CA890" s="61"/>
      <c r="CB890" s="61"/>
      <c r="CC890" s="61">
        <v>14188361</v>
      </c>
      <c r="CD890" s="61"/>
      <c r="CE890" s="61"/>
      <c r="CF890" s="61"/>
      <c r="CG890" s="61">
        <f t="shared" si="123"/>
        <v>214979124</v>
      </c>
      <c r="CH890" s="62">
        <f>VLOOKUP(B890,[1]RPTNCT049_ConsultaSaldosContabl!I$4:K$7987,3,0)</f>
        <v>99318527</v>
      </c>
      <c r="CI890" s="62">
        <f t="shared" si="124"/>
        <v>115660597</v>
      </c>
      <c r="CJ890" s="63">
        <f t="shared" si="125"/>
        <v>214979124</v>
      </c>
      <c r="CK890" s="64">
        <f t="shared" si="126"/>
        <v>0</v>
      </c>
      <c r="CL890" s="16"/>
      <c r="CM890" s="8"/>
      <c r="CN890" s="8"/>
      <c r="CO890" s="8"/>
      <c r="CP890" s="8"/>
      <c r="CQ890" s="8"/>
      <c r="CR890" s="8"/>
    </row>
    <row r="891" spans="1:96" ht="15" customHeight="1" x14ac:dyDescent="0.2">
      <c r="A891" s="1">
        <v>8904802036</v>
      </c>
      <c r="B891" s="1">
        <v>890480203</v>
      </c>
      <c r="C891" s="9">
        <v>217013670</v>
      </c>
      <c r="D891" s="10" t="s">
        <v>206</v>
      </c>
      <c r="E891" s="45" t="s">
        <v>1240</v>
      </c>
      <c r="F891" s="21"/>
      <c r="G891" s="59"/>
      <c r="H891" s="21"/>
      <c r="I891" s="59"/>
      <c r="J891" s="21"/>
      <c r="K891" s="21"/>
      <c r="L891" s="59"/>
      <c r="M891" s="60"/>
      <c r="N891" s="21"/>
      <c r="O891" s="59"/>
      <c r="P891" s="21"/>
      <c r="Q891" s="59"/>
      <c r="R891" s="21"/>
      <c r="S891" s="21"/>
      <c r="T891" s="59"/>
      <c r="U891" s="60">
        <f t="shared" si="121"/>
        <v>0</v>
      </c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>
        <v>158958841</v>
      </c>
      <c r="AN891" s="60">
        <f>SUBTOTAL(9,AC891:AM891)</f>
        <v>158958841</v>
      </c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>
        <v>303495415</v>
      </c>
      <c r="AZ891" s="60"/>
      <c r="BA891" s="60">
        <f>VLOOKUP(B891,[2]Hoja3!J$3:K$674,2,0)</f>
        <v>201416403</v>
      </c>
      <c r="BB891" s="60"/>
      <c r="BC891" s="61">
        <f t="shared" si="122"/>
        <v>663870659</v>
      </c>
      <c r="BD891" s="60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>
        <v>60699083</v>
      </c>
      <c r="BO891" s="60"/>
      <c r="BP891" s="61">
        <v>724569742</v>
      </c>
      <c r="BQ891" s="61"/>
      <c r="BR891" s="61"/>
      <c r="BS891" s="61"/>
      <c r="BT891" s="61"/>
      <c r="BU891" s="61"/>
      <c r="BV891" s="61"/>
      <c r="BW891" s="61"/>
      <c r="BX891" s="61"/>
      <c r="BY891" s="61"/>
      <c r="BZ891" s="61"/>
      <c r="CA891" s="61"/>
      <c r="CB891" s="61"/>
      <c r="CC891" s="61">
        <v>60699083</v>
      </c>
      <c r="CD891" s="61"/>
      <c r="CE891" s="61">
        <v>37058595</v>
      </c>
      <c r="CF891" s="61"/>
      <c r="CG891" s="61">
        <f t="shared" si="123"/>
        <v>822327420</v>
      </c>
      <c r="CH891" s="62">
        <f>VLOOKUP(B891,[1]RPTNCT049_ConsultaSaldosContabl!I$4:K$7987,3,0)</f>
        <v>424893581</v>
      </c>
      <c r="CI891" s="62">
        <f t="shared" si="124"/>
        <v>397433839</v>
      </c>
      <c r="CJ891" s="63">
        <f t="shared" si="125"/>
        <v>822327420</v>
      </c>
      <c r="CK891" s="64">
        <f t="shared" si="126"/>
        <v>0</v>
      </c>
      <c r="CL891" s="16"/>
      <c r="CM891" s="16"/>
      <c r="CN891" s="16"/>
    </row>
    <row r="892" spans="1:96" ht="15" customHeight="1" x14ac:dyDescent="0.2">
      <c r="A892" s="1">
        <v>8000991432</v>
      </c>
      <c r="B892" s="1">
        <v>800099143</v>
      </c>
      <c r="C892" s="9">
        <v>219352693</v>
      </c>
      <c r="D892" s="10" t="s">
        <v>742</v>
      </c>
      <c r="E892" s="45" t="s">
        <v>1739</v>
      </c>
      <c r="F892" s="21"/>
      <c r="G892" s="59"/>
      <c r="H892" s="21"/>
      <c r="I892" s="59"/>
      <c r="J892" s="21"/>
      <c r="K892" s="21"/>
      <c r="L892" s="59"/>
      <c r="M892" s="60"/>
      <c r="N892" s="21"/>
      <c r="O892" s="59"/>
      <c r="P892" s="21"/>
      <c r="Q892" s="59"/>
      <c r="R892" s="21"/>
      <c r="S892" s="21"/>
      <c r="T892" s="59"/>
      <c r="U892" s="60">
        <f t="shared" si="121"/>
        <v>0</v>
      </c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>
        <v>106395830</v>
      </c>
      <c r="AZ892" s="60"/>
      <c r="BA892" s="60">
        <f>VLOOKUP(B892,[2]Hoja3!J$3:K$674,2,0)</f>
        <v>189509068</v>
      </c>
      <c r="BB892" s="60"/>
      <c r="BC892" s="61">
        <f t="shared" si="122"/>
        <v>295904898</v>
      </c>
      <c r="BD892" s="60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>
        <v>21279166</v>
      </c>
      <c r="BO892" s="60"/>
      <c r="BP892" s="61">
        <v>317184064</v>
      </c>
      <c r="BQ892" s="61"/>
      <c r="BR892" s="61"/>
      <c r="BS892" s="61"/>
      <c r="BT892" s="61"/>
      <c r="BU892" s="61"/>
      <c r="BV892" s="61"/>
      <c r="BW892" s="61"/>
      <c r="BX892" s="61"/>
      <c r="BY892" s="61"/>
      <c r="BZ892" s="61"/>
      <c r="CA892" s="61"/>
      <c r="CB892" s="61"/>
      <c r="CC892" s="61">
        <v>21279166</v>
      </c>
      <c r="CD892" s="61"/>
      <c r="CE892" s="61"/>
      <c r="CF892" s="61"/>
      <c r="CG892" s="61">
        <f t="shared" si="123"/>
        <v>338463230</v>
      </c>
      <c r="CH892" s="62">
        <f>VLOOKUP(B892,[1]RPTNCT049_ConsultaSaldosContabl!I$4:K$7987,3,0)</f>
        <v>148954162</v>
      </c>
      <c r="CI892" s="62">
        <f t="shared" si="124"/>
        <v>189509068</v>
      </c>
      <c r="CJ892" s="63">
        <f t="shared" si="125"/>
        <v>338463230</v>
      </c>
      <c r="CK892" s="64">
        <f t="shared" si="126"/>
        <v>0</v>
      </c>
      <c r="CL892" s="16"/>
      <c r="CM892" s="8"/>
      <c r="CN892" s="8"/>
      <c r="CO892" s="8"/>
      <c r="CP892" s="8"/>
      <c r="CQ892" s="8"/>
      <c r="CR892" s="8"/>
    </row>
    <row r="893" spans="1:96" ht="15" customHeight="1" x14ac:dyDescent="0.2">
      <c r="A893" s="1">
        <v>8001487203</v>
      </c>
      <c r="B893" s="1">
        <v>800148720</v>
      </c>
      <c r="C893" s="9">
        <v>219452694</v>
      </c>
      <c r="D893" s="10" t="s">
        <v>743</v>
      </c>
      <c r="E893" s="45" t="s">
        <v>1763</v>
      </c>
      <c r="F893" s="21"/>
      <c r="G893" s="59"/>
      <c r="H893" s="21"/>
      <c r="I893" s="59"/>
      <c r="J893" s="21"/>
      <c r="K893" s="21"/>
      <c r="L893" s="59"/>
      <c r="M893" s="60"/>
      <c r="N893" s="21"/>
      <c r="O893" s="59"/>
      <c r="P893" s="21"/>
      <c r="Q893" s="59"/>
      <c r="R893" s="21"/>
      <c r="S893" s="21"/>
      <c r="T893" s="59"/>
      <c r="U893" s="60">
        <f t="shared" si="121"/>
        <v>0</v>
      </c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>
        <f>VLOOKUP(B893,[2]Hoja3!J$3:K$674,2,0)</f>
        <v>83502478</v>
      </c>
      <c r="BB893" s="60"/>
      <c r="BC893" s="61">
        <f t="shared" si="122"/>
        <v>83502478</v>
      </c>
      <c r="BD893" s="60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>
        <v>8575853</v>
      </c>
      <c r="BO893" s="60"/>
      <c r="BP893" s="61">
        <v>92078331</v>
      </c>
      <c r="BQ893" s="61"/>
      <c r="BR893" s="61"/>
      <c r="BS893" s="61"/>
      <c r="BT893" s="61"/>
      <c r="BU893" s="61"/>
      <c r="BV893" s="61"/>
      <c r="BW893" s="61"/>
      <c r="BX893" s="61"/>
      <c r="BY893" s="61"/>
      <c r="BZ893" s="61"/>
      <c r="CA893" s="61"/>
      <c r="CB893" s="61"/>
      <c r="CC893" s="61">
        <v>8575853</v>
      </c>
      <c r="CD893" s="61">
        <v>42879265</v>
      </c>
      <c r="CE893" s="61"/>
      <c r="CF893" s="61"/>
      <c r="CG893" s="61">
        <f t="shared" si="123"/>
        <v>143533449</v>
      </c>
      <c r="CH893" s="62">
        <f>VLOOKUP(B893,[1]RPTNCT049_ConsultaSaldosContabl!I$4:K$7987,3,0)</f>
        <v>60030971</v>
      </c>
      <c r="CI893" s="62">
        <f t="shared" si="124"/>
        <v>83502478</v>
      </c>
      <c r="CJ893" s="63">
        <f t="shared" si="125"/>
        <v>143533449</v>
      </c>
      <c r="CK893" s="64">
        <f t="shared" si="126"/>
        <v>0</v>
      </c>
      <c r="CL893" s="16"/>
      <c r="CM893" s="16"/>
      <c r="CN893" s="16"/>
    </row>
    <row r="894" spans="1:96" ht="15" customHeight="1" x14ac:dyDescent="0.2">
      <c r="A894" s="1">
        <v>8909838145</v>
      </c>
      <c r="B894" s="1">
        <v>890983814</v>
      </c>
      <c r="C894" s="9">
        <v>216505665</v>
      </c>
      <c r="D894" s="10" t="s">
        <v>133</v>
      </c>
      <c r="E894" s="45" t="s">
        <v>1163</v>
      </c>
      <c r="F894" s="21"/>
      <c r="G894" s="59"/>
      <c r="H894" s="21"/>
      <c r="I894" s="59"/>
      <c r="J894" s="21"/>
      <c r="K894" s="21"/>
      <c r="L894" s="59"/>
      <c r="M894" s="60"/>
      <c r="N894" s="21"/>
      <c r="O894" s="59"/>
      <c r="P894" s="21"/>
      <c r="Q894" s="59"/>
      <c r="R894" s="21"/>
      <c r="S894" s="21"/>
      <c r="T894" s="59"/>
      <c r="U894" s="60">
        <f t="shared" si="121"/>
        <v>0</v>
      </c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>
        <v>598854760</v>
      </c>
      <c r="AZ894" s="60"/>
      <c r="BA894" s="60">
        <f>VLOOKUP(B894,[2]Hoja3!J$3:K$674,2,0)</f>
        <v>570585770</v>
      </c>
      <c r="BB894" s="60"/>
      <c r="BC894" s="61">
        <f t="shared" si="122"/>
        <v>1169440530</v>
      </c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>
        <v>119770952</v>
      </c>
      <c r="BO894" s="60"/>
      <c r="BP894" s="61">
        <v>1289211482</v>
      </c>
      <c r="BQ894" s="61"/>
      <c r="BR894" s="61"/>
      <c r="BS894" s="61"/>
      <c r="BT894" s="61"/>
      <c r="BU894" s="61"/>
      <c r="BV894" s="61"/>
      <c r="BW894" s="61"/>
      <c r="BX894" s="61"/>
      <c r="BY894" s="61"/>
      <c r="BZ894" s="61"/>
      <c r="CA894" s="61"/>
      <c r="CB894" s="61"/>
      <c r="CC894" s="61">
        <v>119770952</v>
      </c>
      <c r="CD894" s="61"/>
      <c r="CE894" s="61"/>
      <c r="CF894" s="61"/>
      <c r="CG894" s="61">
        <f t="shared" si="123"/>
        <v>1408982434</v>
      </c>
      <c r="CH894" s="62">
        <f>VLOOKUP(B894,[1]RPTNCT049_ConsultaSaldosContabl!I$4:K$7987,3,0)</f>
        <v>838396664</v>
      </c>
      <c r="CI894" s="62">
        <f t="shared" si="124"/>
        <v>570585770</v>
      </c>
      <c r="CJ894" s="63">
        <f t="shared" si="125"/>
        <v>1408982434</v>
      </c>
      <c r="CK894" s="64">
        <f t="shared" si="126"/>
        <v>0</v>
      </c>
      <c r="CL894" s="16"/>
      <c r="CM894" s="16"/>
      <c r="CN894" s="16"/>
    </row>
    <row r="895" spans="1:96" ht="15" customHeight="1" x14ac:dyDescent="0.2">
      <c r="A895" s="1">
        <v>8909839222</v>
      </c>
      <c r="B895" s="1">
        <v>890983922</v>
      </c>
      <c r="C895" s="9">
        <v>216405664</v>
      </c>
      <c r="D895" s="10" t="s">
        <v>132</v>
      </c>
      <c r="E895" s="45" t="s">
        <v>1162</v>
      </c>
      <c r="F895" s="21"/>
      <c r="G895" s="59"/>
      <c r="H895" s="21"/>
      <c r="I895" s="59"/>
      <c r="J895" s="21"/>
      <c r="K895" s="21"/>
      <c r="L895" s="59"/>
      <c r="M895" s="60"/>
      <c r="N895" s="21"/>
      <c r="O895" s="59"/>
      <c r="P895" s="21"/>
      <c r="Q895" s="59"/>
      <c r="R895" s="21"/>
      <c r="S895" s="21"/>
      <c r="T895" s="59"/>
      <c r="U895" s="60">
        <f t="shared" si="121"/>
        <v>0</v>
      </c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>
        <v>145213065</v>
      </c>
      <c r="AZ895" s="60"/>
      <c r="BA895" s="60">
        <f>VLOOKUP(B895,[2]Hoja3!J$3:K$674,2,0)</f>
        <v>388739333</v>
      </c>
      <c r="BB895" s="60"/>
      <c r="BC895" s="61">
        <f t="shared" si="122"/>
        <v>533952398</v>
      </c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>
        <v>29042613</v>
      </c>
      <c r="BO895" s="60"/>
      <c r="BP895" s="61">
        <v>562995011</v>
      </c>
      <c r="BQ895" s="61"/>
      <c r="BR895" s="61"/>
      <c r="BS895" s="61"/>
      <c r="BT895" s="61"/>
      <c r="BU895" s="61"/>
      <c r="BV895" s="61"/>
      <c r="BW895" s="61"/>
      <c r="BX895" s="61"/>
      <c r="BY895" s="61"/>
      <c r="BZ895" s="61"/>
      <c r="CA895" s="61"/>
      <c r="CB895" s="61"/>
      <c r="CC895" s="61">
        <v>29042613</v>
      </c>
      <c r="CD895" s="61"/>
      <c r="CE895" s="61"/>
      <c r="CF895" s="61"/>
      <c r="CG895" s="61">
        <f t="shared" si="123"/>
        <v>592037624</v>
      </c>
      <c r="CH895" s="62">
        <f>VLOOKUP(B895,[1]RPTNCT049_ConsultaSaldosContabl!I$4:K$7987,3,0)</f>
        <v>203298291</v>
      </c>
      <c r="CI895" s="62">
        <f t="shared" si="124"/>
        <v>388739333</v>
      </c>
      <c r="CJ895" s="63">
        <f t="shared" si="125"/>
        <v>592037624</v>
      </c>
      <c r="CK895" s="64">
        <f t="shared" si="126"/>
        <v>0</v>
      </c>
      <c r="CL895" s="16"/>
      <c r="CM895" s="16"/>
      <c r="CN895" s="16"/>
    </row>
    <row r="896" spans="1:96" ht="15" customHeight="1" x14ac:dyDescent="0.2">
      <c r="A896" s="1">
        <v>8922800630</v>
      </c>
      <c r="B896" s="1">
        <v>892280063</v>
      </c>
      <c r="C896" s="9">
        <v>211770717</v>
      </c>
      <c r="D896" s="10" t="s">
        <v>2140</v>
      </c>
      <c r="E896" s="45" t="s">
        <v>1923</v>
      </c>
      <c r="F896" s="21"/>
      <c r="G896" s="59"/>
      <c r="H896" s="21"/>
      <c r="I896" s="59"/>
      <c r="J896" s="21"/>
      <c r="K896" s="21"/>
      <c r="L896" s="59"/>
      <c r="M896" s="60"/>
      <c r="N896" s="21"/>
      <c r="O896" s="59"/>
      <c r="P896" s="21"/>
      <c r="Q896" s="59"/>
      <c r="R896" s="21"/>
      <c r="S896" s="21"/>
      <c r="T896" s="59"/>
      <c r="U896" s="60">
        <f t="shared" si="121"/>
        <v>0</v>
      </c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>
        <v>179542185</v>
      </c>
      <c r="AZ896" s="60"/>
      <c r="BA896" s="60">
        <f>VLOOKUP(B896,[2]Hoja3!J$3:K$674,2,0)</f>
        <v>310947665</v>
      </c>
      <c r="BB896" s="60"/>
      <c r="BC896" s="61">
        <f t="shared" si="122"/>
        <v>490489850</v>
      </c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>
        <v>35908437</v>
      </c>
      <c r="BO896" s="60"/>
      <c r="BP896" s="61">
        <v>526398287</v>
      </c>
      <c r="BQ896" s="61"/>
      <c r="BR896" s="61"/>
      <c r="BS896" s="61"/>
      <c r="BT896" s="61"/>
      <c r="BU896" s="61"/>
      <c r="BV896" s="61"/>
      <c r="BW896" s="61"/>
      <c r="BX896" s="61"/>
      <c r="BY896" s="61"/>
      <c r="BZ896" s="61"/>
      <c r="CA896" s="61"/>
      <c r="CB896" s="61"/>
      <c r="CC896" s="61">
        <v>35908437</v>
      </c>
      <c r="CD896" s="61"/>
      <c r="CE896" s="61"/>
      <c r="CF896" s="61"/>
      <c r="CG896" s="61">
        <f t="shared" si="123"/>
        <v>562306724</v>
      </c>
      <c r="CH896" s="62">
        <f>VLOOKUP(B896,[1]RPTNCT049_ConsultaSaldosContabl!I$4:K$7987,3,0)</f>
        <v>251359059</v>
      </c>
      <c r="CI896" s="62">
        <f t="shared" si="124"/>
        <v>310947665</v>
      </c>
      <c r="CJ896" s="63">
        <f t="shared" si="125"/>
        <v>562306724</v>
      </c>
      <c r="CK896" s="64">
        <f t="shared" si="126"/>
        <v>0</v>
      </c>
      <c r="CL896" s="16"/>
      <c r="CM896" s="16"/>
      <c r="CN896" s="16"/>
    </row>
    <row r="897" spans="1:96" ht="15" customHeight="1" x14ac:dyDescent="0.2">
      <c r="A897" s="1">
        <v>8001005263</v>
      </c>
      <c r="B897" s="1">
        <v>800100526</v>
      </c>
      <c r="C897" s="9">
        <v>217076670</v>
      </c>
      <c r="D897" s="10" t="s">
        <v>938</v>
      </c>
      <c r="E897" s="45" t="s">
        <v>1998</v>
      </c>
      <c r="F897" s="21"/>
      <c r="G897" s="59"/>
      <c r="H897" s="21"/>
      <c r="I897" s="59"/>
      <c r="J897" s="21"/>
      <c r="K897" s="21"/>
      <c r="L897" s="59"/>
      <c r="M897" s="60"/>
      <c r="N897" s="21"/>
      <c r="O897" s="59"/>
      <c r="P897" s="21"/>
      <c r="Q897" s="59"/>
      <c r="R897" s="21"/>
      <c r="S897" s="21"/>
      <c r="T897" s="59"/>
      <c r="U897" s="60">
        <f t="shared" si="121"/>
        <v>0</v>
      </c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>
        <v>188383035</v>
      </c>
      <c r="AN897" s="60">
        <f>SUBTOTAL(9,AC897:AM897)</f>
        <v>188383035</v>
      </c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>
        <v>105744235</v>
      </c>
      <c r="AZ897" s="60"/>
      <c r="BA897" s="60"/>
      <c r="BB897" s="60"/>
      <c r="BC897" s="61">
        <f t="shared" si="122"/>
        <v>294127270</v>
      </c>
      <c r="BD897" s="60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>
        <v>21148847</v>
      </c>
      <c r="BO897" s="60"/>
      <c r="BP897" s="61">
        <v>315276117</v>
      </c>
      <c r="BQ897" s="61"/>
      <c r="BR897" s="61"/>
      <c r="BS897" s="61"/>
      <c r="BT897" s="61"/>
      <c r="BU897" s="61"/>
      <c r="BV897" s="61"/>
      <c r="BW897" s="61"/>
      <c r="BX897" s="61"/>
      <c r="BY897" s="61"/>
      <c r="BZ897" s="61"/>
      <c r="CA897" s="61"/>
      <c r="CB897" s="61"/>
      <c r="CC897" s="61">
        <v>21148847</v>
      </c>
      <c r="CD897" s="61"/>
      <c r="CE897" s="61"/>
      <c r="CF897" s="61"/>
      <c r="CG897" s="61">
        <f t="shared" si="123"/>
        <v>336424964</v>
      </c>
      <c r="CH897" s="62">
        <f>VLOOKUP(B897,[1]RPTNCT049_ConsultaSaldosContabl!I$4:K$7987,3,0)</f>
        <v>148041929</v>
      </c>
      <c r="CI897" s="62">
        <f t="shared" si="124"/>
        <v>188383035</v>
      </c>
      <c r="CJ897" s="63">
        <f t="shared" si="125"/>
        <v>336424964</v>
      </c>
      <c r="CK897" s="64">
        <f t="shared" si="126"/>
        <v>0</v>
      </c>
      <c r="CL897" s="16"/>
      <c r="CM897" s="8"/>
      <c r="CN897" s="8"/>
      <c r="CO897" s="8"/>
      <c r="CP897" s="8"/>
      <c r="CQ897" s="8"/>
      <c r="CR897" s="8"/>
    </row>
    <row r="898" spans="1:96" ht="15" customHeight="1" x14ac:dyDescent="0.2">
      <c r="A898" s="1">
        <v>8000968056</v>
      </c>
      <c r="B898" s="1">
        <v>800096805</v>
      </c>
      <c r="C898" s="9">
        <v>218623686</v>
      </c>
      <c r="D898" s="10" t="s">
        <v>457</v>
      </c>
      <c r="E898" s="45" t="s">
        <v>2087</v>
      </c>
      <c r="F898" s="21"/>
      <c r="G898" s="59"/>
      <c r="H898" s="21"/>
      <c r="I898" s="59"/>
      <c r="J898" s="21"/>
      <c r="K898" s="21"/>
      <c r="L898" s="59"/>
      <c r="M898" s="60"/>
      <c r="N898" s="21"/>
      <c r="O898" s="59"/>
      <c r="P898" s="21"/>
      <c r="Q898" s="59"/>
      <c r="R898" s="21"/>
      <c r="S898" s="21"/>
      <c r="T898" s="59"/>
      <c r="U898" s="60">
        <f t="shared" si="121"/>
        <v>0</v>
      </c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>
        <v>557138457</v>
      </c>
      <c r="AN898" s="60">
        <f>SUBTOTAL(9,AC898:AM898)</f>
        <v>557138457</v>
      </c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1">
        <f t="shared" si="122"/>
        <v>557138457</v>
      </c>
      <c r="BD898" s="60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>
        <v>0</v>
      </c>
      <c r="BO898" s="60"/>
      <c r="BP898" s="61">
        <v>557138457</v>
      </c>
      <c r="BQ898" s="61"/>
      <c r="BR898" s="61"/>
      <c r="BS898" s="61"/>
      <c r="BT898" s="61"/>
      <c r="BU898" s="61"/>
      <c r="BV898" s="61"/>
      <c r="BW898" s="61"/>
      <c r="BX898" s="61"/>
      <c r="BY898" s="61"/>
      <c r="BZ898" s="61"/>
      <c r="CA898" s="61"/>
      <c r="CB898" s="61"/>
      <c r="CC898" s="61">
        <v>580582212</v>
      </c>
      <c r="CD898" s="61"/>
      <c r="CE898" s="61"/>
      <c r="CF898" s="61"/>
      <c r="CG898" s="61">
        <f t="shared" si="123"/>
        <v>1137720669</v>
      </c>
      <c r="CH898" s="62">
        <f>VLOOKUP(B898,[1]RPTNCT049_ConsultaSaldosContabl!I$4:K$7987,3,0)</f>
        <v>580582212</v>
      </c>
      <c r="CI898" s="62">
        <f t="shared" si="124"/>
        <v>557138457</v>
      </c>
      <c r="CJ898" s="63">
        <f t="shared" si="125"/>
        <v>1137720669</v>
      </c>
      <c r="CK898" s="64">
        <f t="shared" si="126"/>
        <v>0</v>
      </c>
      <c r="CL898" s="16"/>
      <c r="CM898" s="16"/>
      <c r="CN898" s="16"/>
    </row>
    <row r="899" spans="1:96" ht="15" customHeight="1" x14ac:dyDescent="0.2">
      <c r="A899" s="1">
        <v>8909821231</v>
      </c>
      <c r="B899" s="1">
        <v>890982123</v>
      </c>
      <c r="C899" s="9">
        <v>216705667</v>
      </c>
      <c r="D899" s="10" t="s">
        <v>134</v>
      </c>
      <c r="E899" s="45" t="s">
        <v>1117</v>
      </c>
      <c r="F899" s="21"/>
      <c r="G899" s="59"/>
      <c r="H899" s="21"/>
      <c r="I899" s="59"/>
      <c r="J899" s="21"/>
      <c r="K899" s="21"/>
      <c r="L899" s="59"/>
      <c r="M899" s="60"/>
      <c r="N899" s="21"/>
      <c r="O899" s="59"/>
      <c r="P899" s="21"/>
      <c r="Q899" s="59"/>
      <c r="R899" s="21"/>
      <c r="S899" s="21"/>
      <c r="T899" s="59"/>
      <c r="U899" s="60">
        <f t="shared" ref="U899:U962" si="130">SUM(M899:T899)</f>
        <v>0</v>
      </c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>
        <v>107169505</v>
      </c>
      <c r="AZ899" s="60"/>
      <c r="BA899" s="60">
        <f>VLOOKUP(B899,[2]Hoja3!J$3:K$674,2,0)</f>
        <v>157453138</v>
      </c>
      <c r="BB899" s="60"/>
      <c r="BC899" s="61">
        <f t="shared" si="122"/>
        <v>264622643</v>
      </c>
      <c r="BD899" s="60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>
        <v>21433901</v>
      </c>
      <c r="BO899" s="60"/>
      <c r="BP899" s="61">
        <v>286056544</v>
      </c>
      <c r="BQ899" s="61"/>
      <c r="BR899" s="61"/>
      <c r="BS899" s="61"/>
      <c r="BT899" s="61"/>
      <c r="BU899" s="61"/>
      <c r="BV899" s="61"/>
      <c r="BW899" s="61"/>
      <c r="BX899" s="61"/>
      <c r="BY899" s="61"/>
      <c r="BZ899" s="61"/>
      <c r="CA899" s="61"/>
      <c r="CB899" s="61"/>
      <c r="CC899" s="61">
        <v>21433901</v>
      </c>
      <c r="CD899" s="61"/>
      <c r="CE899" s="61"/>
      <c r="CF899" s="61"/>
      <c r="CG899" s="61">
        <f t="shared" si="123"/>
        <v>307490445</v>
      </c>
      <c r="CH899" s="62">
        <f>VLOOKUP(B899,[1]RPTNCT049_ConsultaSaldosContabl!I$4:K$7987,3,0)</f>
        <v>150037307</v>
      </c>
      <c r="CI899" s="62">
        <f t="shared" si="124"/>
        <v>157453138</v>
      </c>
      <c r="CJ899" s="63">
        <f t="shared" si="125"/>
        <v>307490445</v>
      </c>
      <c r="CK899" s="64">
        <f t="shared" si="126"/>
        <v>0</v>
      </c>
      <c r="CL899" s="16"/>
      <c r="CM899" s="16"/>
      <c r="CN899" s="16"/>
    </row>
    <row r="900" spans="1:96" ht="15" customHeight="1" x14ac:dyDescent="0.2">
      <c r="A900" s="1">
        <v>8909808507</v>
      </c>
      <c r="B900" s="1">
        <v>890980850</v>
      </c>
      <c r="C900" s="9">
        <v>217005670</v>
      </c>
      <c r="D900" s="10" t="s">
        <v>135</v>
      </c>
      <c r="E900" s="45" t="s">
        <v>1164</v>
      </c>
      <c r="F900" s="21"/>
      <c r="G900" s="59"/>
      <c r="H900" s="21"/>
      <c r="I900" s="59"/>
      <c r="J900" s="21"/>
      <c r="K900" s="21"/>
      <c r="L900" s="59"/>
      <c r="M900" s="60"/>
      <c r="N900" s="21"/>
      <c r="O900" s="59"/>
      <c r="P900" s="21"/>
      <c r="Q900" s="59"/>
      <c r="R900" s="21"/>
      <c r="S900" s="21"/>
      <c r="T900" s="59"/>
      <c r="U900" s="60">
        <f t="shared" si="130"/>
        <v>0</v>
      </c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>
        <f>VLOOKUP(B900,[2]Hoja3!J$3:K$674,2,0)</f>
        <v>297494773</v>
      </c>
      <c r="BB900" s="60"/>
      <c r="BC900" s="61">
        <f t="shared" ref="BC900:BC963" si="131">SUM(AN900:BA900)-BB900</f>
        <v>297494773</v>
      </c>
      <c r="BD900" s="60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>
        <v>25201220</v>
      </c>
      <c r="BO900" s="60"/>
      <c r="BP900" s="61">
        <v>322695993</v>
      </c>
      <c r="BQ900" s="61"/>
      <c r="BR900" s="61"/>
      <c r="BS900" s="61"/>
      <c r="BT900" s="61"/>
      <c r="BU900" s="61"/>
      <c r="BV900" s="61"/>
      <c r="BW900" s="61"/>
      <c r="BX900" s="61"/>
      <c r="BY900" s="61"/>
      <c r="BZ900" s="61"/>
      <c r="CA900" s="61"/>
      <c r="CB900" s="61"/>
      <c r="CC900" s="61">
        <v>25201220</v>
      </c>
      <c r="CD900" s="61">
        <v>126006100</v>
      </c>
      <c r="CE900" s="61"/>
      <c r="CF900" s="61"/>
      <c r="CG900" s="61">
        <f t="shared" ref="CG900:CG963" si="132">SUM(BP900:CF900)</f>
        <v>473903313</v>
      </c>
      <c r="CH900" s="62">
        <f>VLOOKUP(B900,[1]RPTNCT049_ConsultaSaldosContabl!I$4:K$7987,3,0)</f>
        <v>176408540</v>
      </c>
      <c r="CI900" s="62">
        <f t="shared" ref="CI900:CI963" si="133">+AM900+BA900-BB900+BO900+CE900+CF900</f>
        <v>297494773</v>
      </c>
      <c r="CJ900" s="63">
        <f t="shared" ref="CJ900:CJ963" si="134">+CH900+CI900</f>
        <v>473903313</v>
      </c>
      <c r="CK900" s="64">
        <f t="shared" ref="CK900:CK963" si="135">+CG900-CJ900</f>
        <v>0</v>
      </c>
      <c r="CL900" s="16"/>
      <c r="CM900" s="16"/>
      <c r="CN900" s="16"/>
    </row>
    <row r="901" spans="1:96" ht="15" customHeight="1" x14ac:dyDescent="0.2">
      <c r="A901" s="1">
        <v>8915024824</v>
      </c>
      <c r="B901" s="1">
        <v>891502482</v>
      </c>
      <c r="C901" s="9">
        <v>219319693</v>
      </c>
      <c r="D901" s="10" t="s">
        <v>402</v>
      </c>
      <c r="E901" s="45" t="s">
        <v>1430</v>
      </c>
      <c r="F901" s="21"/>
      <c r="G901" s="59"/>
      <c r="H901" s="21"/>
      <c r="I901" s="59"/>
      <c r="J901" s="21"/>
      <c r="K901" s="21"/>
      <c r="L901" s="59"/>
      <c r="M901" s="60"/>
      <c r="N901" s="21"/>
      <c r="O901" s="59"/>
      <c r="P901" s="21"/>
      <c r="Q901" s="59"/>
      <c r="R901" s="21"/>
      <c r="S901" s="21"/>
      <c r="T901" s="59"/>
      <c r="U901" s="60">
        <f t="shared" si="130"/>
        <v>0</v>
      </c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>
        <v>14696885</v>
      </c>
      <c r="AN901" s="60">
        <f>SUBTOTAL(9,AC901:AM901)</f>
        <v>14696885</v>
      </c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>
        <f>VLOOKUP(B901,[2]Hoja3!J$3:K$674,2,0)</f>
        <v>95544940</v>
      </c>
      <c r="BB901" s="60"/>
      <c r="BC901" s="61">
        <f t="shared" si="131"/>
        <v>110241825</v>
      </c>
      <c r="BD901" s="60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>
        <v>0</v>
      </c>
      <c r="BO901" s="60"/>
      <c r="BP901" s="61">
        <v>110241825</v>
      </c>
      <c r="BQ901" s="61"/>
      <c r="BR901" s="61"/>
      <c r="BS901" s="61"/>
      <c r="BT901" s="61"/>
      <c r="BU901" s="61"/>
      <c r="BV901" s="61"/>
      <c r="BW901" s="61"/>
      <c r="BX901" s="61"/>
      <c r="BY901" s="61"/>
      <c r="BZ901" s="61"/>
      <c r="CA901" s="61"/>
      <c r="CB901" s="61"/>
      <c r="CC901" s="61">
        <v>0</v>
      </c>
      <c r="CD901" s="61"/>
      <c r="CE901" s="61"/>
      <c r="CF901" s="61"/>
      <c r="CG901" s="61">
        <f t="shared" si="132"/>
        <v>110241825</v>
      </c>
      <c r="CH901" s="62"/>
      <c r="CI901" s="62">
        <f t="shared" si="133"/>
        <v>110241825</v>
      </c>
      <c r="CJ901" s="63">
        <f t="shared" si="134"/>
        <v>110241825</v>
      </c>
      <c r="CK901" s="64">
        <f t="shared" si="135"/>
        <v>0</v>
      </c>
      <c r="CL901" s="16"/>
      <c r="CM901" s="16"/>
      <c r="CN901" s="16"/>
    </row>
    <row r="902" spans="1:96" ht="15" customHeight="1" x14ac:dyDescent="0.2">
      <c r="A902" s="1">
        <v>8917800546</v>
      </c>
      <c r="B902" s="1">
        <v>891780054</v>
      </c>
      <c r="C902" s="9">
        <v>219247692</v>
      </c>
      <c r="D902" s="10" t="s">
        <v>658</v>
      </c>
      <c r="E902" s="45" t="s">
        <v>1678</v>
      </c>
      <c r="F902" s="21"/>
      <c r="G902" s="59"/>
      <c r="H902" s="21"/>
      <c r="I902" s="59"/>
      <c r="J902" s="21"/>
      <c r="K902" s="21"/>
      <c r="L902" s="59"/>
      <c r="M902" s="60"/>
      <c r="N902" s="21"/>
      <c r="O902" s="59"/>
      <c r="P902" s="21"/>
      <c r="Q902" s="59"/>
      <c r="R902" s="21"/>
      <c r="S902" s="21"/>
      <c r="T902" s="59"/>
      <c r="U902" s="60">
        <f t="shared" si="130"/>
        <v>0</v>
      </c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>
        <v>468916252</v>
      </c>
      <c r="AN902" s="60">
        <f>SUBTOTAL(9,AC902:AM902)</f>
        <v>468916252</v>
      </c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>
        <f>VLOOKUP(B902,[2]Hoja3!J$3:K$674,2,0)</f>
        <v>59176186</v>
      </c>
      <c r="BB902" s="60"/>
      <c r="BC902" s="61">
        <f t="shared" si="131"/>
        <v>528092438</v>
      </c>
      <c r="BD902" s="60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>
        <v>56208633</v>
      </c>
      <c r="BO902" s="60"/>
      <c r="BP902" s="61">
        <v>584301071</v>
      </c>
      <c r="BQ902" s="61"/>
      <c r="BR902" s="61"/>
      <c r="BS902" s="61"/>
      <c r="BT902" s="61"/>
      <c r="BU902" s="61"/>
      <c r="BV902" s="61"/>
      <c r="BW902" s="61"/>
      <c r="BX902" s="61"/>
      <c r="BY902" s="61"/>
      <c r="BZ902" s="61"/>
      <c r="CA902" s="61"/>
      <c r="CB902" s="61"/>
      <c r="CC902" s="61">
        <v>56208633</v>
      </c>
      <c r="CD902" s="61">
        <v>281043165</v>
      </c>
      <c r="CE902" s="61"/>
      <c r="CF902" s="61"/>
      <c r="CG902" s="61">
        <f t="shared" si="132"/>
        <v>921552869</v>
      </c>
      <c r="CH902" s="62">
        <f>VLOOKUP(B902,[1]RPTNCT049_ConsultaSaldosContabl!I$4:K$7987,3,0)</f>
        <v>393460431</v>
      </c>
      <c r="CI902" s="62">
        <f t="shared" si="133"/>
        <v>528092438</v>
      </c>
      <c r="CJ902" s="63">
        <f t="shared" si="134"/>
        <v>921552869</v>
      </c>
      <c r="CK902" s="64">
        <f t="shared" si="135"/>
        <v>0</v>
      </c>
      <c r="CL902" s="16"/>
      <c r="CM902" s="16"/>
      <c r="CN902" s="16"/>
    </row>
    <row r="903" spans="1:96" ht="15" customHeight="1" x14ac:dyDescent="0.2">
      <c r="A903" s="1">
        <v>8000957852</v>
      </c>
      <c r="B903" s="1">
        <v>800095785</v>
      </c>
      <c r="C903" s="9">
        <v>215318753</v>
      </c>
      <c r="D903" s="10" t="s">
        <v>2197</v>
      </c>
      <c r="E903" s="45" t="s">
        <v>1401</v>
      </c>
      <c r="F903" s="21"/>
      <c r="G903" s="59"/>
      <c r="H903" s="21"/>
      <c r="I903" s="59"/>
      <c r="J903" s="21"/>
      <c r="K903" s="21"/>
      <c r="L903" s="59"/>
      <c r="M903" s="60"/>
      <c r="N903" s="21"/>
      <c r="O903" s="59"/>
      <c r="P903" s="21"/>
      <c r="Q903" s="59"/>
      <c r="R903" s="21"/>
      <c r="S903" s="21"/>
      <c r="T903" s="59"/>
      <c r="U903" s="60">
        <f t="shared" si="130"/>
        <v>0</v>
      </c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>
        <v>475092710</v>
      </c>
      <c r="AN903" s="60">
        <f>SUBTOTAL(9,AC903:AM903)</f>
        <v>475092710</v>
      </c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>
        <v>534714475</v>
      </c>
      <c r="AZ903" s="60"/>
      <c r="BA903" s="60">
        <f>VLOOKUP(B903,[2]Hoja3!J$3:K$674,2,0)</f>
        <v>534720422</v>
      </c>
      <c r="BB903" s="60">
        <f>VLOOKUP(B903,'[3]anuladas en mayo gratuidad}'!K$2:L$55,2,0)</f>
        <v>9281941</v>
      </c>
      <c r="BC903" s="61">
        <f t="shared" si="131"/>
        <v>1535245666</v>
      </c>
      <c r="BD903" s="60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>
        <v>106942895</v>
      </c>
      <c r="BO903" s="60"/>
      <c r="BP903" s="61">
        <v>1642188561</v>
      </c>
      <c r="BQ903" s="61"/>
      <c r="BR903" s="61"/>
      <c r="BS903" s="61"/>
      <c r="BT903" s="61"/>
      <c r="BU903" s="61"/>
      <c r="BV903" s="61"/>
      <c r="BW903" s="61"/>
      <c r="BX903" s="61"/>
      <c r="BY903" s="61"/>
      <c r="BZ903" s="61"/>
      <c r="CA903" s="61"/>
      <c r="CB903" s="61"/>
      <c r="CC903" s="61">
        <v>106942895</v>
      </c>
      <c r="CD903" s="61"/>
      <c r="CE903" s="61">
        <v>17496874</v>
      </c>
      <c r="CF903" s="61"/>
      <c r="CG903" s="61">
        <f t="shared" si="132"/>
        <v>1766628330</v>
      </c>
      <c r="CH903" s="62">
        <f>VLOOKUP(B903,[1]RPTNCT049_ConsultaSaldosContabl!I$4:K$7987,3,0)</f>
        <v>748600265</v>
      </c>
      <c r="CI903" s="62">
        <f t="shared" si="133"/>
        <v>1018028065</v>
      </c>
      <c r="CJ903" s="63">
        <f t="shared" si="134"/>
        <v>1766628330</v>
      </c>
      <c r="CK903" s="64">
        <f t="shared" si="135"/>
        <v>0</v>
      </c>
      <c r="CL903" s="16"/>
      <c r="CM903" s="16"/>
      <c r="CN903" s="16"/>
    </row>
    <row r="904" spans="1:96" ht="15" customHeight="1" x14ac:dyDescent="0.2">
      <c r="A904" s="1">
        <v>8000998296</v>
      </c>
      <c r="B904" s="1">
        <v>800099829</v>
      </c>
      <c r="C904" s="9">
        <v>218968689</v>
      </c>
      <c r="D904" s="10" t="s">
        <v>2137</v>
      </c>
      <c r="E904" s="45" t="s">
        <v>1890</v>
      </c>
      <c r="F904" s="21"/>
      <c r="G904" s="59"/>
      <c r="H904" s="21"/>
      <c r="I904" s="59"/>
      <c r="J904" s="21"/>
      <c r="K904" s="21"/>
      <c r="L904" s="59"/>
      <c r="M904" s="60"/>
      <c r="N904" s="21"/>
      <c r="O904" s="59"/>
      <c r="P904" s="21"/>
      <c r="Q904" s="59"/>
      <c r="R904" s="21"/>
      <c r="S904" s="21"/>
      <c r="T904" s="59"/>
      <c r="U904" s="60">
        <f t="shared" si="130"/>
        <v>0</v>
      </c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>
        <v>248533140</v>
      </c>
      <c r="AN904" s="60">
        <f>SUBTOTAL(9,AC904:AM904)</f>
        <v>248533140</v>
      </c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>
        <v>217776615</v>
      </c>
      <c r="AZ904" s="60"/>
      <c r="BA904" s="60">
        <f>VLOOKUP(B904,[2]Hoja3!J$3:K$674,2,0)</f>
        <v>72045508</v>
      </c>
      <c r="BB904" s="60"/>
      <c r="BC904" s="61">
        <f t="shared" si="131"/>
        <v>538355263</v>
      </c>
      <c r="BD904" s="60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>
        <v>43555323</v>
      </c>
      <c r="BO904" s="60"/>
      <c r="BP904" s="61">
        <v>581910586</v>
      </c>
      <c r="BQ904" s="61"/>
      <c r="BR904" s="61"/>
      <c r="BS904" s="61"/>
      <c r="BT904" s="61"/>
      <c r="BU904" s="61"/>
      <c r="BV904" s="61"/>
      <c r="BW904" s="61"/>
      <c r="BX904" s="61"/>
      <c r="BY904" s="61"/>
      <c r="BZ904" s="61"/>
      <c r="CA904" s="61"/>
      <c r="CB904" s="61"/>
      <c r="CC904" s="61">
        <v>43555323</v>
      </c>
      <c r="CD904" s="61"/>
      <c r="CE904" s="61"/>
      <c r="CF904" s="61"/>
      <c r="CG904" s="61">
        <f t="shared" si="132"/>
        <v>625465909</v>
      </c>
      <c r="CH904" s="62">
        <f>VLOOKUP(B904,[1]RPTNCT049_ConsultaSaldosContabl!I$4:K$7987,3,0)</f>
        <v>304887261</v>
      </c>
      <c r="CI904" s="62">
        <f t="shared" si="133"/>
        <v>320578648</v>
      </c>
      <c r="CJ904" s="63">
        <f t="shared" si="134"/>
        <v>625465909</v>
      </c>
      <c r="CK904" s="64">
        <f t="shared" si="135"/>
        <v>0</v>
      </c>
      <c r="CL904" s="16"/>
      <c r="CM904" s="16"/>
      <c r="CN904" s="16"/>
    </row>
    <row r="905" spans="1:96" ht="15" customHeight="1" x14ac:dyDescent="0.2">
      <c r="A905" s="1">
        <v>8909825067</v>
      </c>
      <c r="B905" s="1">
        <v>890982506</v>
      </c>
      <c r="C905" s="9">
        <v>217405674</v>
      </c>
      <c r="D905" s="10" t="s">
        <v>136</v>
      </c>
      <c r="E905" s="45" t="s">
        <v>1165</v>
      </c>
      <c r="F905" s="21"/>
      <c r="G905" s="59"/>
      <c r="H905" s="21"/>
      <c r="I905" s="59"/>
      <c r="J905" s="21"/>
      <c r="K905" s="21"/>
      <c r="L905" s="59"/>
      <c r="M905" s="60"/>
      <c r="N905" s="21"/>
      <c r="O905" s="59"/>
      <c r="P905" s="21"/>
      <c r="Q905" s="59"/>
      <c r="R905" s="21"/>
      <c r="S905" s="21"/>
      <c r="T905" s="59"/>
      <c r="U905" s="60">
        <f t="shared" si="130"/>
        <v>0</v>
      </c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>
        <v>114432240</v>
      </c>
      <c r="AZ905" s="60"/>
      <c r="BA905" s="60">
        <f>VLOOKUP(B905,[2]Hoja3!J$3:K$674,2,0)</f>
        <v>250267807</v>
      </c>
      <c r="BB905" s="60"/>
      <c r="BC905" s="61">
        <f t="shared" si="131"/>
        <v>364700047</v>
      </c>
      <c r="BD905" s="60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>
        <v>22886448</v>
      </c>
      <c r="BO905" s="60"/>
      <c r="BP905" s="61">
        <v>387586495</v>
      </c>
      <c r="BQ905" s="61"/>
      <c r="BR905" s="61"/>
      <c r="BS905" s="61"/>
      <c r="BT905" s="61"/>
      <c r="BU905" s="61"/>
      <c r="BV905" s="61"/>
      <c r="BW905" s="61"/>
      <c r="BX905" s="61"/>
      <c r="BY905" s="61"/>
      <c r="BZ905" s="61"/>
      <c r="CA905" s="61"/>
      <c r="CB905" s="61"/>
      <c r="CC905" s="61">
        <v>22886448</v>
      </c>
      <c r="CD905" s="61"/>
      <c r="CE905" s="61"/>
      <c r="CF905" s="61"/>
      <c r="CG905" s="61">
        <f t="shared" si="132"/>
        <v>410472943</v>
      </c>
      <c r="CH905" s="62">
        <f>VLOOKUP(B905,[1]RPTNCT049_ConsultaSaldosContabl!I$4:K$7987,3,0)</f>
        <v>160205136</v>
      </c>
      <c r="CI905" s="62">
        <f t="shared" si="133"/>
        <v>250267807</v>
      </c>
      <c r="CJ905" s="63">
        <f t="shared" si="134"/>
        <v>410472943</v>
      </c>
      <c r="CK905" s="64">
        <f t="shared" si="135"/>
        <v>0</v>
      </c>
      <c r="CL905" s="16"/>
      <c r="CM905" s="16"/>
      <c r="CN905" s="16"/>
    </row>
    <row r="906" spans="1:96" ht="15" customHeight="1" x14ac:dyDescent="0.2">
      <c r="A906" s="1">
        <v>8917800553</v>
      </c>
      <c r="B906" s="1">
        <v>891780055</v>
      </c>
      <c r="C906" s="9">
        <v>210347703</v>
      </c>
      <c r="D906" s="10" t="s">
        <v>659</v>
      </c>
      <c r="E906" s="45" t="s">
        <v>1679</v>
      </c>
      <c r="F906" s="21"/>
      <c r="G906" s="59"/>
      <c r="H906" s="21"/>
      <c r="I906" s="59"/>
      <c r="J906" s="21"/>
      <c r="K906" s="21"/>
      <c r="L906" s="59"/>
      <c r="M906" s="60"/>
      <c r="N906" s="21"/>
      <c r="O906" s="59"/>
      <c r="P906" s="21"/>
      <c r="Q906" s="59"/>
      <c r="R906" s="21"/>
      <c r="S906" s="21"/>
      <c r="T906" s="59"/>
      <c r="U906" s="60">
        <f t="shared" si="130"/>
        <v>0</v>
      </c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>
        <v>119754450</v>
      </c>
      <c r="AN906" s="60">
        <f>SUBTOTAL(9,AC906:AM906)</f>
        <v>119754450</v>
      </c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>
        <f>VLOOKUP(B906,[2]Hoja3!J$3:K$674,2,0)</f>
        <v>168359700</v>
      </c>
      <c r="BB906" s="60">
        <f>VLOOKUP(B906,'[3]anuladas en mayo gratuidad}'!K$2:L$55,2,0)</f>
        <v>50458930</v>
      </c>
      <c r="BC906" s="61">
        <f t="shared" si="131"/>
        <v>237655220</v>
      </c>
      <c r="BD906" s="60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>
        <v>31203739</v>
      </c>
      <c r="BO906" s="60"/>
      <c r="BP906" s="61">
        <v>268858959</v>
      </c>
      <c r="BQ906" s="61"/>
      <c r="BR906" s="61"/>
      <c r="BS906" s="61"/>
      <c r="BT906" s="61"/>
      <c r="BU906" s="61"/>
      <c r="BV906" s="61"/>
      <c r="BW906" s="61"/>
      <c r="BX906" s="61"/>
      <c r="BY906" s="61"/>
      <c r="BZ906" s="61"/>
      <c r="CA906" s="61"/>
      <c r="CB906" s="61"/>
      <c r="CC906" s="61">
        <v>31203739</v>
      </c>
      <c r="CD906" s="61">
        <v>156018695</v>
      </c>
      <c r="CE906" s="61"/>
      <c r="CF906" s="61"/>
      <c r="CG906" s="61">
        <f t="shared" si="132"/>
        <v>456081393</v>
      </c>
      <c r="CH906" s="62">
        <f>VLOOKUP(B906,[1]RPTNCT049_ConsultaSaldosContabl!I$4:K$7987,3,0)</f>
        <v>218426173</v>
      </c>
      <c r="CI906" s="62">
        <f t="shared" si="133"/>
        <v>237655220</v>
      </c>
      <c r="CJ906" s="63">
        <f t="shared" si="134"/>
        <v>456081393</v>
      </c>
      <c r="CK906" s="64">
        <f t="shared" si="135"/>
        <v>0</v>
      </c>
      <c r="CL906" s="16"/>
      <c r="CM906" s="16"/>
      <c r="CN906" s="16"/>
    </row>
    <row r="907" spans="1:96" ht="15" customHeight="1" x14ac:dyDescent="0.2">
      <c r="A907" s="1">
        <v>8000991385</v>
      </c>
      <c r="B907" s="1">
        <v>800099138</v>
      </c>
      <c r="C907" s="9">
        <v>218352683</v>
      </c>
      <c r="D907" s="10" t="s">
        <v>739</v>
      </c>
      <c r="E907" s="45" t="s">
        <v>1761</v>
      </c>
      <c r="F907" s="21"/>
      <c r="G907" s="59"/>
      <c r="H907" s="21"/>
      <c r="I907" s="59"/>
      <c r="J907" s="21"/>
      <c r="K907" s="21"/>
      <c r="L907" s="59"/>
      <c r="M907" s="60"/>
      <c r="N907" s="21"/>
      <c r="O907" s="59"/>
      <c r="P907" s="21"/>
      <c r="Q907" s="59"/>
      <c r="R907" s="21"/>
      <c r="S907" s="21"/>
      <c r="T907" s="59"/>
      <c r="U907" s="60">
        <f t="shared" si="130"/>
        <v>0</v>
      </c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>
        <v>128697495</v>
      </c>
      <c r="AZ907" s="60"/>
      <c r="BA907" s="60">
        <f>VLOOKUP(B907,[2]Hoja3!J$3:K$674,2,0)</f>
        <v>177947386</v>
      </c>
      <c r="BB907" s="60"/>
      <c r="BC907" s="61">
        <f t="shared" si="131"/>
        <v>306644881</v>
      </c>
      <c r="BD907" s="60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>
        <v>25739499</v>
      </c>
      <c r="BO907" s="60"/>
      <c r="BP907" s="61">
        <v>332384380</v>
      </c>
      <c r="BQ907" s="61"/>
      <c r="BR907" s="61"/>
      <c r="BS907" s="61"/>
      <c r="BT907" s="61"/>
      <c r="BU907" s="61"/>
      <c r="BV907" s="61"/>
      <c r="BW907" s="61"/>
      <c r="BX907" s="61"/>
      <c r="BY907" s="61"/>
      <c r="BZ907" s="61"/>
      <c r="CA907" s="61"/>
      <c r="CB907" s="61"/>
      <c r="CC907" s="61">
        <v>25739499</v>
      </c>
      <c r="CD907" s="61"/>
      <c r="CE907" s="61"/>
      <c r="CF907" s="61"/>
      <c r="CG907" s="61">
        <f t="shared" si="132"/>
        <v>358123879</v>
      </c>
      <c r="CH907" s="62">
        <f>VLOOKUP(B907,[1]RPTNCT049_ConsultaSaldosContabl!I$4:K$7987,3,0)</f>
        <v>180176493</v>
      </c>
      <c r="CI907" s="62">
        <f t="shared" si="133"/>
        <v>177947386</v>
      </c>
      <c r="CJ907" s="63">
        <f t="shared" si="134"/>
        <v>358123879</v>
      </c>
      <c r="CK907" s="64">
        <f t="shared" si="135"/>
        <v>0</v>
      </c>
      <c r="CL907" s="16"/>
      <c r="CM907" s="16"/>
      <c r="CN907" s="16"/>
    </row>
    <row r="908" spans="1:96" ht="15" customHeight="1" x14ac:dyDescent="0.2">
      <c r="A908" s="1">
        <v>8917800560</v>
      </c>
      <c r="B908" s="1">
        <v>891780056</v>
      </c>
      <c r="C908" s="9">
        <v>210747707</v>
      </c>
      <c r="D908" s="10" t="s">
        <v>660</v>
      </c>
      <c r="E908" s="45" t="s">
        <v>1680</v>
      </c>
      <c r="F908" s="21"/>
      <c r="G908" s="59"/>
      <c r="H908" s="21"/>
      <c r="I908" s="59"/>
      <c r="J908" s="21"/>
      <c r="K908" s="21"/>
      <c r="L908" s="59"/>
      <c r="M908" s="60"/>
      <c r="N908" s="21"/>
      <c r="O908" s="59"/>
      <c r="P908" s="21"/>
      <c r="Q908" s="59"/>
      <c r="R908" s="21"/>
      <c r="S908" s="21"/>
      <c r="T908" s="59"/>
      <c r="U908" s="60">
        <f t="shared" si="130"/>
        <v>0</v>
      </c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>
        <v>295148675</v>
      </c>
      <c r="AZ908" s="60"/>
      <c r="BA908" s="60">
        <f>VLOOKUP(B908,[2]Hoja3!J$3:K$674,2,0)</f>
        <v>490419491</v>
      </c>
      <c r="BB908" s="60"/>
      <c r="BC908" s="61">
        <f t="shared" si="131"/>
        <v>785568166</v>
      </c>
      <c r="BD908" s="60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>
        <v>59029735</v>
      </c>
      <c r="BO908" s="60"/>
      <c r="BP908" s="61">
        <v>844597901</v>
      </c>
      <c r="BQ908" s="61"/>
      <c r="BR908" s="61"/>
      <c r="BS908" s="61"/>
      <c r="BT908" s="61"/>
      <c r="BU908" s="61"/>
      <c r="BV908" s="61"/>
      <c r="BW908" s="61"/>
      <c r="BX908" s="61"/>
      <c r="BY908" s="61"/>
      <c r="BZ908" s="61"/>
      <c r="CA908" s="61"/>
      <c r="CB908" s="61"/>
      <c r="CC908" s="61">
        <v>59029735</v>
      </c>
      <c r="CD908" s="61"/>
      <c r="CE908" s="61"/>
      <c r="CF908" s="61"/>
      <c r="CG908" s="61">
        <f t="shared" si="132"/>
        <v>903627636</v>
      </c>
      <c r="CH908" s="62">
        <f>VLOOKUP(B908,[1]RPTNCT049_ConsultaSaldosContabl!I$4:K$7987,3,0)</f>
        <v>413208145</v>
      </c>
      <c r="CI908" s="62">
        <f t="shared" si="133"/>
        <v>490419491</v>
      </c>
      <c r="CJ908" s="63">
        <f t="shared" si="134"/>
        <v>903627636</v>
      </c>
      <c r="CK908" s="64">
        <f t="shared" si="135"/>
        <v>0</v>
      </c>
      <c r="CL908" s="16"/>
      <c r="CM908" s="16"/>
      <c r="CN908" s="16"/>
    </row>
    <row r="909" spans="1:96" ht="15" customHeight="1" x14ac:dyDescent="0.2">
      <c r="A909" s="1">
        <v>8190037629</v>
      </c>
      <c r="B909" s="1">
        <v>819003762</v>
      </c>
      <c r="C909" s="9">
        <v>212047720</v>
      </c>
      <c r="D909" s="10" t="s">
        <v>661</v>
      </c>
      <c r="E909" s="45" t="s">
        <v>1681</v>
      </c>
      <c r="F909" s="21"/>
      <c r="G909" s="59"/>
      <c r="H909" s="21"/>
      <c r="I909" s="59"/>
      <c r="J909" s="21"/>
      <c r="K909" s="21"/>
      <c r="L909" s="59"/>
      <c r="M909" s="60"/>
      <c r="N909" s="21"/>
      <c r="O909" s="59"/>
      <c r="P909" s="21"/>
      <c r="Q909" s="59"/>
      <c r="R909" s="21"/>
      <c r="S909" s="21"/>
      <c r="T909" s="59"/>
      <c r="U909" s="60">
        <f t="shared" si="130"/>
        <v>0</v>
      </c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>
        <v>251052219</v>
      </c>
      <c r="AN909" s="60">
        <f>SUBTOTAL(9,AC909:AM909)</f>
        <v>251052219</v>
      </c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1">
        <f t="shared" si="131"/>
        <v>251052219</v>
      </c>
      <c r="BD909" s="60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>
        <v>0</v>
      </c>
      <c r="BO909" s="60"/>
      <c r="BP909" s="61">
        <v>251052219</v>
      </c>
      <c r="BQ909" s="61"/>
      <c r="BR909" s="61"/>
      <c r="BS909" s="61"/>
      <c r="BT909" s="61"/>
      <c r="BU909" s="61"/>
      <c r="BV909" s="61"/>
      <c r="BW909" s="61"/>
      <c r="BX909" s="61"/>
      <c r="BY909" s="61"/>
      <c r="BZ909" s="61"/>
      <c r="CA909" s="61"/>
      <c r="CB909" s="61"/>
      <c r="CC909" s="61">
        <v>251758241</v>
      </c>
      <c r="CD909" s="61"/>
      <c r="CE909" s="61"/>
      <c r="CF909" s="61"/>
      <c r="CG909" s="61">
        <f t="shared" si="132"/>
        <v>502810460</v>
      </c>
      <c r="CH909" s="62">
        <f>VLOOKUP(B909,[1]RPTNCT049_ConsultaSaldosContabl!I$4:K$7987,3,0)</f>
        <v>251758241</v>
      </c>
      <c r="CI909" s="62">
        <f t="shared" si="133"/>
        <v>251052219</v>
      </c>
      <c r="CJ909" s="63">
        <f t="shared" si="134"/>
        <v>502810460</v>
      </c>
      <c r="CK909" s="64">
        <f t="shared" si="135"/>
        <v>0</v>
      </c>
      <c r="CL909" s="16"/>
      <c r="CM909" s="16"/>
      <c r="CN909" s="16"/>
    </row>
    <row r="910" spans="1:96" ht="15" customHeight="1" x14ac:dyDescent="0.2">
      <c r="A910" s="1">
        <v>8909803441</v>
      </c>
      <c r="B910" s="1">
        <v>890980344</v>
      </c>
      <c r="C910" s="9">
        <v>217905679</v>
      </c>
      <c r="D910" s="10" t="s">
        <v>137</v>
      </c>
      <c r="E910" s="45" t="s">
        <v>1166</v>
      </c>
      <c r="F910" s="21"/>
      <c r="G910" s="59"/>
      <c r="H910" s="21"/>
      <c r="I910" s="59"/>
      <c r="J910" s="21"/>
      <c r="K910" s="21"/>
      <c r="L910" s="59"/>
      <c r="M910" s="60"/>
      <c r="N910" s="21"/>
      <c r="O910" s="59"/>
      <c r="P910" s="21"/>
      <c r="Q910" s="59"/>
      <c r="R910" s="21"/>
      <c r="S910" s="21"/>
      <c r="T910" s="59"/>
      <c r="U910" s="60">
        <f t="shared" si="130"/>
        <v>0</v>
      </c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>
        <v>308030083</v>
      </c>
      <c r="AN910" s="60">
        <f>SUBTOTAL(9,AC910:AM910)</f>
        <v>308030083</v>
      </c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1">
        <f t="shared" si="131"/>
        <v>308030083</v>
      </c>
      <c r="BD910" s="60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>
        <v>0</v>
      </c>
      <c r="BO910" s="60"/>
      <c r="BP910" s="61">
        <v>308030083</v>
      </c>
      <c r="BQ910" s="61"/>
      <c r="BR910" s="61"/>
      <c r="BS910" s="61"/>
      <c r="BT910" s="61"/>
      <c r="BU910" s="61"/>
      <c r="BV910" s="61"/>
      <c r="BW910" s="61"/>
      <c r="BX910" s="61"/>
      <c r="BY910" s="61"/>
      <c r="BZ910" s="61"/>
      <c r="CA910" s="61"/>
      <c r="CB910" s="61"/>
      <c r="CC910" s="61">
        <v>206277435</v>
      </c>
      <c r="CD910" s="61"/>
      <c r="CE910" s="61"/>
      <c r="CF910" s="61"/>
      <c r="CG910" s="61">
        <f t="shared" si="132"/>
        <v>514307518</v>
      </c>
      <c r="CH910" s="62">
        <f>VLOOKUP(B910,[1]RPTNCT049_ConsultaSaldosContabl!I$4:K$7987,3,0)</f>
        <v>206277435</v>
      </c>
      <c r="CI910" s="62">
        <f t="shared" si="133"/>
        <v>308030083</v>
      </c>
      <c r="CJ910" s="63">
        <f t="shared" si="134"/>
        <v>514307518</v>
      </c>
      <c r="CK910" s="64">
        <f t="shared" si="135"/>
        <v>0</v>
      </c>
      <c r="CL910" s="16"/>
      <c r="CM910" s="16"/>
      <c r="CN910" s="16"/>
    </row>
    <row r="911" spans="1:96" ht="15" customHeight="1" x14ac:dyDescent="0.2">
      <c r="A911" s="1">
        <v>8000991471</v>
      </c>
      <c r="B911" s="1">
        <v>800099147</v>
      </c>
      <c r="C911" s="9">
        <v>219652696</v>
      </c>
      <c r="D911" s="10" t="s">
        <v>744</v>
      </c>
      <c r="E911" s="45" t="s">
        <v>1764</v>
      </c>
      <c r="F911" s="21"/>
      <c r="G911" s="59"/>
      <c r="H911" s="21"/>
      <c r="I911" s="59"/>
      <c r="J911" s="21"/>
      <c r="K911" s="21"/>
      <c r="L911" s="59"/>
      <c r="M911" s="60"/>
      <c r="N911" s="21"/>
      <c r="O911" s="59"/>
      <c r="P911" s="21"/>
      <c r="Q911" s="59"/>
      <c r="R911" s="21"/>
      <c r="S911" s="21"/>
      <c r="T911" s="59"/>
      <c r="U911" s="60">
        <f t="shared" si="130"/>
        <v>0</v>
      </c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>
        <v>250875405</v>
      </c>
      <c r="AZ911" s="60"/>
      <c r="BA911" s="60">
        <f>VLOOKUP(B911,[2]Hoja3!J$3:K$674,2,0)</f>
        <v>241302020</v>
      </c>
      <c r="BB911" s="60"/>
      <c r="BC911" s="61">
        <f t="shared" si="131"/>
        <v>492177425</v>
      </c>
      <c r="BD911" s="60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>
        <v>50175081</v>
      </c>
      <c r="BO911" s="60"/>
      <c r="BP911" s="61">
        <v>542352506</v>
      </c>
      <c r="BQ911" s="61"/>
      <c r="BR911" s="61"/>
      <c r="BS911" s="61"/>
      <c r="BT911" s="61"/>
      <c r="BU911" s="61"/>
      <c r="BV911" s="61"/>
      <c r="BW911" s="61"/>
      <c r="BX911" s="61"/>
      <c r="BY911" s="61"/>
      <c r="BZ911" s="61"/>
      <c r="CA911" s="61"/>
      <c r="CB911" s="61"/>
      <c r="CC911" s="61">
        <v>50175081</v>
      </c>
      <c r="CD911" s="61"/>
      <c r="CE911" s="61"/>
      <c r="CF911" s="61"/>
      <c r="CG911" s="61">
        <f t="shared" si="132"/>
        <v>592527587</v>
      </c>
      <c r="CH911" s="62">
        <f>VLOOKUP(B911,[1]RPTNCT049_ConsultaSaldosContabl!I$4:K$7987,3,0)</f>
        <v>351225567</v>
      </c>
      <c r="CI911" s="62">
        <f t="shared" si="133"/>
        <v>241302020</v>
      </c>
      <c r="CJ911" s="63">
        <f t="shared" si="134"/>
        <v>592527587</v>
      </c>
      <c r="CK911" s="64">
        <f t="shared" si="135"/>
        <v>0</v>
      </c>
      <c r="CL911" s="16"/>
      <c r="CM911" s="8"/>
      <c r="CN911" s="8"/>
      <c r="CO911" s="8"/>
      <c r="CP911" s="8"/>
      <c r="CQ911" s="8"/>
      <c r="CR911" s="8"/>
    </row>
    <row r="912" spans="1:96" ht="15" customHeight="1" x14ac:dyDescent="0.2">
      <c r="A912" s="1">
        <v>8902059731</v>
      </c>
      <c r="B912" s="1">
        <v>890205973</v>
      </c>
      <c r="C912" s="9">
        <v>210568705</v>
      </c>
      <c r="D912" s="10" t="s">
        <v>878</v>
      </c>
      <c r="E912" s="45" t="s">
        <v>1891</v>
      </c>
      <c r="F912" s="21"/>
      <c r="G912" s="59"/>
      <c r="H912" s="21"/>
      <c r="I912" s="59"/>
      <c r="J912" s="21"/>
      <c r="K912" s="21"/>
      <c r="L912" s="59"/>
      <c r="M912" s="60"/>
      <c r="N912" s="21"/>
      <c r="O912" s="59"/>
      <c r="P912" s="21"/>
      <c r="Q912" s="59"/>
      <c r="R912" s="21"/>
      <c r="S912" s="21"/>
      <c r="T912" s="59"/>
      <c r="U912" s="60">
        <f t="shared" si="130"/>
        <v>0</v>
      </c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>
        <v>14703820</v>
      </c>
      <c r="AZ912" s="60"/>
      <c r="BA912" s="60">
        <f>VLOOKUP(B912,[2]Hoja3!J$3:K$674,2,0)</f>
        <v>33029784</v>
      </c>
      <c r="BB912" s="60"/>
      <c r="BC912" s="61">
        <f t="shared" si="131"/>
        <v>47733604</v>
      </c>
      <c r="BD912" s="60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>
        <v>2940764</v>
      </c>
      <c r="BO912" s="60"/>
      <c r="BP912" s="61">
        <v>50674368</v>
      </c>
      <c r="BQ912" s="61"/>
      <c r="BR912" s="61"/>
      <c r="BS912" s="61"/>
      <c r="BT912" s="61"/>
      <c r="BU912" s="61"/>
      <c r="BV912" s="61"/>
      <c r="BW912" s="61"/>
      <c r="BX912" s="61"/>
      <c r="BY912" s="61"/>
      <c r="BZ912" s="61"/>
      <c r="CA912" s="61"/>
      <c r="CB912" s="61"/>
      <c r="CC912" s="61">
        <v>2940764</v>
      </c>
      <c r="CD912" s="61"/>
      <c r="CE912" s="61"/>
      <c r="CF912" s="61"/>
      <c r="CG912" s="61">
        <f t="shared" si="132"/>
        <v>53615132</v>
      </c>
      <c r="CH912" s="62">
        <f>VLOOKUP(B912,[1]RPTNCT049_ConsultaSaldosContabl!I$4:K$7987,3,0)</f>
        <v>20585348</v>
      </c>
      <c r="CI912" s="62">
        <f t="shared" si="133"/>
        <v>33029784</v>
      </c>
      <c r="CJ912" s="63">
        <f t="shared" si="134"/>
        <v>53615132</v>
      </c>
      <c r="CK912" s="64">
        <f t="shared" si="135"/>
        <v>0</v>
      </c>
      <c r="CL912" s="16"/>
      <c r="CM912" s="8"/>
      <c r="CN912" s="8"/>
      <c r="CO912" s="8"/>
      <c r="CP912" s="8"/>
      <c r="CQ912" s="8"/>
      <c r="CR912" s="8"/>
    </row>
    <row r="913" spans="1:96" ht="15" customHeight="1" x14ac:dyDescent="0.2">
      <c r="A913" s="1">
        <v>8904800695</v>
      </c>
      <c r="B913" s="1">
        <v>890480069</v>
      </c>
      <c r="C913" s="9">
        <v>217313673</v>
      </c>
      <c r="D913" s="10" t="s">
        <v>207</v>
      </c>
      <c r="E913" s="45" t="s">
        <v>1241</v>
      </c>
      <c r="F913" s="21"/>
      <c r="G913" s="59"/>
      <c r="H913" s="21"/>
      <c r="I913" s="59"/>
      <c r="J913" s="21"/>
      <c r="K913" s="21"/>
      <c r="L913" s="59"/>
      <c r="M913" s="60"/>
      <c r="N913" s="21"/>
      <c r="O913" s="59"/>
      <c r="P913" s="21"/>
      <c r="Q913" s="59"/>
      <c r="R913" s="21"/>
      <c r="S913" s="21"/>
      <c r="T913" s="59"/>
      <c r="U913" s="60">
        <f t="shared" si="130"/>
        <v>0</v>
      </c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>
        <v>120105490</v>
      </c>
      <c r="AZ913" s="60"/>
      <c r="BA913" s="60">
        <f>VLOOKUP(B913,[2]Hoja3!J$3:K$674,2,0)</f>
        <v>256754497</v>
      </c>
      <c r="BB913" s="60"/>
      <c r="BC913" s="61">
        <f t="shared" si="131"/>
        <v>376859987</v>
      </c>
      <c r="BD913" s="60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>
        <v>24021098</v>
      </c>
      <c r="BO913" s="60"/>
      <c r="BP913" s="61">
        <v>400881085</v>
      </c>
      <c r="BQ913" s="61"/>
      <c r="BR913" s="61"/>
      <c r="BS913" s="61"/>
      <c r="BT913" s="61"/>
      <c r="BU913" s="61"/>
      <c r="BV913" s="61"/>
      <c r="BW913" s="61"/>
      <c r="BX913" s="61"/>
      <c r="BY913" s="61"/>
      <c r="BZ913" s="61"/>
      <c r="CA913" s="61"/>
      <c r="CB913" s="61"/>
      <c r="CC913" s="61">
        <v>24021098</v>
      </c>
      <c r="CD913" s="61"/>
      <c r="CE913" s="61"/>
      <c r="CF913" s="61"/>
      <c r="CG913" s="61">
        <f t="shared" si="132"/>
        <v>424902183</v>
      </c>
      <c r="CH913" s="62">
        <f>VLOOKUP(B913,[1]RPTNCT049_ConsultaSaldosContabl!I$4:K$7987,3,0)</f>
        <v>168147686</v>
      </c>
      <c r="CI913" s="62">
        <f t="shared" si="133"/>
        <v>256754497</v>
      </c>
      <c r="CJ913" s="63">
        <f t="shared" si="134"/>
        <v>424902183</v>
      </c>
      <c r="CK913" s="64">
        <f t="shared" si="135"/>
        <v>0</v>
      </c>
      <c r="CL913" s="16"/>
      <c r="CM913" s="8"/>
      <c r="CN913" s="8"/>
      <c r="CO913" s="8"/>
      <c r="CP913" s="8"/>
      <c r="CQ913" s="8"/>
      <c r="CR913" s="8"/>
    </row>
    <row r="914" spans="1:96" ht="15" customHeight="1" x14ac:dyDescent="0.2">
      <c r="A914" s="1">
        <v>8000998329</v>
      </c>
      <c r="B914" s="1">
        <v>800099832</v>
      </c>
      <c r="C914" s="9">
        <v>212068720</v>
      </c>
      <c r="D914" s="10" t="s">
        <v>879</v>
      </c>
      <c r="E914" s="45" t="s">
        <v>1892</v>
      </c>
      <c r="F914" s="21"/>
      <c r="G914" s="59"/>
      <c r="H914" s="21"/>
      <c r="I914" s="59"/>
      <c r="J914" s="21"/>
      <c r="K914" s="21"/>
      <c r="L914" s="59"/>
      <c r="M914" s="60"/>
      <c r="N914" s="21"/>
      <c r="O914" s="59"/>
      <c r="P914" s="21"/>
      <c r="Q914" s="59"/>
      <c r="R914" s="21"/>
      <c r="S914" s="21"/>
      <c r="T914" s="59"/>
      <c r="U914" s="60">
        <f t="shared" si="130"/>
        <v>0</v>
      </c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>
        <v>32410972</v>
      </c>
      <c r="AN914" s="60">
        <f>SUBTOTAL(9,AC914:AM914)</f>
        <v>32410972</v>
      </c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>
        <v>30780420</v>
      </c>
      <c r="AZ914" s="60"/>
      <c r="BA914" s="60">
        <f>VLOOKUP(B914,[2]Hoja3!J$3:K$674,2,0)</f>
        <v>26437089</v>
      </c>
      <c r="BB914" s="60"/>
      <c r="BC914" s="61">
        <f t="shared" si="131"/>
        <v>89628481</v>
      </c>
      <c r="BD914" s="60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>
        <v>6156084</v>
      </c>
      <c r="BO914" s="60"/>
      <c r="BP914" s="61">
        <v>95784565</v>
      </c>
      <c r="BQ914" s="61"/>
      <c r="BR914" s="61"/>
      <c r="BS914" s="61"/>
      <c r="BT914" s="61"/>
      <c r="BU914" s="61"/>
      <c r="BV914" s="61"/>
      <c r="BW914" s="61"/>
      <c r="BX914" s="61"/>
      <c r="BY914" s="61"/>
      <c r="BZ914" s="61"/>
      <c r="CA914" s="61"/>
      <c r="CB914" s="61"/>
      <c r="CC914" s="61">
        <v>6156084</v>
      </c>
      <c r="CD914" s="61"/>
      <c r="CE914" s="61"/>
      <c r="CF914" s="61"/>
      <c r="CG914" s="61">
        <f t="shared" si="132"/>
        <v>101940649</v>
      </c>
      <c r="CH914" s="62">
        <f>VLOOKUP(B914,[1]RPTNCT049_ConsultaSaldosContabl!I$4:K$7987,3,0)</f>
        <v>43092588</v>
      </c>
      <c r="CI914" s="62">
        <f t="shared" si="133"/>
        <v>58848061</v>
      </c>
      <c r="CJ914" s="63">
        <f t="shared" si="134"/>
        <v>101940649</v>
      </c>
      <c r="CK914" s="64">
        <f t="shared" si="135"/>
        <v>0</v>
      </c>
      <c r="CL914" s="16"/>
      <c r="CM914" s="16"/>
      <c r="CN914" s="16"/>
    </row>
    <row r="915" spans="1:96" ht="15" customHeight="1" x14ac:dyDescent="0.2">
      <c r="A915" s="1">
        <v>8900720441</v>
      </c>
      <c r="B915" s="1">
        <v>890072044</v>
      </c>
      <c r="C915" s="9">
        <v>218673686</v>
      </c>
      <c r="D915" s="10" t="s">
        <v>2239</v>
      </c>
      <c r="E915" s="45" t="s">
        <v>1967</v>
      </c>
      <c r="F915" s="21"/>
      <c r="G915" s="59"/>
      <c r="H915" s="21"/>
      <c r="I915" s="59"/>
      <c r="J915" s="21"/>
      <c r="K915" s="21"/>
      <c r="L915" s="59"/>
      <c r="M915" s="60"/>
      <c r="N915" s="21"/>
      <c r="O915" s="59"/>
      <c r="P915" s="21"/>
      <c r="Q915" s="59"/>
      <c r="R915" s="21"/>
      <c r="S915" s="21"/>
      <c r="T915" s="59"/>
      <c r="U915" s="60">
        <f t="shared" si="130"/>
        <v>0</v>
      </c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>
        <v>52195685</v>
      </c>
      <c r="AZ915" s="60"/>
      <c r="BA915" s="60">
        <f>VLOOKUP(B915,[2]Hoja3!J$3:K$674,2,0)</f>
        <v>109728709</v>
      </c>
      <c r="BB915" s="60"/>
      <c r="BC915" s="61">
        <f t="shared" si="131"/>
        <v>161924394</v>
      </c>
      <c r="BD915" s="60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>
        <v>10439137</v>
      </c>
      <c r="BO915" s="60"/>
      <c r="BP915" s="61">
        <v>172363531</v>
      </c>
      <c r="BQ915" s="61"/>
      <c r="BR915" s="61"/>
      <c r="BS915" s="61"/>
      <c r="BT915" s="61"/>
      <c r="BU915" s="61"/>
      <c r="BV915" s="61"/>
      <c r="BW915" s="61"/>
      <c r="BX915" s="61"/>
      <c r="BY915" s="61"/>
      <c r="BZ915" s="61"/>
      <c r="CA915" s="61"/>
      <c r="CB915" s="61"/>
      <c r="CC915" s="61">
        <v>10439137</v>
      </c>
      <c r="CD915" s="61"/>
      <c r="CE915" s="61"/>
      <c r="CF915" s="61"/>
      <c r="CG915" s="61">
        <f t="shared" si="132"/>
        <v>182802668</v>
      </c>
      <c r="CH915" s="62">
        <f>VLOOKUP(B915,[1]RPTNCT049_ConsultaSaldosContabl!I$4:K$7987,3,0)</f>
        <v>73073959</v>
      </c>
      <c r="CI915" s="62">
        <f t="shared" si="133"/>
        <v>109728709</v>
      </c>
      <c r="CJ915" s="63">
        <f t="shared" si="134"/>
        <v>182802668</v>
      </c>
      <c r="CK915" s="64">
        <f t="shared" si="135"/>
        <v>0</v>
      </c>
      <c r="CL915" s="16"/>
      <c r="CM915" s="16"/>
      <c r="CN915" s="16"/>
    </row>
    <row r="916" spans="1:96" ht="15" customHeight="1" x14ac:dyDescent="0.2">
      <c r="A916" s="1">
        <v>8000192541</v>
      </c>
      <c r="B916" s="1">
        <v>800019254</v>
      </c>
      <c r="C916" s="9">
        <v>217508675</v>
      </c>
      <c r="D916" s="10" t="s">
        <v>176</v>
      </c>
      <c r="E916" s="45" t="s">
        <v>1205</v>
      </c>
      <c r="F916" s="21"/>
      <c r="G916" s="59"/>
      <c r="H916" s="21"/>
      <c r="I916" s="59"/>
      <c r="J916" s="21"/>
      <c r="K916" s="21"/>
      <c r="L916" s="59"/>
      <c r="M916" s="60"/>
      <c r="N916" s="21"/>
      <c r="O916" s="59"/>
      <c r="P916" s="21"/>
      <c r="Q916" s="59"/>
      <c r="R916" s="21"/>
      <c r="S916" s="21"/>
      <c r="T916" s="59"/>
      <c r="U916" s="60">
        <f t="shared" si="130"/>
        <v>0</v>
      </c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>
        <v>187275648</v>
      </c>
      <c r="AN916" s="60">
        <f>SUBTOTAL(9,AC916:AM916)</f>
        <v>187275648</v>
      </c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>
        <v>118763035</v>
      </c>
      <c r="AZ916" s="60"/>
      <c r="BA916" s="60">
        <f>VLOOKUP(B916,[2]Hoja3!J$3:K$674,2,0)</f>
        <v>40134952</v>
      </c>
      <c r="BB916" s="60"/>
      <c r="BC916" s="61">
        <f t="shared" si="131"/>
        <v>346173635</v>
      </c>
      <c r="BD916" s="60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>
        <v>23752607</v>
      </c>
      <c r="BO916" s="60"/>
      <c r="BP916" s="61">
        <v>369926242</v>
      </c>
      <c r="BQ916" s="61"/>
      <c r="BR916" s="61"/>
      <c r="BS916" s="61"/>
      <c r="BT916" s="61"/>
      <c r="BU916" s="61"/>
      <c r="BV916" s="61"/>
      <c r="BW916" s="61"/>
      <c r="BX916" s="61"/>
      <c r="BY916" s="61"/>
      <c r="BZ916" s="61"/>
      <c r="CA916" s="61"/>
      <c r="CB916" s="61"/>
      <c r="CC916" s="61">
        <v>23752607</v>
      </c>
      <c r="CD916" s="61"/>
      <c r="CE916" s="61"/>
      <c r="CF916" s="61"/>
      <c r="CG916" s="61">
        <f t="shared" si="132"/>
        <v>393678849</v>
      </c>
      <c r="CH916" s="62">
        <f>VLOOKUP(B916,[1]RPTNCT049_ConsultaSaldosContabl!I$4:K$7987,3,0)</f>
        <v>166268249</v>
      </c>
      <c r="CI916" s="62">
        <f t="shared" si="133"/>
        <v>227410600</v>
      </c>
      <c r="CJ916" s="63">
        <f t="shared" si="134"/>
        <v>393678849</v>
      </c>
      <c r="CK916" s="64">
        <f t="shared" si="135"/>
        <v>0</v>
      </c>
      <c r="CL916" s="16"/>
      <c r="CM916" s="16"/>
      <c r="CN916" s="16"/>
    </row>
    <row r="917" spans="1:96" ht="15" customHeight="1" x14ac:dyDescent="0.2">
      <c r="A917" s="1">
        <v>8000293866</v>
      </c>
      <c r="B917" s="1">
        <v>800029386</v>
      </c>
      <c r="C917" s="9">
        <v>219015690</v>
      </c>
      <c r="D917" s="10" t="s">
        <v>303</v>
      </c>
      <c r="E917" s="45" t="s">
        <v>1334</v>
      </c>
      <c r="F917" s="21"/>
      <c r="G917" s="59"/>
      <c r="H917" s="21"/>
      <c r="I917" s="59"/>
      <c r="J917" s="21"/>
      <c r="K917" s="21"/>
      <c r="L917" s="59"/>
      <c r="M917" s="60"/>
      <c r="N917" s="21"/>
      <c r="O917" s="59"/>
      <c r="P917" s="21"/>
      <c r="Q917" s="59"/>
      <c r="R917" s="21"/>
      <c r="S917" s="21"/>
      <c r="T917" s="59"/>
      <c r="U917" s="60">
        <f t="shared" si="130"/>
        <v>0</v>
      </c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>
        <v>49485917</v>
      </c>
      <c r="AN917" s="60">
        <f>SUBTOTAL(9,AC917:AM917)</f>
        <v>49485917</v>
      </c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1">
        <f t="shared" si="131"/>
        <v>49485917</v>
      </c>
      <c r="BD917" s="60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>
        <v>0</v>
      </c>
      <c r="BO917" s="60"/>
      <c r="BP917" s="61">
        <v>49485917</v>
      </c>
      <c r="BQ917" s="61"/>
      <c r="BR917" s="61"/>
      <c r="BS917" s="61"/>
      <c r="BT917" s="61"/>
      <c r="BU917" s="61"/>
      <c r="BV917" s="61"/>
      <c r="BW917" s="61"/>
      <c r="BX917" s="61"/>
      <c r="BY917" s="61"/>
      <c r="BZ917" s="61"/>
      <c r="CA917" s="61"/>
      <c r="CB917" s="61"/>
      <c r="CC917" s="61">
        <v>44265438</v>
      </c>
      <c r="CD917" s="61"/>
      <c r="CE917" s="61"/>
      <c r="CF917" s="61"/>
      <c r="CG917" s="61">
        <f t="shared" si="132"/>
        <v>93751355</v>
      </c>
      <c r="CH917" s="62">
        <f>VLOOKUP(B917,[1]RPTNCT049_ConsultaSaldosContabl!I$4:K$7987,3,0)</f>
        <v>44265438</v>
      </c>
      <c r="CI917" s="62">
        <f t="shared" si="133"/>
        <v>49485917</v>
      </c>
      <c r="CJ917" s="63">
        <f t="shared" si="134"/>
        <v>93751355</v>
      </c>
      <c r="CK917" s="64">
        <f t="shared" si="135"/>
        <v>0</v>
      </c>
      <c r="CL917" s="16"/>
      <c r="CM917" s="8"/>
      <c r="CN917" s="8"/>
      <c r="CO917" s="8"/>
      <c r="CP917" s="8"/>
      <c r="CQ917" s="8"/>
      <c r="CR917" s="8"/>
    </row>
    <row r="918" spans="1:96" ht="15" customHeight="1" x14ac:dyDescent="0.2">
      <c r="A918" s="1">
        <v>8911800763</v>
      </c>
      <c r="B918" s="1">
        <v>891180076</v>
      </c>
      <c r="C918" s="9">
        <v>217641676</v>
      </c>
      <c r="D918" s="10" t="s">
        <v>620</v>
      </c>
      <c r="E918" s="45" t="s">
        <v>1639</v>
      </c>
      <c r="F918" s="21"/>
      <c r="G918" s="59"/>
      <c r="H918" s="21"/>
      <c r="I918" s="59"/>
      <c r="J918" s="21"/>
      <c r="K918" s="21"/>
      <c r="L918" s="59"/>
      <c r="M918" s="60"/>
      <c r="N918" s="21"/>
      <c r="O918" s="59"/>
      <c r="P918" s="21"/>
      <c r="Q918" s="59"/>
      <c r="R918" s="21"/>
      <c r="S918" s="21"/>
      <c r="T918" s="59"/>
      <c r="U918" s="60">
        <f t="shared" si="130"/>
        <v>0</v>
      </c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>
        <v>77672630</v>
      </c>
      <c r="AZ918" s="60"/>
      <c r="BA918" s="60">
        <f>VLOOKUP(B918,[2]Hoja3!J$3:K$674,2,0)</f>
        <v>174495129</v>
      </c>
      <c r="BB918" s="60"/>
      <c r="BC918" s="61">
        <f t="shared" si="131"/>
        <v>252167759</v>
      </c>
      <c r="BD918" s="60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>
        <v>15534526</v>
      </c>
      <c r="BO918" s="60"/>
      <c r="BP918" s="61">
        <v>267702285</v>
      </c>
      <c r="BQ918" s="61"/>
      <c r="BR918" s="61"/>
      <c r="BS918" s="61"/>
      <c r="BT918" s="61"/>
      <c r="BU918" s="61"/>
      <c r="BV918" s="61"/>
      <c r="BW918" s="61"/>
      <c r="BX918" s="61"/>
      <c r="BY918" s="61"/>
      <c r="BZ918" s="61"/>
      <c r="CA918" s="61"/>
      <c r="CB918" s="61"/>
      <c r="CC918" s="61">
        <v>15534526</v>
      </c>
      <c r="CD918" s="61"/>
      <c r="CE918" s="61"/>
      <c r="CF918" s="61"/>
      <c r="CG918" s="61">
        <f t="shared" si="132"/>
        <v>283236811</v>
      </c>
      <c r="CH918" s="62">
        <f>VLOOKUP(B918,[1]RPTNCT049_ConsultaSaldosContabl!I$4:K$7987,3,0)</f>
        <v>108741682</v>
      </c>
      <c r="CI918" s="62">
        <f t="shared" si="133"/>
        <v>174495129</v>
      </c>
      <c r="CJ918" s="63">
        <f t="shared" si="134"/>
        <v>283236811</v>
      </c>
      <c r="CK918" s="64">
        <f t="shared" si="135"/>
        <v>0</v>
      </c>
      <c r="CL918" s="16"/>
      <c r="CM918" s="16"/>
      <c r="CN918" s="16"/>
    </row>
    <row r="919" spans="1:96" ht="15" customHeight="1" x14ac:dyDescent="0.2">
      <c r="A919" s="1">
        <v>8914800334</v>
      </c>
      <c r="B919" s="1">
        <v>891480033</v>
      </c>
      <c r="C919" s="9">
        <v>218266682</v>
      </c>
      <c r="D919" s="10" t="s">
        <v>810</v>
      </c>
      <c r="E919" s="45" t="s">
        <v>1827</v>
      </c>
      <c r="F919" s="21"/>
      <c r="G919" s="59"/>
      <c r="H919" s="21"/>
      <c r="I919" s="59"/>
      <c r="J919" s="21"/>
      <c r="K919" s="21"/>
      <c r="L919" s="59"/>
      <c r="M919" s="60"/>
      <c r="N919" s="21"/>
      <c r="O919" s="59"/>
      <c r="P919" s="21"/>
      <c r="Q919" s="59"/>
      <c r="R919" s="21"/>
      <c r="S919" s="21"/>
      <c r="T919" s="59"/>
      <c r="U919" s="60">
        <f t="shared" si="130"/>
        <v>0</v>
      </c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>
        <v>639661229</v>
      </c>
      <c r="AN919" s="60">
        <f>SUBTOTAL(9,AC919:AM919)</f>
        <v>639661229</v>
      </c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>
        <v>431295360</v>
      </c>
      <c r="AZ919" s="60"/>
      <c r="BA919" s="60">
        <f>VLOOKUP(B919,[2]Hoja3!J$3:K$674,2,0)</f>
        <v>222339069</v>
      </c>
      <c r="BB919" s="60"/>
      <c r="BC919" s="61">
        <f t="shared" si="131"/>
        <v>1293295658</v>
      </c>
      <c r="BD919" s="60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>
        <v>86259072</v>
      </c>
      <c r="BO919" s="60"/>
      <c r="BP919" s="61">
        <v>1379554730</v>
      </c>
      <c r="BQ919" s="61"/>
      <c r="BR919" s="61"/>
      <c r="BS919" s="61"/>
      <c r="BT919" s="61"/>
      <c r="BU919" s="61"/>
      <c r="BV919" s="61"/>
      <c r="BW919" s="61"/>
      <c r="BX919" s="61"/>
      <c r="BY919" s="61"/>
      <c r="BZ919" s="61"/>
      <c r="CA919" s="61"/>
      <c r="CB919" s="61"/>
      <c r="CC919" s="61">
        <v>86259072</v>
      </c>
      <c r="CD919" s="61"/>
      <c r="CE919" s="61"/>
      <c r="CF919" s="61"/>
      <c r="CG919" s="61">
        <f t="shared" si="132"/>
        <v>1465813802</v>
      </c>
      <c r="CH919" s="62">
        <f>VLOOKUP(B919,[1]RPTNCT049_ConsultaSaldosContabl!I$4:K$7987,3,0)</f>
        <v>603813504</v>
      </c>
      <c r="CI919" s="62">
        <f t="shared" si="133"/>
        <v>862000298</v>
      </c>
      <c r="CJ919" s="63">
        <f t="shared" si="134"/>
        <v>1465813802</v>
      </c>
      <c r="CK919" s="64">
        <f t="shared" si="135"/>
        <v>0</v>
      </c>
      <c r="CL919" s="16"/>
      <c r="CM919" s="16"/>
      <c r="CN919" s="16"/>
    </row>
    <row r="920" spans="1:96" ht="15" customHeight="1" x14ac:dyDescent="0.2">
      <c r="A920" s="1">
        <v>8909815546</v>
      </c>
      <c r="B920" s="1">
        <v>890981554</v>
      </c>
      <c r="C920" s="9">
        <v>218605686</v>
      </c>
      <c r="D920" s="10" t="s">
        <v>138</v>
      </c>
      <c r="E920" s="45" t="s">
        <v>1167</v>
      </c>
      <c r="F920" s="21"/>
      <c r="G920" s="59"/>
      <c r="H920" s="21"/>
      <c r="I920" s="59"/>
      <c r="J920" s="21"/>
      <c r="K920" s="21"/>
      <c r="L920" s="59"/>
      <c r="M920" s="60"/>
      <c r="N920" s="21"/>
      <c r="O920" s="59"/>
      <c r="P920" s="21"/>
      <c r="Q920" s="59"/>
      <c r="R920" s="21"/>
      <c r="S920" s="21"/>
      <c r="T920" s="59"/>
      <c r="U920" s="60">
        <f t="shared" si="130"/>
        <v>0</v>
      </c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>
        <v>500064114</v>
      </c>
      <c r="AN920" s="60">
        <f>SUBTOTAL(9,AC920:AM920)</f>
        <v>500064114</v>
      </c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>
        <v>199668850</v>
      </c>
      <c r="AZ920" s="60"/>
      <c r="BA920" s="60"/>
      <c r="BB920" s="60"/>
      <c r="BC920" s="61">
        <f t="shared" si="131"/>
        <v>699732964</v>
      </c>
      <c r="BD920" s="60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>
        <v>39933770</v>
      </c>
      <c r="BO920" s="60"/>
      <c r="BP920" s="61">
        <v>739666734</v>
      </c>
      <c r="BQ920" s="61"/>
      <c r="BR920" s="61"/>
      <c r="BS920" s="61"/>
      <c r="BT920" s="61"/>
      <c r="BU920" s="61"/>
      <c r="BV920" s="61"/>
      <c r="BW920" s="61"/>
      <c r="BX920" s="61"/>
      <c r="BY920" s="61"/>
      <c r="BZ920" s="61"/>
      <c r="CA920" s="61"/>
      <c r="CB920" s="61"/>
      <c r="CC920" s="61">
        <v>39933770</v>
      </c>
      <c r="CD920" s="61"/>
      <c r="CE920" s="61"/>
      <c r="CF920" s="61"/>
      <c r="CG920" s="61">
        <f t="shared" si="132"/>
        <v>779600504</v>
      </c>
      <c r="CH920" s="62">
        <f>VLOOKUP(B920,[1]RPTNCT049_ConsultaSaldosContabl!I$4:K$7987,3,0)</f>
        <v>279536390</v>
      </c>
      <c r="CI920" s="62">
        <f t="shared" si="133"/>
        <v>500064114</v>
      </c>
      <c r="CJ920" s="63">
        <f t="shared" si="134"/>
        <v>779600504</v>
      </c>
      <c r="CK920" s="64">
        <f t="shared" si="135"/>
        <v>0</v>
      </c>
      <c r="CL920" s="16"/>
      <c r="CM920" s="16"/>
      <c r="CN920" s="16"/>
    </row>
    <row r="921" spans="1:96" ht="15" customHeight="1" x14ac:dyDescent="0.2">
      <c r="A921" s="1">
        <v>8000392133</v>
      </c>
      <c r="B921" s="1">
        <v>800039213</v>
      </c>
      <c r="C921" s="9">
        <v>219315693</v>
      </c>
      <c r="D921" s="10" t="s">
        <v>2174</v>
      </c>
      <c r="E921" s="45" t="s">
        <v>1335</v>
      </c>
      <c r="F921" s="21"/>
      <c r="G921" s="59"/>
      <c r="H921" s="21"/>
      <c r="I921" s="59"/>
      <c r="J921" s="21"/>
      <c r="K921" s="21"/>
      <c r="L921" s="59"/>
      <c r="M921" s="60"/>
      <c r="N921" s="21"/>
      <c r="O921" s="59"/>
      <c r="P921" s="21"/>
      <c r="Q921" s="59"/>
      <c r="R921" s="21"/>
      <c r="S921" s="21"/>
      <c r="T921" s="59"/>
      <c r="U921" s="60">
        <f t="shared" si="130"/>
        <v>0</v>
      </c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>
        <v>93165100</v>
      </c>
      <c r="AN921" s="60">
        <f>SUBTOTAL(9,AC921:AM921)</f>
        <v>93165100</v>
      </c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>
        <v>66759640</v>
      </c>
      <c r="AZ921" s="60"/>
      <c r="BA921" s="60">
        <f>VLOOKUP(B921,[2]Hoja3!J$3:K$674,2,0)</f>
        <v>48960403</v>
      </c>
      <c r="BB921" s="60"/>
      <c r="BC921" s="61">
        <f t="shared" si="131"/>
        <v>208885143</v>
      </c>
      <c r="BD921" s="60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>
        <v>13351928</v>
      </c>
      <c r="BO921" s="60"/>
      <c r="BP921" s="61">
        <v>222237071</v>
      </c>
      <c r="BQ921" s="61"/>
      <c r="BR921" s="61"/>
      <c r="BS921" s="61"/>
      <c r="BT921" s="61"/>
      <c r="BU921" s="61"/>
      <c r="BV921" s="61"/>
      <c r="BW921" s="61"/>
      <c r="BX921" s="61"/>
      <c r="BY921" s="61"/>
      <c r="BZ921" s="61"/>
      <c r="CA921" s="61"/>
      <c r="CB921" s="61"/>
      <c r="CC921" s="61">
        <v>13351928</v>
      </c>
      <c r="CD921" s="61"/>
      <c r="CE921" s="61"/>
      <c r="CF921" s="61"/>
      <c r="CG921" s="61">
        <f t="shared" si="132"/>
        <v>235588999</v>
      </c>
      <c r="CH921" s="62">
        <f>VLOOKUP(B921,[1]RPTNCT049_ConsultaSaldosContabl!I$4:K$7987,3,0)</f>
        <v>93463496</v>
      </c>
      <c r="CI921" s="62">
        <f t="shared" si="133"/>
        <v>142125503</v>
      </c>
      <c r="CJ921" s="63">
        <f t="shared" si="134"/>
        <v>235588999</v>
      </c>
      <c r="CK921" s="64">
        <f t="shared" si="135"/>
        <v>0</v>
      </c>
      <c r="CL921" s="16"/>
      <c r="CM921" s="8"/>
      <c r="CN921" s="8"/>
      <c r="CO921" s="8"/>
      <c r="CP921" s="8"/>
      <c r="CQ921" s="8"/>
      <c r="CR921" s="8"/>
    </row>
    <row r="922" spans="1:96" ht="15" customHeight="1" x14ac:dyDescent="0.2">
      <c r="A922" s="1">
        <v>8000490179</v>
      </c>
      <c r="B922" s="1">
        <v>800049017</v>
      </c>
      <c r="C922" s="9">
        <v>218813688</v>
      </c>
      <c r="D922" s="10" t="s">
        <v>2158</v>
      </c>
      <c r="E922" s="45" t="s">
        <v>1243</v>
      </c>
      <c r="F922" s="21"/>
      <c r="G922" s="59"/>
      <c r="H922" s="21"/>
      <c r="I922" s="59"/>
      <c r="J922" s="21"/>
      <c r="K922" s="21"/>
      <c r="L922" s="59"/>
      <c r="M922" s="60"/>
      <c r="N922" s="21"/>
      <c r="O922" s="59"/>
      <c r="P922" s="21"/>
      <c r="Q922" s="59"/>
      <c r="R922" s="21"/>
      <c r="S922" s="21"/>
      <c r="T922" s="59"/>
      <c r="U922" s="60">
        <f t="shared" si="130"/>
        <v>0</v>
      </c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>
        <v>327441885</v>
      </c>
      <c r="AZ922" s="60"/>
      <c r="BA922" s="60">
        <f>VLOOKUP(B922,[2]Hoja3!J$3:K$674,2,0)</f>
        <v>421673913</v>
      </c>
      <c r="BB922" s="60"/>
      <c r="BC922" s="61">
        <f t="shared" si="131"/>
        <v>749115798</v>
      </c>
      <c r="BD922" s="60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>
        <v>65488377</v>
      </c>
      <c r="BO922" s="60"/>
      <c r="BP922" s="61">
        <v>814604175</v>
      </c>
      <c r="BQ922" s="61"/>
      <c r="BR922" s="61"/>
      <c r="BS922" s="61"/>
      <c r="BT922" s="61"/>
      <c r="BU922" s="61"/>
      <c r="BV922" s="61"/>
      <c r="BW922" s="61"/>
      <c r="BX922" s="61"/>
      <c r="BY922" s="61"/>
      <c r="BZ922" s="61"/>
      <c r="CA922" s="61"/>
      <c r="CB922" s="61"/>
      <c r="CC922" s="61">
        <v>65488377</v>
      </c>
      <c r="CD922" s="61"/>
      <c r="CE922" s="61">
        <v>184713058</v>
      </c>
      <c r="CF922" s="61"/>
      <c r="CG922" s="61">
        <f t="shared" si="132"/>
        <v>1064805610</v>
      </c>
      <c r="CH922" s="62">
        <f>VLOOKUP(B922,[1]RPTNCT049_ConsultaSaldosContabl!I$4:K$7987,3,0)</f>
        <v>458418639</v>
      </c>
      <c r="CI922" s="62">
        <f t="shared" si="133"/>
        <v>606386971</v>
      </c>
      <c r="CJ922" s="63">
        <f t="shared" si="134"/>
        <v>1064805610</v>
      </c>
      <c r="CK922" s="64">
        <f t="shared" si="135"/>
        <v>0</v>
      </c>
      <c r="CL922" s="16"/>
      <c r="CM922" s="8"/>
      <c r="CN922" s="8"/>
      <c r="CO922" s="8"/>
      <c r="CP922" s="8"/>
      <c r="CQ922" s="8"/>
      <c r="CR922" s="8"/>
    </row>
    <row r="923" spans="1:96" ht="15" customHeight="1" x14ac:dyDescent="0.2">
      <c r="A923" s="1">
        <v>8904813433</v>
      </c>
      <c r="B923" s="1">
        <v>890481343</v>
      </c>
      <c r="C923" s="9">
        <v>218313683</v>
      </c>
      <c r="D923" s="10" t="s">
        <v>208</v>
      </c>
      <c r="E923" s="45" t="s">
        <v>1242</v>
      </c>
      <c r="F923" s="21"/>
      <c r="G923" s="59"/>
      <c r="H923" s="21"/>
      <c r="I923" s="59"/>
      <c r="J923" s="21"/>
      <c r="K923" s="21"/>
      <c r="L923" s="59"/>
      <c r="M923" s="60"/>
      <c r="N923" s="21"/>
      <c r="O923" s="59"/>
      <c r="P923" s="21"/>
      <c r="Q923" s="59"/>
      <c r="R923" s="21"/>
      <c r="S923" s="21"/>
      <c r="T923" s="59"/>
      <c r="U923" s="60">
        <f t="shared" si="130"/>
        <v>0</v>
      </c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>
        <v>270001380</v>
      </c>
      <c r="AN923" s="60">
        <f>SUBTOTAL(9,AC923:AM923)</f>
        <v>270001380</v>
      </c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>
        <f>VLOOKUP(B923,[2]Hoja3!J$3:K$674,2,0)</f>
        <v>15499828</v>
      </c>
      <c r="BB923" s="60"/>
      <c r="BC923" s="61">
        <f t="shared" si="131"/>
        <v>285501208</v>
      </c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>
        <v>52976970</v>
      </c>
      <c r="BO923" s="60"/>
      <c r="BP923" s="61">
        <v>338478178</v>
      </c>
      <c r="BQ923" s="61"/>
      <c r="BR923" s="61"/>
      <c r="BS923" s="61"/>
      <c r="BT923" s="61"/>
      <c r="BU923" s="61"/>
      <c r="BV923" s="61"/>
      <c r="BW923" s="61"/>
      <c r="BX923" s="61"/>
      <c r="BY923" s="61"/>
      <c r="BZ923" s="61"/>
      <c r="CA923" s="61"/>
      <c r="CB923" s="61"/>
      <c r="CC923" s="61">
        <v>52976970</v>
      </c>
      <c r="CD923" s="61">
        <v>264884850</v>
      </c>
      <c r="CE923" s="61"/>
      <c r="CF923" s="61"/>
      <c r="CG923" s="61">
        <f t="shared" si="132"/>
        <v>656339998</v>
      </c>
      <c r="CH923" s="62">
        <f>VLOOKUP(B923,[1]RPTNCT049_ConsultaSaldosContabl!I$4:K$7987,3,0)</f>
        <v>370838790</v>
      </c>
      <c r="CI923" s="62">
        <f t="shared" si="133"/>
        <v>285501208</v>
      </c>
      <c r="CJ923" s="63">
        <f t="shared" si="134"/>
        <v>656339998</v>
      </c>
      <c r="CK923" s="64">
        <f t="shared" si="135"/>
        <v>0</v>
      </c>
      <c r="CL923" s="16"/>
      <c r="CM923" s="16"/>
      <c r="CN923" s="16"/>
    </row>
    <row r="924" spans="1:96" ht="15" customHeight="1" x14ac:dyDescent="0.2">
      <c r="A924" s="1">
        <v>8000959841</v>
      </c>
      <c r="B924" s="1">
        <v>800095984</v>
      </c>
      <c r="C924" s="9">
        <v>210119701</v>
      </c>
      <c r="D924" s="10" t="s">
        <v>403</v>
      </c>
      <c r="E924" s="45" t="s">
        <v>1432</v>
      </c>
      <c r="F924" s="21"/>
      <c r="G924" s="59"/>
      <c r="H924" s="21"/>
      <c r="I924" s="59"/>
      <c r="J924" s="21"/>
      <c r="K924" s="21"/>
      <c r="L924" s="59"/>
      <c r="M924" s="60"/>
      <c r="N924" s="21"/>
      <c r="O924" s="59"/>
      <c r="P924" s="21"/>
      <c r="Q924" s="59"/>
      <c r="R924" s="21"/>
      <c r="S924" s="21"/>
      <c r="T924" s="59"/>
      <c r="U924" s="60">
        <f t="shared" si="130"/>
        <v>0</v>
      </c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>
        <v>55671853</v>
      </c>
      <c r="AN924" s="60">
        <f>SUBTOTAL(9,AC924:AM924)</f>
        <v>55671853</v>
      </c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1">
        <f t="shared" si="131"/>
        <v>55671853</v>
      </c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>
        <v>12135694</v>
      </c>
      <c r="BO924" s="60"/>
      <c r="BP924" s="61">
        <v>67807547</v>
      </c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  <c r="CA924" s="61"/>
      <c r="CB924" s="61"/>
      <c r="CC924" s="61">
        <v>12135694</v>
      </c>
      <c r="CD924" s="61">
        <v>60678470</v>
      </c>
      <c r="CE924" s="61"/>
      <c r="CF924" s="61"/>
      <c r="CG924" s="61">
        <f t="shared" si="132"/>
        <v>140621711</v>
      </c>
      <c r="CH924" s="62">
        <f>VLOOKUP(B924,[1]RPTNCT049_ConsultaSaldosContabl!I$4:K$7987,3,0)</f>
        <v>84949858</v>
      </c>
      <c r="CI924" s="62">
        <f t="shared" si="133"/>
        <v>55671853</v>
      </c>
      <c r="CJ924" s="63">
        <f t="shared" si="134"/>
        <v>140621711</v>
      </c>
      <c r="CK924" s="64">
        <f t="shared" si="135"/>
        <v>0</v>
      </c>
      <c r="CL924" s="16"/>
      <c r="CM924" s="8"/>
      <c r="CN924" s="8"/>
      <c r="CO924" s="8"/>
      <c r="CP924" s="8"/>
      <c r="CQ924" s="8"/>
      <c r="CR924" s="8"/>
    </row>
    <row r="925" spans="1:96" ht="15" customHeight="1" x14ac:dyDescent="0.2">
      <c r="A925" s="1">
        <v>8001033181</v>
      </c>
      <c r="B925" s="1">
        <v>800103318</v>
      </c>
      <c r="C925" s="9">
        <v>212499624</v>
      </c>
      <c r="D925" s="10" t="s">
        <v>999</v>
      </c>
      <c r="E925" s="45" t="s">
        <v>2056</v>
      </c>
      <c r="F925" s="21"/>
      <c r="G925" s="59"/>
      <c r="H925" s="21"/>
      <c r="I925" s="59"/>
      <c r="J925" s="21"/>
      <c r="K925" s="21"/>
      <c r="L925" s="59"/>
      <c r="M925" s="60"/>
      <c r="N925" s="21"/>
      <c r="O925" s="59"/>
      <c r="P925" s="21"/>
      <c r="Q925" s="59"/>
      <c r="R925" s="21"/>
      <c r="S925" s="21"/>
      <c r="T925" s="59"/>
      <c r="U925" s="60">
        <f t="shared" si="130"/>
        <v>0</v>
      </c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>
        <f>VLOOKUP(B925,[2]Hoja3!J$3:K$674,2,0)</f>
        <v>82524740</v>
      </c>
      <c r="BB925" s="60"/>
      <c r="BC925" s="61">
        <f t="shared" si="131"/>
        <v>82524740</v>
      </c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>
        <v>0</v>
      </c>
      <c r="BO925" s="60"/>
      <c r="BP925" s="61">
        <v>82524740</v>
      </c>
      <c r="BQ925" s="61"/>
      <c r="BR925" s="61"/>
      <c r="BS925" s="61"/>
      <c r="BT925" s="61"/>
      <c r="BU925" s="61"/>
      <c r="BV925" s="61"/>
      <c r="BW925" s="61"/>
      <c r="BX925" s="61"/>
      <c r="BY925" s="61"/>
      <c r="BZ925" s="61"/>
      <c r="CA925" s="61"/>
      <c r="CB925" s="61"/>
      <c r="CC925" s="61">
        <v>62559147</v>
      </c>
      <c r="CD925" s="61"/>
      <c r="CE925" s="61"/>
      <c r="CF925" s="61"/>
      <c r="CG925" s="61">
        <f t="shared" si="132"/>
        <v>145083887</v>
      </c>
      <c r="CH925" s="62">
        <f>VLOOKUP(B925,[1]RPTNCT049_ConsultaSaldosContabl!I$4:K$7987,3,0)</f>
        <v>62559147</v>
      </c>
      <c r="CI925" s="62">
        <f t="shared" si="133"/>
        <v>82524740</v>
      </c>
      <c r="CJ925" s="63">
        <f t="shared" si="134"/>
        <v>145083887</v>
      </c>
      <c r="CK925" s="64">
        <f t="shared" si="135"/>
        <v>0</v>
      </c>
      <c r="CL925" s="16"/>
      <c r="CM925" s="16"/>
      <c r="CN925" s="16"/>
    </row>
    <row r="926" spans="1:96" ht="15" customHeight="1" x14ac:dyDescent="0.2">
      <c r="A926" s="1">
        <v>8000996512</v>
      </c>
      <c r="B926" s="1">
        <v>800099651</v>
      </c>
      <c r="C926" s="9">
        <v>219615696</v>
      </c>
      <c r="D926" s="10" t="s">
        <v>304</v>
      </c>
      <c r="E926" s="45" t="s">
        <v>1336</v>
      </c>
      <c r="F926" s="21"/>
      <c r="G926" s="59"/>
      <c r="H926" s="21"/>
      <c r="I926" s="59"/>
      <c r="J926" s="21"/>
      <c r="K926" s="21"/>
      <c r="L926" s="59"/>
      <c r="M926" s="60"/>
      <c r="N926" s="21"/>
      <c r="O926" s="59"/>
      <c r="P926" s="21"/>
      <c r="Q926" s="59"/>
      <c r="R926" s="21"/>
      <c r="S926" s="21"/>
      <c r="T926" s="59"/>
      <c r="U926" s="60">
        <f t="shared" si="130"/>
        <v>0</v>
      </c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>
        <v>16969435</v>
      </c>
      <c r="AZ926" s="60"/>
      <c r="BA926" s="60">
        <f>VLOOKUP(B926,[2]Hoja3!J$3:K$674,2,0)</f>
        <v>41833288</v>
      </c>
      <c r="BB926" s="60"/>
      <c r="BC926" s="61">
        <f t="shared" si="131"/>
        <v>58802723</v>
      </c>
      <c r="BD926" s="60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>
        <v>3393887</v>
      </c>
      <c r="BO926" s="60"/>
      <c r="BP926" s="61">
        <v>62196610</v>
      </c>
      <c r="BQ926" s="61"/>
      <c r="BR926" s="61"/>
      <c r="BS926" s="61"/>
      <c r="BT926" s="61"/>
      <c r="BU926" s="61"/>
      <c r="BV926" s="61"/>
      <c r="BW926" s="61"/>
      <c r="BX926" s="61"/>
      <c r="BY926" s="61"/>
      <c r="BZ926" s="61"/>
      <c r="CA926" s="61"/>
      <c r="CB926" s="61"/>
      <c r="CC926" s="61">
        <v>3393887</v>
      </c>
      <c r="CD926" s="61"/>
      <c r="CE926" s="61"/>
      <c r="CF926" s="61"/>
      <c r="CG926" s="61">
        <f t="shared" si="132"/>
        <v>65590497</v>
      </c>
      <c r="CH926" s="62">
        <f>VLOOKUP(B926,[1]RPTNCT049_ConsultaSaldosContabl!I$4:K$7987,3,0)</f>
        <v>23757209</v>
      </c>
      <c r="CI926" s="62">
        <f t="shared" si="133"/>
        <v>41833288</v>
      </c>
      <c r="CJ926" s="63">
        <f t="shared" si="134"/>
        <v>65590497</v>
      </c>
      <c r="CK926" s="64">
        <f t="shared" si="135"/>
        <v>0</v>
      </c>
      <c r="CL926" s="16"/>
      <c r="CM926" s="8"/>
      <c r="CN926" s="8"/>
      <c r="CO926" s="8"/>
      <c r="CP926" s="8"/>
      <c r="CQ926" s="8"/>
      <c r="CR926" s="8"/>
    </row>
    <row r="927" spans="1:96" ht="15" customHeight="1" x14ac:dyDescent="0.2">
      <c r="A927" s="1">
        <v>8000196850</v>
      </c>
      <c r="B927" s="1">
        <v>800019685</v>
      </c>
      <c r="C927" s="9">
        <v>219952699</v>
      </c>
      <c r="D927" s="10" t="s">
        <v>745</v>
      </c>
      <c r="E927" s="45" t="s">
        <v>1765</v>
      </c>
      <c r="F927" s="21"/>
      <c r="G927" s="59"/>
      <c r="H927" s="21"/>
      <c r="I927" s="59"/>
      <c r="J927" s="21"/>
      <c r="K927" s="21"/>
      <c r="L927" s="59"/>
      <c r="M927" s="60"/>
      <c r="N927" s="21"/>
      <c r="O927" s="59"/>
      <c r="P927" s="21"/>
      <c r="Q927" s="59"/>
      <c r="R927" s="21"/>
      <c r="S927" s="21"/>
      <c r="T927" s="59"/>
      <c r="U927" s="60">
        <f t="shared" si="130"/>
        <v>0</v>
      </c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>
        <v>126513292</v>
      </c>
      <c r="AN927" s="60">
        <f>SUBTOTAL(9,AC927:AM927)</f>
        <v>126513292</v>
      </c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>
        <v>78357180</v>
      </c>
      <c r="AZ927" s="60"/>
      <c r="BA927" s="60"/>
      <c r="BB927" s="60"/>
      <c r="BC927" s="61">
        <f t="shared" si="131"/>
        <v>204870472</v>
      </c>
      <c r="BD927" s="60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>
        <v>15671436</v>
      </c>
      <c r="BO927" s="60"/>
      <c r="BP927" s="61">
        <v>220541908</v>
      </c>
      <c r="BQ927" s="61"/>
      <c r="BR927" s="61"/>
      <c r="BS927" s="61"/>
      <c r="BT927" s="61"/>
      <c r="BU927" s="61"/>
      <c r="BV927" s="61"/>
      <c r="BW927" s="61"/>
      <c r="BX927" s="61"/>
      <c r="BY927" s="61"/>
      <c r="BZ927" s="61"/>
      <c r="CA927" s="61"/>
      <c r="CB927" s="61"/>
      <c r="CC927" s="61">
        <v>15671436</v>
      </c>
      <c r="CD927" s="61"/>
      <c r="CE927" s="61"/>
      <c r="CF927" s="61"/>
      <c r="CG927" s="61">
        <f t="shared" si="132"/>
        <v>236213344</v>
      </c>
      <c r="CH927" s="62">
        <f>VLOOKUP(B927,[1]RPTNCT049_ConsultaSaldosContabl!I$4:K$7987,3,0)</f>
        <v>109700052</v>
      </c>
      <c r="CI927" s="62">
        <f t="shared" si="133"/>
        <v>126513292</v>
      </c>
      <c r="CJ927" s="63">
        <f t="shared" si="134"/>
        <v>236213344</v>
      </c>
      <c r="CK927" s="64">
        <f t="shared" si="135"/>
        <v>0</v>
      </c>
      <c r="CL927" s="16"/>
      <c r="CM927" s="16"/>
      <c r="CN927" s="16"/>
    </row>
    <row r="928" spans="1:96" ht="15" customHeight="1" x14ac:dyDescent="0.2">
      <c r="A928" s="1">
        <v>8000207338</v>
      </c>
      <c r="B928" s="1">
        <v>800020733</v>
      </c>
      <c r="C928" s="9">
        <v>218615686</v>
      </c>
      <c r="D928" s="10" t="s">
        <v>302</v>
      </c>
      <c r="E928" s="45" t="s">
        <v>1333</v>
      </c>
      <c r="F928" s="21"/>
      <c r="G928" s="59"/>
      <c r="H928" s="21"/>
      <c r="I928" s="59"/>
      <c r="J928" s="21"/>
      <c r="K928" s="21"/>
      <c r="L928" s="59"/>
      <c r="M928" s="60"/>
      <c r="N928" s="21"/>
      <c r="O928" s="59"/>
      <c r="P928" s="21"/>
      <c r="Q928" s="59"/>
      <c r="R928" s="21"/>
      <c r="S928" s="21"/>
      <c r="T928" s="59"/>
      <c r="U928" s="60">
        <f t="shared" si="130"/>
        <v>0</v>
      </c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>
        <v>115159680</v>
      </c>
      <c r="AN928" s="60">
        <f>SUBTOTAL(9,AC928:AM928)</f>
        <v>115159680</v>
      </c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>
        <v>56019685</v>
      </c>
      <c r="AZ928" s="60"/>
      <c r="BA928" s="60"/>
      <c r="BB928" s="60"/>
      <c r="BC928" s="61">
        <f t="shared" si="131"/>
        <v>171179365</v>
      </c>
      <c r="BD928" s="60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>
        <v>11203937</v>
      </c>
      <c r="BO928" s="60"/>
      <c r="BP928" s="61">
        <v>182383302</v>
      </c>
      <c r="BQ928" s="61"/>
      <c r="BR928" s="61"/>
      <c r="BS928" s="61"/>
      <c r="BT928" s="61"/>
      <c r="BU928" s="61"/>
      <c r="BV928" s="61"/>
      <c r="BW928" s="61"/>
      <c r="BX928" s="61"/>
      <c r="BY928" s="61"/>
      <c r="BZ928" s="61"/>
      <c r="CA928" s="61"/>
      <c r="CB928" s="61"/>
      <c r="CC928" s="61">
        <v>11203937</v>
      </c>
      <c r="CD928" s="61"/>
      <c r="CE928" s="61"/>
      <c r="CF928" s="61"/>
      <c r="CG928" s="61">
        <f t="shared" si="132"/>
        <v>193587239</v>
      </c>
      <c r="CH928" s="62">
        <f>VLOOKUP(B928,[1]RPTNCT049_ConsultaSaldosContabl!I$4:K$7987,3,0)</f>
        <v>78427559</v>
      </c>
      <c r="CI928" s="62">
        <f t="shared" si="133"/>
        <v>115159680</v>
      </c>
      <c r="CJ928" s="63">
        <f t="shared" si="134"/>
        <v>193587239</v>
      </c>
      <c r="CK928" s="64">
        <f t="shared" si="135"/>
        <v>0</v>
      </c>
      <c r="CL928" s="16"/>
      <c r="CM928" s="8"/>
      <c r="CN928" s="8"/>
      <c r="CO928" s="8"/>
      <c r="CP928" s="8"/>
      <c r="CQ928" s="8"/>
      <c r="CR928" s="8"/>
    </row>
    <row r="929" spans="1:96" ht="15" customHeight="1" x14ac:dyDescent="0.2">
      <c r="A929" s="1">
        <v>8915002692</v>
      </c>
      <c r="B929" s="1">
        <v>891500269</v>
      </c>
      <c r="C929" s="9">
        <v>219819698</v>
      </c>
      <c r="D929" s="10" t="s">
        <v>2111</v>
      </c>
      <c r="E929" s="45" t="s">
        <v>1431</v>
      </c>
      <c r="F929" s="21"/>
      <c r="G929" s="59"/>
      <c r="H929" s="21"/>
      <c r="I929" s="59"/>
      <c r="J929" s="21"/>
      <c r="K929" s="21"/>
      <c r="L929" s="59"/>
      <c r="M929" s="60"/>
      <c r="N929" s="21"/>
      <c r="O929" s="59"/>
      <c r="P929" s="21"/>
      <c r="Q929" s="59"/>
      <c r="R929" s="21"/>
      <c r="S929" s="21"/>
      <c r="T929" s="59"/>
      <c r="U929" s="60">
        <f t="shared" si="130"/>
        <v>0</v>
      </c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>
        <v>1104593827</v>
      </c>
      <c r="AN929" s="60">
        <f>SUBTOTAL(9,AC929:AM929)</f>
        <v>1104593827</v>
      </c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>
        <v>577079505</v>
      </c>
      <c r="AZ929" s="60"/>
      <c r="BA929" s="60">
        <f>VLOOKUP(B929,[2]Hoja3!J$3:K$674,2,0)</f>
        <v>71279270</v>
      </c>
      <c r="BB929" s="60"/>
      <c r="BC929" s="61">
        <f t="shared" si="131"/>
        <v>1752952602</v>
      </c>
      <c r="BD929" s="60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>
        <v>115415901</v>
      </c>
      <c r="BO929" s="60"/>
      <c r="BP929" s="61">
        <v>1868368503</v>
      </c>
      <c r="BQ929" s="61"/>
      <c r="BR929" s="61"/>
      <c r="BS929" s="61"/>
      <c r="BT929" s="61"/>
      <c r="BU929" s="61"/>
      <c r="BV929" s="61"/>
      <c r="BW929" s="61"/>
      <c r="BX929" s="61"/>
      <c r="BY929" s="61"/>
      <c r="BZ929" s="61"/>
      <c r="CA929" s="61"/>
      <c r="CB929" s="61"/>
      <c r="CC929" s="61">
        <v>115415901</v>
      </c>
      <c r="CD929" s="61"/>
      <c r="CE929" s="61"/>
      <c r="CF929" s="61"/>
      <c r="CG929" s="61">
        <f t="shared" si="132"/>
        <v>1983784404</v>
      </c>
      <c r="CH929" s="62">
        <f>VLOOKUP(B929,[1]RPTNCT049_ConsultaSaldosContabl!I$4:K$7987,3,0)</f>
        <v>807911307</v>
      </c>
      <c r="CI929" s="62">
        <f t="shared" si="133"/>
        <v>1175873097</v>
      </c>
      <c r="CJ929" s="63">
        <f t="shared" si="134"/>
        <v>1983784404</v>
      </c>
      <c r="CK929" s="64">
        <f t="shared" si="135"/>
        <v>0</v>
      </c>
      <c r="CL929" s="16"/>
      <c r="CM929" s="16"/>
      <c r="CN929" s="16"/>
    </row>
    <row r="930" spans="1:96" ht="15" customHeight="1" x14ac:dyDescent="0.2">
      <c r="A930" s="1">
        <v>8000992620</v>
      </c>
      <c r="B930" s="1">
        <v>800099262</v>
      </c>
      <c r="C930" s="9">
        <v>218054680</v>
      </c>
      <c r="D930" s="10" t="s">
        <v>782</v>
      </c>
      <c r="E930" s="45" t="s">
        <v>1798</v>
      </c>
      <c r="F930" s="21"/>
      <c r="G930" s="59"/>
      <c r="H930" s="21"/>
      <c r="I930" s="59"/>
      <c r="J930" s="21"/>
      <c r="K930" s="21"/>
      <c r="L930" s="59"/>
      <c r="M930" s="60"/>
      <c r="N930" s="21"/>
      <c r="O930" s="59"/>
      <c r="P930" s="21"/>
      <c r="Q930" s="59"/>
      <c r="R930" s="21"/>
      <c r="S930" s="21"/>
      <c r="T930" s="59"/>
      <c r="U930" s="60">
        <f t="shared" si="130"/>
        <v>0</v>
      </c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>
        <v>30722612</v>
      </c>
      <c r="AN930" s="60">
        <f>SUBTOTAL(9,AC930:AM930)</f>
        <v>30722612</v>
      </c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>
        <v>23438245</v>
      </c>
      <c r="AZ930" s="60"/>
      <c r="BA930" s="60">
        <f>VLOOKUP(B930,[2]Hoja3!J$3:K$674,2,0)</f>
        <v>11046894</v>
      </c>
      <c r="BB930" s="60"/>
      <c r="BC930" s="61">
        <f t="shared" si="131"/>
        <v>65207751</v>
      </c>
      <c r="BD930" s="60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>
        <v>4687649</v>
      </c>
      <c r="BO930" s="60"/>
      <c r="BP930" s="61">
        <v>69895400</v>
      </c>
      <c r="BQ930" s="61"/>
      <c r="BR930" s="61"/>
      <c r="BS930" s="61"/>
      <c r="BT930" s="61"/>
      <c r="BU930" s="61"/>
      <c r="BV930" s="61"/>
      <c r="BW930" s="61"/>
      <c r="BX930" s="61"/>
      <c r="BY930" s="61"/>
      <c r="BZ930" s="61"/>
      <c r="CA930" s="61"/>
      <c r="CB930" s="61"/>
      <c r="CC930" s="61">
        <v>4687649</v>
      </c>
      <c r="CD930" s="61"/>
      <c r="CE930" s="61"/>
      <c r="CF930" s="61"/>
      <c r="CG930" s="61">
        <f t="shared" si="132"/>
        <v>74583049</v>
      </c>
      <c r="CH930" s="62">
        <f>VLOOKUP(B930,[1]RPTNCT049_ConsultaSaldosContabl!I$4:K$7987,3,0)</f>
        <v>32813543</v>
      </c>
      <c r="CI930" s="62">
        <f t="shared" si="133"/>
        <v>41769506</v>
      </c>
      <c r="CJ930" s="63">
        <f t="shared" si="134"/>
        <v>74583049</v>
      </c>
      <c r="CK930" s="64">
        <f t="shared" si="135"/>
        <v>0</v>
      </c>
      <c r="CL930" s="16"/>
      <c r="CM930" s="16"/>
      <c r="CN930" s="16"/>
    </row>
    <row r="931" spans="1:96" ht="15" customHeight="1" x14ac:dyDescent="0.2">
      <c r="A931" s="1">
        <v>8001029068</v>
      </c>
      <c r="B931" s="1">
        <v>800102906</v>
      </c>
      <c r="C931" s="9">
        <v>216086760</v>
      </c>
      <c r="D931" s="10" t="s">
        <v>984</v>
      </c>
      <c r="E931" s="45" t="s">
        <v>2041</v>
      </c>
      <c r="F931" s="21"/>
      <c r="G931" s="59"/>
      <c r="H931" s="21"/>
      <c r="I931" s="59"/>
      <c r="J931" s="21"/>
      <c r="K931" s="21"/>
      <c r="L931" s="59"/>
      <c r="M931" s="60"/>
      <c r="N931" s="21"/>
      <c r="O931" s="59"/>
      <c r="P931" s="21"/>
      <c r="Q931" s="59"/>
      <c r="R931" s="21"/>
      <c r="S931" s="21"/>
      <c r="T931" s="59"/>
      <c r="U931" s="60">
        <f t="shared" si="130"/>
        <v>0</v>
      </c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>
        <v>104890552</v>
      </c>
      <c r="AN931" s="60">
        <f>SUBTOTAL(9,AC931:AM931)</f>
        <v>104890552</v>
      </c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>
        <v>65874235</v>
      </c>
      <c r="AZ931" s="60"/>
      <c r="BA931" s="60"/>
      <c r="BB931" s="60">
        <f>VLOOKUP(B931,'[3]anuladas en mayo gratuidad}'!K$2:L$55,2,0)</f>
        <v>15650662</v>
      </c>
      <c r="BC931" s="61">
        <f t="shared" si="131"/>
        <v>155114125</v>
      </c>
      <c r="BD931" s="60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>
        <v>13174847</v>
      </c>
      <c r="BO931" s="60"/>
      <c r="BP931" s="61">
        <v>168288972</v>
      </c>
      <c r="BQ931" s="61"/>
      <c r="BR931" s="61"/>
      <c r="BS931" s="61"/>
      <c r="BT931" s="61"/>
      <c r="BU931" s="61"/>
      <c r="BV931" s="61"/>
      <c r="BW931" s="61"/>
      <c r="BX931" s="61"/>
      <c r="BY931" s="61"/>
      <c r="BZ931" s="61"/>
      <c r="CA931" s="61"/>
      <c r="CB931" s="61"/>
      <c r="CC931" s="61">
        <v>13174847</v>
      </c>
      <c r="CD931" s="61"/>
      <c r="CE931" s="61"/>
      <c r="CF931" s="61"/>
      <c r="CG931" s="61">
        <f t="shared" si="132"/>
        <v>181463819</v>
      </c>
      <c r="CH931" s="62">
        <f>VLOOKUP(B931,[1]RPTNCT049_ConsultaSaldosContabl!I$4:K$7987,3,0)</f>
        <v>92223929</v>
      </c>
      <c r="CI931" s="62">
        <f t="shared" si="133"/>
        <v>89239890</v>
      </c>
      <c r="CJ931" s="63">
        <f t="shared" si="134"/>
        <v>181463819</v>
      </c>
      <c r="CK931" s="64">
        <f t="shared" si="135"/>
        <v>0</v>
      </c>
      <c r="CL931" s="16"/>
      <c r="CM931" s="8"/>
      <c r="CN931" s="8"/>
      <c r="CO931" s="8"/>
      <c r="CP931" s="8"/>
      <c r="CQ931" s="8"/>
      <c r="CR931" s="8"/>
    </row>
    <row r="932" spans="1:96" ht="15" customHeight="1" x14ac:dyDescent="0.2">
      <c r="A932" s="1">
        <v>8909838034</v>
      </c>
      <c r="B932" s="1">
        <v>890983803</v>
      </c>
      <c r="C932" s="9">
        <v>219005690</v>
      </c>
      <c r="D932" s="10" t="s">
        <v>139</v>
      </c>
      <c r="E932" s="45" t="s">
        <v>1168</v>
      </c>
      <c r="F932" s="21"/>
      <c r="G932" s="59"/>
      <c r="H932" s="21"/>
      <c r="I932" s="59"/>
      <c r="J932" s="21"/>
      <c r="K932" s="21"/>
      <c r="L932" s="59"/>
      <c r="M932" s="60"/>
      <c r="N932" s="21"/>
      <c r="O932" s="59"/>
      <c r="P932" s="21"/>
      <c r="Q932" s="59"/>
      <c r="R932" s="21"/>
      <c r="S932" s="21"/>
      <c r="T932" s="59"/>
      <c r="U932" s="60">
        <f t="shared" si="130"/>
        <v>0</v>
      </c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>
        <v>80905060</v>
      </c>
      <c r="AZ932" s="60"/>
      <c r="BA932" s="60">
        <f>VLOOKUP(B932,[2]Hoja3!J$3:K$674,2,0)</f>
        <v>212126486</v>
      </c>
      <c r="BB932" s="60"/>
      <c r="BC932" s="61">
        <f t="shared" si="131"/>
        <v>293031546</v>
      </c>
      <c r="BD932" s="60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>
        <v>16181012</v>
      </c>
      <c r="BO932" s="60"/>
      <c r="BP932" s="61">
        <v>309212558</v>
      </c>
      <c r="BQ932" s="61"/>
      <c r="BR932" s="61"/>
      <c r="BS932" s="61"/>
      <c r="BT932" s="61"/>
      <c r="BU932" s="61"/>
      <c r="BV932" s="61"/>
      <c r="BW932" s="61"/>
      <c r="BX932" s="61"/>
      <c r="BY932" s="61"/>
      <c r="BZ932" s="61"/>
      <c r="CA932" s="61"/>
      <c r="CB932" s="61"/>
      <c r="CC932" s="61">
        <v>16181012</v>
      </c>
      <c r="CD932" s="61"/>
      <c r="CE932" s="61"/>
      <c r="CF932" s="61"/>
      <c r="CG932" s="61">
        <f t="shared" si="132"/>
        <v>325393570</v>
      </c>
      <c r="CH932" s="62">
        <f>VLOOKUP(B932,[1]RPTNCT049_ConsultaSaldosContabl!I$4:K$7987,3,0)</f>
        <v>113267084</v>
      </c>
      <c r="CI932" s="62">
        <f t="shared" si="133"/>
        <v>212126486</v>
      </c>
      <c r="CJ932" s="63">
        <f t="shared" si="134"/>
        <v>325393570</v>
      </c>
      <c r="CK932" s="64">
        <f t="shared" si="135"/>
        <v>0</v>
      </c>
      <c r="CL932" s="16"/>
      <c r="CM932" s="16"/>
      <c r="CN932" s="16"/>
    </row>
    <row r="933" spans="1:96" ht="15" customHeight="1" x14ac:dyDescent="0.2">
      <c r="A933" s="1">
        <v>8001162846</v>
      </c>
      <c r="B933" s="1">
        <v>800116284</v>
      </c>
      <c r="C933" s="9">
        <v>218508685</v>
      </c>
      <c r="D933" s="10" t="s">
        <v>177</v>
      </c>
      <c r="E933" s="45" t="s">
        <v>1206</v>
      </c>
      <c r="F933" s="21"/>
      <c r="G933" s="59"/>
      <c r="H933" s="21"/>
      <c r="I933" s="59"/>
      <c r="J933" s="21"/>
      <c r="K933" s="21"/>
      <c r="L933" s="59"/>
      <c r="M933" s="60"/>
      <c r="N933" s="21"/>
      <c r="O933" s="59"/>
      <c r="P933" s="21"/>
      <c r="Q933" s="59"/>
      <c r="R933" s="21"/>
      <c r="S933" s="21"/>
      <c r="T933" s="59"/>
      <c r="U933" s="60">
        <f t="shared" si="130"/>
        <v>0</v>
      </c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>
        <v>141899050</v>
      </c>
      <c r="AZ933" s="60"/>
      <c r="BA933" s="60">
        <f>VLOOKUP(B933,[2]Hoja3!J$3:K$674,2,0)</f>
        <v>304976892</v>
      </c>
      <c r="BB933" s="60"/>
      <c r="BC933" s="61">
        <f t="shared" si="131"/>
        <v>446875942</v>
      </c>
      <c r="BD933" s="60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>
        <v>28379810</v>
      </c>
      <c r="BO933" s="60"/>
      <c r="BP933" s="61">
        <v>475255752</v>
      </c>
      <c r="BQ933" s="61"/>
      <c r="BR933" s="61"/>
      <c r="BS933" s="61"/>
      <c r="BT933" s="61"/>
      <c r="BU933" s="61"/>
      <c r="BV933" s="61"/>
      <c r="BW933" s="61"/>
      <c r="BX933" s="61"/>
      <c r="BY933" s="61"/>
      <c r="BZ933" s="61"/>
      <c r="CA933" s="61"/>
      <c r="CB933" s="61"/>
      <c r="CC933" s="61">
        <v>28379810</v>
      </c>
      <c r="CD933" s="61"/>
      <c r="CE933" s="61"/>
      <c r="CF933" s="61"/>
      <c r="CG933" s="61">
        <f t="shared" si="132"/>
        <v>503635562</v>
      </c>
      <c r="CH933" s="62">
        <f>VLOOKUP(B933,[1]RPTNCT049_ConsultaSaldosContabl!I$4:K$7987,3,0)</f>
        <v>198658670</v>
      </c>
      <c r="CI933" s="62">
        <f t="shared" si="133"/>
        <v>304976892</v>
      </c>
      <c r="CJ933" s="63">
        <f t="shared" si="134"/>
        <v>503635562</v>
      </c>
      <c r="CK933" s="64">
        <f t="shared" si="135"/>
        <v>0</v>
      </c>
      <c r="CL933" s="16"/>
      <c r="CM933" s="16"/>
      <c r="CN933" s="16"/>
    </row>
    <row r="934" spans="1:96" ht="15" customHeight="1" x14ac:dyDescent="0.2">
      <c r="A934" s="1">
        <v>8914800341</v>
      </c>
      <c r="B934" s="1">
        <v>891480034</v>
      </c>
      <c r="C934" s="9">
        <v>218766687</v>
      </c>
      <c r="D934" s="10" t="s">
        <v>811</v>
      </c>
      <c r="E934" s="45" t="s">
        <v>1828</v>
      </c>
      <c r="F934" s="21"/>
      <c r="G934" s="59"/>
      <c r="H934" s="21"/>
      <c r="I934" s="59"/>
      <c r="J934" s="21"/>
      <c r="K934" s="21"/>
      <c r="L934" s="59"/>
      <c r="M934" s="60"/>
      <c r="N934" s="21"/>
      <c r="O934" s="59"/>
      <c r="P934" s="21"/>
      <c r="Q934" s="59"/>
      <c r="R934" s="21"/>
      <c r="S934" s="21"/>
      <c r="T934" s="59"/>
      <c r="U934" s="60">
        <f t="shared" si="130"/>
        <v>0</v>
      </c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>
        <v>164772619</v>
      </c>
      <c r="AN934" s="60">
        <f>SUBTOTAL(9,AC934:AM934)</f>
        <v>164772619</v>
      </c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>
        <v>94834080</v>
      </c>
      <c r="AZ934" s="60"/>
      <c r="BA934" s="60"/>
      <c r="BB934" s="60"/>
      <c r="BC934" s="61">
        <f t="shared" si="131"/>
        <v>259606699</v>
      </c>
      <c r="BD934" s="60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>
        <v>18966816</v>
      </c>
      <c r="BO934" s="60"/>
      <c r="BP934" s="61">
        <v>278573515</v>
      </c>
      <c r="BQ934" s="61"/>
      <c r="BR934" s="61"/>
      <c r="BS934" s="61"/>
      <c r="BT934" s="61"/>
      <c r="BU934" s="61"/>
      <c r="BV934" s="61"/>
      <c r="BW934" s="61"/>
      <c r="BX934" s="61"/>
      <c r="BY934" s="61"/>
      <c r="BZ934" s="61"/>
      <c r="CA934" s="61"/>
      <c r="CB934" s="61"/>
      <c r="CC934" s="61">
        <v>18966816</v>
      </c>
      <c r="CD934" s="61"/>
      <c r="CE934" s="61"/>
      <c r="CF934" s="61"/>
      <c r="CG934" s="61">
        <f t="shared" si="132"/>
        <v>297540331</v>
      </c>
      <c r="CH934" s="62">
        <f>VLOOKUP(B934,[1]RPTNCT049_ConsultaSaldosContabl!I$4:K$7987,3,0)</f>
        <v>132767712</v>
      </c>
      <c r="CI934" s="62">
        <f t="shared" si="133"/>
        <v>164772619</v>
      </c>
      <c r="CJ934" s="63">
        <f t="shared" si="134"/>
        <v>297540331</v>
      </c>
      <c r="CK934" s="64">
        <f t="shared" si="135"/>
        <v>0</v>
      </c>
      <c r="CL934" s="16"/>
      <c r="CM934" s="16"/>
      <c r="CN934" s="16"/>
    </row>
    <row r="935" spans="1:96" ht="15" customHeight="1" x14ac:dyDescent="0.2">
      <c r="A935" s="1">
        <v>8000991496</v>
      </c>
      <c r="B935" s="1">
        <v>800099149</v>
      </c>
      <c r="C935" s="9">
        <v>212052720</v>
      </c>
      <c r="D935" s="10" t="s">
        <v>746</v>
      </c>
      <c r="E935" s="45" t="s">
        <v>1766</v>
      </c>
      <c r="F935" s="21"/>
      <c r="G935" s="59"/>
      <c r="H935" s="21"/>
      <c r="I935" s="59"/>
      <c r="J935" s="21"/>
      <c r="K935" s="21"/>
      <c r="L935" s="59"/>
      <c r="M935" s="60"/>
      <c r="N935" s="21"/>
      <c r="O935" s="59"/>
      <c r="P935" s="21"/>
      <c r="Q935" s="59"/>
      <c r="R935" s="21"/>
      <c r="S935" s="21"/>
      <c r="T935" s="59"/>
      <c r="U935" s="60">
        <f t="shared" si="130"/>
        <v>0</v>
      </c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>
        <v>87955515</v>
      </c>
      <c r="AN935" s="60">
        <f>SUBTOTAL(9,AC935:AM935)</f>
        <v>87955515</v>
      </c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>
        <v>40287955</v>
      </c>
      <c r="AZ935" s="60"/>
      <c r="BA935" s="60"/>
      <c r="BB935" s="60"/>
      <c r="BC935" s="61">
        <f t="shared" si="131"/>
        <v>128243470</v>
      </c>
      <c r="BD935" s="60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>
        <v>8057591</v>
      </c>
      <c r="BO935" s="60"/>
      <c r="BP935" s="61">
        <v>136301061</v>
      </c>
      <c r="BQ935" s="61"/>
      <c r="BR935" s="61"/>
      <c r="BS935" s="61"/>
      <c r="BT935" s="61"/>
      <c r="BU935" s="61"/>
      <c r="BV935" s="61"/>
      <c r="BW935" s="61"/>
      <c r="BX935" s="61"/>
      <c r="BY935" s="61"/>
      <c r="BZ935" s="61"/>
      <c r="CA935" s="61"/>
      <c r="CB935" s="61"/>
      <c r="CC935" s="61">
        <v>8057591</v>
      </c>
      <c r="CD935" s="61"/>
      <c r="CE935" s="61"/>
      <c r="CF935" s="61"/>
      <c r="CG935" s="61">
        <f t="shared" si="132"/>
        <v>144358652</v>
      </c>
      <c r="CH935" s="62">
        <f>VLOOKUP(B935,[1]RPTNCT049_ConsultaSaldosContabl!I$4:K$7987,3,0)</f>
        <v>56403137</v>
      </c>
      <c r="CI935" s="62">
        <f t="shared" si="133"/>
        <v>87955515</v>
      </c>
      <c r="CJ935" s="63">
        <f t="shared" si="134"/>
        <v>144358652</v>
      </c>
      <c r="CK935" s="64">
        <f t="shared" si="135"/>
        <v>0</v>
      </c>
      <c r="CL935" s="16"/>
      <c r="CM935" s="16"/>
      <c r="CN935" s="16"/>
    </row>
    <row r="936" spans="1:96" ht="15" customHeight="1" x14ac:dyDescent="0.2">
      <c r="A936" s="1">
        <v>8001027996</v>
      </c>
      <c r="B936" s="1">
        <v>800102799</v>
      </c>
      <c r="C936" s="9">
        <v>213681736</v>
      </c>
      <c r="D936" s="10" t="s">
        <v>953</v>
      </c>
      <c r="E936" s="45" t="s">
        <v>2013</v>
      </c>
      <c r="F936" s="21"/>
      <c r="G936" s="59"/>
      <c r="H936" s="21"/>
      <c r="I936" s="59"/>
      <c r="J936" s="21"/>
      <c r="K936" s="21"/>
      <c r="L936" s="59"/>
      <c r="M936" s="60"/>
      <c r="N936" s="21"/>
      <c r="O936" s="59"/>
      <c r="P936" s="21"/>
      <c r="Q936" s="59"/>
      <c r="R936" s="21"/>
      <c r="S936" s="21"/>
      <c r="T936" s="59"/>
      <c r="U936" s="60">
        <f t="shared" si="130"/>
        <v>0</v>
      </c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>
        <v>33564664</v>
      </c>
      <c r="AN936" s="60">
        <f>SUBTOTAL(9,AC936:AM936)</f>
        <v>33564664</v>
      </c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>
        <v>363522455</v>
      </c>
      <c r="AZ936" s="60"/>
      <c r="BA936" s="60">
        <f>VLOOKUP(B936,[2]Hoja3!J$3:K$674,2,0)</f>
        <v>821689166</v>
      </c>
      <c r="BB936" s="60"/>
      <c r="BC936" s="61">
        <f t="shared" si="131"/>
        <v>1218776285</v>
      </c>
      <c r="BD936" s="60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>
        <v>72704491</v>
      </c>
      <c r="BO936" s="60"/>
      <c r="BP936" s="61">
        <v>1291480776</v>
      </c>
      <c r="BQ936" s="61"/>
      <c r="BR936" s="61"/>
      <c r="BS936" s="61"/>
      <c r="BT936" s="61"/>
      <c r="BU936" s="61"/>
      <c r="BV936" s="61"/>
      <c r="BW936" s="61"/>
      <c r="BX936" s="61"/>
      <c r="BY936" s="61"/>
      <c r="BZ936" s="61"/>
      <c r="CA936" s="61"/>
      <c r="CB936" s="61"/>
      <c r="CC936" s="61">
        <v>72704491</v>
      </c>
      <c r="CD936" s="61"/>
      <c r="CE936" s="61"/>
      <c r="CF936" s="61"/>
      <c r="CG936" s="61">
        <f t="shared" si="132"/>
        <v>1364185267</v>
      </c>
      <c r="CH936" s="62">
        <f>VLOOKUP(B936,[1]RPTNCT049_ConsultaSaldosContabl!I$4:K$7987,3,0)</f>
        <v>508931437</v>
      </c>
      <c r="CI936" s="62">
        <f t="shared" si="133"/>
        <v>855253830</v>
      </c>
      <c r="CJ936" s="63">
        <f t="shared" si="134"/>
        <v>1364185267</v>
      </c>
      <c r="CK936" s="64">
        <f t="shared" si="135"/>
        <v>0</v>
      </c>
      <c r="CL936" s="16"/>
      <c r="CM936" s="16"/>
      <c r="CN936" s="16"/>
    </row>
    <row r="937" spans="1:96" ht="15" customHeight="1" x14ac:dyDescent="0.2">
      <c r="A937" s="1">
        <v>8000992638</v>
      </c>
      <c r="B937" s="1">
        <v>800099263</v>
      </c>
      <c r="C937" s="9">
        <v>212054720</v>
      </c>
      <c r="D937" s="10" t="s">
        <v>783</v>
      </c>
      <c r="E937" s="45" t="s">
        <v>1799</v>
      </c>
      <c r="F937" s="21"/>
      <c r="G937" s="59"/>
      <c r="H937" s="21"/>
      <c r="I937" s="59"/>
      <c r="J937" s="21"/>
      <c r="K937" s="21"/>
      <c r="L937" s="59"/>
      <c r="M937" s="60"/>
      <c r="N937" s="21"/>
      <c r="O937" s="59"/>
      <c r="P937" s="21"/>
      <c r="Q937" s="59"/>
      <c r="R937" s="21"/>
      <c r="S937" s="21"/>
      <c r="T937" s="59"/>
      <c r="U937" s="60">
        <f t="shared" si="130"/>
        <v>0</v>
      </c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>
        <v>33270385</v>
      </c>
      <c r="AN937" s="60">
        <f>SUBTOTAL(9,AC937:AM937)</f>
        <v>33270385</v>
      </c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>
        <f>VLOOKUP(B937,[2]Hoja3!J$3:K$674,2,0)</f>
        <v>199273741</v>
      </c>
      <c r="BB937" s="60"/>
      <c r="BC937" s="61">
        <f t="shared" si="131"/>
        <v>232544126</v>
      </c>
      <c r="BD937" s="60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>
        <v>0</v>
      </c>
      <c r="BO937" s="60"/>
      <c r="BP937" s="61">
        <v>232544126</v>
      </c>
      <c r="BQ937" s="61"/>
      <c r="BR937" s="61"/>
      <c r="BS937" s="61"/>
      <c r="BT937" s="61"/>
      <c r="BU937" s="61"/>
      <c r="BV937" s="61"/>
      <c r="BW937" s="61"/>
      <c r="BX937" s="61"/>
      <c r="BY937" s="61"/>
      <c r="BZ937" s="61"/>
      <c r="CA937" s="61"/>
      <c r="CB937" s="61"/>
      <c r="CC937" s="61">
        <v>0</v>
      </c>
      <c r="CD937" s="61"/>
      <c r="CE937" s="61"/>
      <c r="CF937" s="61"/>
      <c r="CG937" s="61">
        <f t="shared" si="132"/>
        <v>232544126</v>
      </c>
      <c r="CH937" s="62"/>
      <c r="CI937" s="62">
        <f t="shared" si="133"/>
        <v>232544126</v>
      </c>
      <c r="CJ937" s="63">
        <f t="shared" si="134"/>
        <v>232544126</v>
      </c>
      <c r="CK937" s="64">
        <f t="shared" si="135"/>
        <v>0</v>
      </c>
      <c r="CL937" s="16"/>
      <c r="CM937" s="16"/>
      <c r="CN937" s="16"/>
    </row>
    <row r="938" spans="1:96" ht="15" customHeight="1" x14ac:dyDescent="0.2">
      <c r="A938" s="1">
        <v>8000947525</v>
      </c>
      <c r="B938" s="1">
        <v>800094752</v>
      </c>
      <c r="C938" s="9">
        <v>211825718</v>
      </c>
      <c r="D938" s="10" t="s">
        <v>534</v>
      </c>
      <c r="E938" s="45" t="s">
        <v>1560</v>
      </c>
      <c r="F938" s="21"/>
      <c r="G938" s="59"/>
      <c r="H938" s="21"/>
      <c r="I938" s="59"/>
      <c r="J938" s="21"/>
      <c r="K938" s="21"/>
      <c r="L938" s="59"/>
      <c r="M938" s="60"/>
      <c r="N938" s="21"/>
      <c r="O938" s="59"/>
      <c r="P938" s="21"/>
      <c r="Q938" s="59"/>
      <c r="R938" s="21"/>
      <c r="S938" s="21"/>
      <c r="T938" s="59"/>
      <c r="U938" s="60">
        <f t="shared" si="130"/>
        <v>0</v>
      </c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>
        <v>168838655</v>
      </c>
      <c r="AN938" s="60">
        <f>SUBTOTAL(9,AC938:AM938)</f>
        <v>168838655</v>
      </c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>
        <v>77866430</v>
      </c>
      <c r="AZ938" s="60"/>
      <c r="BA938" s="60"/>
      <c r="BB938" s="60"/>
      <c r="BC938" s="61">
        <f t="shared" si="131"/>
        <v>246705085</v>
      </c>
      <c r="BD938" s="60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>
        <v>15573286</v>
      </c>
      <c r="BO938" s="60"/>
      <c r="BP938" s="61">
        <v>262278371</v>
      </c>
      <c r="BQ938" s="61"/>
      <c r="BR938" s="61"/>
      <c r="BS938" s="61"/>
      <c r="BT938" s="61"/>
      <c r="BU938" s="61"/>
      <c r="BV938" s="61"/>
      <c r="BW938" s="61"/>
      <c r="BX938" s="61"/>
      <c r="BY938" s="61"/>
      <c r="BZ938" s="61"/>
      <c r="CA938" s="61"/>
      <c r="CB938" s="61"/>
      <c r="CC938" s="61">
        <v>15573286</v>
      </c>
      <c r="CD938" s="61"/>
      <c r="CE938" s="61"/>
      <c r="CF938" s="61"/>
      <c r="CG938" s="61">
        <f t="shared" si="132"/>
        <v>277851657</v>
      </c>
      <c r="CH938" s="62">
        <f>VLOOKUP(B938,[1]RPTNCT049_ConsultaSaldosContabl!I$4:K$7987,3,0)</f>
        <v>109013002</v>
      </c>
      <c r="CI938" s="62">
        <f t="shared" si="133"/>
        <v>168838655</v>
      </c>
      <c r="CJ938" s="63">
        <f t="shared" si="134"/>
        <v>277851657</v>
      </c>
      <c r="CK938" s="64">
        <f t="shared" si="135"/>
        <v>0</v>
      </c>
      <c r="CL938" s="16"/>
      <c r="CM938" s="16"/>
      <c r="CN938" s="16"/>
    </row>
    <row r="939" spans="1:96" ht="15" customHeight="1" x14ac:dyDescent="0.2">
      <c r="A939" s="1">
        <v>8000507913</v>
      </c>
      <c r="B939" s="1">
        <v>800050791</v>
      </c>
      <c r="C939" s="9">
        <v>212015720</v>
      </c>
      <c r="D939" s="10" t="s">
        <v>305</v>
      </c>
      <c r="E939" s="45" t="s">
        <v>1337</v>
      </c>
      <c r="F939" s="21"/>
      <c r="G939" s="59"/>
      <c r="H939" s="21"/>
      <c r="I939" s="59"/>
      <c r="J939" s="21"/>
      <c r="K939" s="21"/>
      <c r="L939" s="59"/>
      <c r="M939" s="60"/>
      <c r="N939" s="21"/>
      <c r="O939" s="59"/>
      <c r="P939" s="21"/>
      <c r="Q939" s="59"/>
      <c r="R939" s="21"/>
      <c r="S939" s="21"/>
      <c r="T939" s="59"/>
      <c r="U939" s="60">
        <f t="shared" si="130"/>
        <v>0</v>
      </c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>
        <v>18061560</v>
      </c>
      <c r="AZ939" s="60"/>
      <c r="BA939" s="60">
        <f>VLOOKUP(B939,[2]Hoja3!J$3:K$674,2,0)</f>
        <v>28378697</v>
      </c>
      <c r="BB939" s="60"/>
      <c r="BC939" s="61">
        <f t="shared" si="131"/>
        <v>46440257</v>
      </c>
      <c r="BD939" s="60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>
        <v>3612312</v>
      </c>
      <c r="BO939" s="60"/>
      <c r="BP939" s="61">
        <v>50052569</v>
      </c>
      <c r="BQ939" s="61"/>
      <c r="BR939" s="61"/>
      <c r="BS939" s="61"/>
      <c r="BT939" s="61"/>
      <c r="BU939" s="61"/>
      <c r="BV939" s="61"/>
      <c r="BW939" s="61"/>
      <c r="BX939" s="61"/>
      <c r="BY939" s="61"/>
      <c r="BZ939" s="61"/>
      <c r="CA939" s="61"/>
      <c r="CB939" s="61"/>
      <c r="CC939" s="61">
        <v>3612312</v>
      </c>
      <c r="CD939" s="61"/>
      <c r="CE939" s="61"/>
      <c r="CF939" s="61"/>
      <c r="CG939" s="61">
        <f t="shared" si="132"/>
        <v>53664881</v>
      </c>
      <c r="CH939" s="62">
        <f>VLOOKUP(B939,[1]RPTNCT049_ConsultaSaldosContabl!I$4:K$7987,3,0)</f>
        <v>25286184</v>
      </c>
      <c r="CI939" s="62">
        <f t="shared" si="133"/>
        <v>28378697</v>
      </c>
      <c r="CJ939" s="63">
        <f t="shared" si="134"/>
        <v>53664881</v>
      </c>
      <c r="CK939" s="64">
        <f t="shared" si="135"/>
        <v>0</v>
      </c>
      <c r="CL939" s="16"/>
      <c r="CM939" s="8"/>
      <c r="CN939" s="8"/>
      <c r="CO939" s="8"/>
      <c r="CP939" s="8"/>
      <c r="CQ939" s="8"/>
      <c r="CR939" s="8"/>
    </row>
    <row r="940" spans="1:96" ht="15" customHeight="1" x14ac:dyDescent="0.2">
      <c r="A940" s="1">
        <v>8000994412</v>
      </c>
      <c r="B940" s="1">
        <v>800099441</v>
      </c>
      <c r="C940" s="9">
        <v>212315723</v>
      </c>
      <c r="D940" s="10" t="s">
        <v>306</v>
      </c>
      <c r="E940" s="45" t="s">
        <v>1338</v>
      </c>
      <c r="F940" s="21"/>
      <c r="G940" s="59"/>
      <c r="H940" s="21"/>
      <c r="I940" s="59"/>
      <c r="J940" s="21"/>
      <c r="K940" s="21"/>
      <c r="L940" s="59"/>
      <c r="M940" s="60"/>
      <c r="N940" s="21"/>
      <c r="O940" s="59"/>
      <c r="P940" s="21"/>
      <c r="Q940" s="59"/>
      <c r="R940" s="21"/>
      <c r="S940" s="21"/>
      <c r="T940" s="59"/>
      <c r="U940" s="60">
        <f t="shared" si="130"/>
        <v>0</v>
      </c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>
        <f>VLOOKUP(B940,[2]Hoja3!J$3:K$674,2,0)</f>
        <v>17252572</v>
      </c>
      <c r="BB940" s="60"/>
      <c r="BC940" s="61">
        <f t="shared" si="131"/>
        <v>17252572</v>
      </c>
      <c r="BD940" s="60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>
        <v>0</v>
      </c>
      <c r="BO940" s="60"/>
      <c r="BP940" s="61">
        <v>17252572</v>
      </c>
      <c r="BQ940" s="61"/>
      <c r="BR940" s="61"/>
      <c r="BS940" s="61"/>
      <c r="BT940" s="61"/>
      <c r="BU940" s="61"/>
      <c r="BV940" s="61"/>
      <c r="BW940" s="61"/>
      <c r="BX940" s="61"/>
      <c r="BY940" s="61"/>
      <c r="BZ940" s="61"/>
      <c r="CA940" s="61"/>
      <c r="CB940" s="61"/>
      <c r="CC940" s="61">
        <v>11989285</v>
      </c>
      <c r="CD940" s="61"/>
      <c r="CE940" s="61"/>
      <c r="CF940" s="61"/>
      <c r="CG940" s="61">
        <f t="shared" si="132"/>
        <v>29241857</v>
      </c>
      <c r="CH940" s="62">
        <f>VLOOKUP(B940,[1]RPTNCT049_ConsultaSaldosContabl!I$4:K$7987,3,0)</f>
        <v>11989285</v>
      </c>
      <c r="CI940" s="62">
        <f t="shared" si="133"/>
        <v>17252572</v>
      </c>
      <c r="CJ940" s="63">
        <f t="shared" si="134"/>
        <v>29241857</v>
      </c>
      <c r="CK940" s="64">
        <f t="shared" si="135"/>
        <v>0</v>
      </c>
      <c r="CL940" s="16"/>
      <c r="CM940" s="8"/>
      <c r="CN940" s="8"/>
      <c r="CO940" s="8"/>
      <c r="CP940" s="8"/>
      <c r="CQ940" s="8"/>
      <c r="CR940" s="8"/>
    </row>
    <row r="941" spans="1:96" ht="15" customHeight="1" x14ac:dyDescent="0.2">
      <c r="A941" s="1">
        <v>8909813912</v>
      </c>
      <c r="B941" s="1">
        <v>890981391</v>
      </c>
      <c r="C941" s="9">
        <v>213605736</v>
      </c>
      <c r="D941" s="10" t="s">
        <v>141</v>
      </c>
      <c r="E941" s="45" t="s">
        <v>1170</v>
      </c>
      <c r="F941" s="21"/>
      <c r="G941" s="59"/>
      <c r="H941" s="21"/>
      <c r="I941" s="59"/>
      <c r="J941" s="21"/>
      <c r="K941" s="21"/>
      <c r="L941" s="59"/>
      <c r="M941" s="60"/>
      <c r="N941" s="21"/>
      <c r="O941" s="59"/>
      <c r="P941" s="21"/>
      <c r="Q941" s="59"/>
      <c r="R941" s="21"/>
      <c r="S941" s="21"/>
      <c r="T941" s="59"/>
      <c r="U941" s="60">
        <f t="shared" si="130"/>
        <v>0</v>
      </c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>
        <v>247571115</v>
      </c>
      <c r="AZ941" s="60"/>
      <c r="BA941" s="60">
        <f>VLOOKUP(B941,[2]Hoja3!J$3:K$674,2,0)</f>
        <v>502889898</v>
      </c>
      <c r="BB941" s="60"/>
      <c r="BC941" s="61">
        <f t="shared" si="131"/>
        <v>750461013</v>
      </c>
      <c r="BD941" s="60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>
        <v>49514223</v>
      </c>
      <c r="BO941" s="60"/>
      <c r="BP941" s="61">
        <v>799975236</v>
      </c>
      <c r="BQ941" s="61"/>
      <c r="BR941" s="61"/>
      <c r="BS941" s="61"/>
      <c r="BT941" s="61"/>
      <c r="BU941" s="61"/>
      <c r="BV941" s="61"/>
      <c r="BW941" s="61"/>
      <c r="BX941" s="61"/>
      <c r="BY941" s="61"/>
      <c r="BZ941" s="61"/>
      <c r="CA941" s="61"/>
      <c r="CB941" s="61"/>
      <c r="CC941" s="61">
        <v>49514223</v>
      </c>
      <c r="CD941" s="61"/>
      <c r="CE941" s="61"/>
      <c r="CF941" s="61"/>
      <c r="CG941" s="61">
        <f t="shared" si="132"/>
        <v>849489459</v>
      </c>
      <c r="CH941" s="62">
        <f>VLOOKUP(B941,[1]RPTNCT049_ConsultaSaldosContabl!I$4:K$7987,3,0)</f>
        <v>346599561</v>
      </c>
      <c r="CI941" s="62">
        <f t="shared" si="133"/>
        <v>502889898</v>
      </c>
      <c r="CJ941" s="63">
        <f t="shared" si="134"/>
        <v>849489459</v>
      </c>
      <c r="CK941" s="64">
        <f t="shared" si="135"/>
        <v>0</v>
      </c>
      <c r="CL941" s="16"/>
      <c r="CM941" s="16"/>
      <c r="CN941" s="16"/>
    </row>
    <row r="942" spans="1:96" ht="15" customHeight="1" x14ac:dyDescent="0.2">
      <c r="A942" s="1">
        <v>8999994152</v>
      </c>
      <c r="B942" s="1">
        <v>899999415</v>
      </c>
      <c r="C942" s="9">
        <v>213625736</v>
      </c>
      <c r="D942" s="10" t="s">
        <v>535</v>
      </c>
      <c r="E942" s="45" t="s">
        <v>1561</v>
      </c>
      <c r="F942" s="21"/>
      <c r="G942" s="59"/>
      <c r="H942" s="21"/>
      <c r="I942" s="59"/>
      <c r="J942" s="21"/>
      <c r="K942" s="21"/>
      <c r="L942" s="59"/>
      <c r="M942" s="60"/>
      <c r="N942" s="21"/>
      <c r="O942" s="59"/>
      <c r="P942" s="21"/>
      <c r="Q942" s="59"/>
      <c r="R942" s="21"/>
      <c r="S942" s="21"/>
      <c r="T942" s="59"/>
      <c r="U942" s="60">
        <f t="shared" si="130"/>
        <v>0</v>
      </c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>
        <v>167762183</v>
      </c>
      <c r="AN942" s="60">
        <f t="shared" ref="AN942:AN949" si="136">SUBTOTAL(9,AC942:AM942)</f>
        <v>167762183</v>
      </c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>
        <v>62950010</v>
      </c>
      <c r="AZ942" s="60"/>
      <c r="BA942" s="60"/>
      <c r="BB942" s="60"/>
      <c r="BC942" s="61">
        <f t="shared" si="131"/>
        <v>230712193</v>
      </c>
      <c r="BD942" s="60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>
        <v>12590002</v>
      </c>
      <c r="BO942" s="60"/>
      <c r="BP942" s="61">
        <v>243302195</v>
      </c>
      <c r="BQ942" s="61"/>
      <c r="BR942" s="61"/>
      <c r="BS942" s="61"/>
      <c r="BT942" s="61"/>
      <c r="BU942" s="61"/>
      <c r="BV942" s="61"/>
      <c r="BW942" s="61"/>
      <c r="BX942" s="61"/>
      <c r="BY942" s="61"/>
      <c r="BZ942" s="61"/>
      <c r="CA942" s="61"/>
      <c r="CB942" s="61"/>
      <c r="CC942" s="61">
        <v>12590002</v>
      </c>
      <c r="CD942" s="61"/>
      <c r="CE942" s="61"/>
      <c r="CF942" s="61"/>
      <c r="CG942" s="61">
        <f t="shared" si="132"/>
        <v>255892197</v>
      </c>
      <c r="CH942" s="62">
        <f>VLOOKUP(B942,[1]RPTNCT049_ConsultaSaldosContabl!I$4:K$7987,3,0)</f>
        <v>88130014</v>
      </c>
      <c r="CI942" s="62">
        <f t="shared" si="133"/>
        <v>167762183</v>
      </c>
      <c r="CJ942" s="63">
        <f t="shared" si="134"/>
        <v>255892197</v>
      </c>
      <c r="CK942" s="64">
        <f t="shared" si="135"/>
        <v>0</v>
      </c>
      <c r="CL942" s="16"/>
      <c r="CM942" s="16"/>
      <c r="CN942" s="16"/>
    </row>
    <row r="943" spans="1:96" ht="15" customHeight="1" x14ac:dyDescent="0.2">
      <c r="A943" s="1">
        <v>8001005270</v>
      </c>
      <c r="B943" s="1">
        <v>800100527</v>
      </c>
      <c r="C943" s="9">
        <v>213676736</v>
      </c>
      <c r="D943" s="10" t="s">
        <v>939</v>
      </c>
      <c r="E943" s="45" t="s">
        <v>1999</v>
      </c>
      <c r="F943" s="21"/>
      <c r="G943" s="59"/>
      <c r="H943" s="21"/>
      <c r="I943" s="59"/>
      <c r="J943" s="21"/>
      <c r="K943" s="21"/>
      <c r="L943" s="59"/>
      <c r="M943" s="60"/>
      <c r="N943" s="21"/>
      <c r="O943" s="59"/>
      <c r="P943" s="21"/>
      <c r="Q943" s="59"/>
      <c r="R943" s="21"/>
      <c r="S943" s="21"/>
      <c r="T943" s="59"/>
      <c r="U943" s="60">
        <f t="shared" si="130"/>
        <v>0</v>
      </c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>
        <v>47482991</v>
      </c>
      <c r="AN943" s="60">
        <f t="shared" si="136"/>
        <v>47482991</v>
      </c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>
        <v>295298695</v>
      </c>
      <c r="AZ943" s="60"/>
      <c r="BA943" s="60">
        <f>VLOOKUP(B943,[2]Hoja3!J$3:K$674,2,0)</f>
        <v>386807411</v>
      </c>
      <c r="BB943" s="60"/>
      <c r="BC943" s="61">
        <f t="shared" si="131"/>
        <v>729589097</v>
      </c>
      <c r="BD943" s="60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>
        <v>59059739</v>
      </c>
      <c r="BO943" s="60"/>
      <c r="BP943" s="61">
        <v>788648836</v>
      </c>
      <c r="BQ943" s="61"/>
      <c r="BR943" s="61"/>
      <c r="BS943" s="61"/>
      <c r="BT943" s="61"/>
      <c r="BU943" s="61"/>
      <c r="BV943" s="61"/>
      <c r="BW943" s="61"/>
      <c r="BX943" s="61"/>
      <c r="BY943" s="61"/>
      <c r="BZ943" s="61"/>
      <c r="CA943" s="61"/>
      <c r="CB943" s="61"/>
      <c r="CC943" s="61">
        <v>59059739</v>
      </c>
      <c r="CD943" s="61"/>
      <c r="CE943" s="61"/>
      <c r="CF943" s="61"/>
      <c r="CG943" s="61">
        <f t="shared" si="132"/>
        <v>847708575</v>
      </c>
      <c r="CH943" s="62">
        <f>VLOOKUP(B943,[1]RPTNCT049_ConsultaSaldosContabl!I$4:K$7987,3,0)</f>
        <v>413418173</v>
      </c>
      <c r="CI943" s="62">
        <f t="shared" si="133"/>
        <v>434290402</v>
      </c>
      <c r="CJ943" s="63">
        <f t="shared" si="134"/>
        <v>847708575</v>
      </c>
      <c r="CK943" s="64">
        <f t="shared" si="135"/>
        <v>0</v>
      </c>
      <c r="CL943" s="16"/>
      <c r="CM943" s="16"/>
      <c r="CN943" s="16"/>
    </row>
    <row r="944" spans="1:96" ht="15" customHeight="1" x14ac:dyDescent="0.2">
      <c r="A944" s="1">
        <v>8918019115</v>
      </c>
      <c r="B944" s="1">
        <v>891801911</v>
      </c>
      <c r="C944" s="9">
        <v>214015740</v>
      </c>
      <c r="D944" s="10" t="s">
        <v>307</v>
      </c>
      <c r="E944" s="45" t="s">
        <v>1339</v>
      </c>
      <c r="F944" s="21"/>
      <c r="G944" s="59"/>
      <c r="H944" s="21"/>
      <c r="I944" s="59"/>
      <c r="J944" s="21"/>
      <c r="K944" s="21"/>
      <c r="L944" s="59"/>
      <c r="M944" s="60"/>
      <c r="N944" s="21"/>
      <c r="O944" s="59"/>
      <c r="P944" s="21"/>
      <c r="Q944" s="59"/>
      <c r="R944" s="21"/>
      <c r="S944" s="21"/>
      <c r="T944" s="59"/>
      <c r="U944" s="60">
        <f t="shared" si="130"/>
        <v>0</v>
      </c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>
        <v>22127094</v>
      </c>
      <c r="AN944" s="60">
        <f t="shared" si="136"/>
        <v>22127094</v>
      </c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>
        <v>75745700</v>
      </c>
      <c r="AZ944" s="60"/>
      <c r="BA944" s="60">
        <f>VLOOKUP(B944,[2]Hoja3!J$3:K$674,2,0)</f>
        <v>118751760</v>
      </c>
      <c r="BB944" s="60"/>
      <c r="BC944" s="61">
        <f t="shared" si="131"/>
        <v>216624554</v>
      </c>
      <c r="BD944" s="60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>
        <v>15149140</v>
      </c>
      <c r="BO944" s="60"/>
      <c r="BP944" s="61">
        <v>231773694</v>
      </c>
      <c r="BQ944" s="61"/>
      <c r="BR944" s="61"/>
      <c r="BS944" s="61"/>
      <c r="BT944" s="61"/>
      <c r="BU944" s="61"/>
      <c r="BV944" s="61"/>
      <c r="BW944" s="61"/>
      <c r="BX944" s="61"/>
      <c r="BY944" s="61"/>
      <c r="BZ944" s="61"/>
      <c r="CA944" s="61"/>
      <c r="CB944" s="61"/>
      <c r="CC944" s="61">
        <v>15149140</v>
      </c>
      <c r="CD944" s="61"/>
      <c r="CE944" s="61"/>
      <c r="CF944" s="61"/>
      <c r="CG944" s="61">
        <f t="shared" si="132"/>
        <v>246922834</v>
      </c>
      <c r="CH944" s="62">
        <f>VLOOKUP(B944,[1]RPTNCT049_ConsultaSaldosContabl!I$4:K$7987,3,0)</f>
        <v>106043980</v>
      </c>
      <c r="CI944" s="62">
        <f t="shared" si="133"/>
        <v>140878854</v>
      </c>
      <c r="CJ944" s="63">
        <f t="shared" si="134"/>
        <v>246922834</v>
      </c>
      <c r="CK944" s="64">
        <f t="shared" si="135"/>
        <v>0</v>
      </c>
      <c r="CL944" s="16"/>
      <c r="CM944" s="8"/>
      <c r="CN944" s="8"/>
      <c r="CO944" s="8"/>
      <c r="CP944" s="8"/>
      <c r="CQ944" s="8"/>
      <c r="CR944" s="8"/>
    </row>
    <row r="945" spans="1:96" ht="15" customHeight="1" x14ac:dyDescent="0.2">
      <c r="A945" s="1">
        <v>8999993724</v>
      </c>
      <c r="B945" s="1">
        <v>899999372</v>
      </c>
      <c r="C945" s="9">
        <v>214025740</v>
      </c>
      <c r="D945" s="10" t="s">
        <v>536</v>
      </c>
      <c r="E945" s="45" t="s">
        <v>1562</v>
      </c>
      <c r="F945" s="21"/>
      <c r="G945" s="59"/>
      <c r="H945" s="21"/>
      <c r="I945" s="59"/>
      <c r="J945" s="21"/>
      <c r="K945" s="21"/>
      <c r="L945" s="59"/>
      <c r="M945" s="60"/>
      <c r="N945" s="21"/>
      <c r="O945" s="59"/>
      <c r="P945" s="21"/>
      <c r="Q945" s="59"/>
      <c r="R945" s="21"/>
      <c r="S945" s="21"/>
      <c r="T945" s="59"/>
      <c r="U945" s="60">
        <f t="shared" si="130"/>
        <v>0</v>
      </c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>
        <v>361674615</v>
      </c>
      <c r="AN945" s="60">
        <f t="shared" si="136"/>
        <v>361674615</v>
      </c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1">
        <f t="shared" si="131"/>
        <v>361674615</v>
      </c>
      <c r="BD945" s="60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>
        <v>0</v>
      </c>
      <c r="BO945" s="60"/>
      <c r="BP945" s="61">
        <v>361674615</v>
      </c>
      <c r="BQ945" s="61"/>
      <c r="BR945" s="61"/>
      <c r="BS945" s="61"/>
      <c r="BT945" s="61"/>
      <c r="BU945" s="61"/>
      <c r="BV945" s="61"/>
      <c r="BW945" s="61"/>
      <c r="BX945" s="61"/>
      <c r="BY945" s="61"/>
      <c r="BZ945" s="61"/>
      <c r="CA945" s="61"/>
      <c r="CB945" s="61"/>
      <c r="CC945" s="61">
        <v>0</v>
      </c>
      <c r="CD945" s="61"/>
      <c r="CE945" s="61"/>
      <c r="CF945" s="61"/>
      <c r="CG945" s="61">
        <f t="shared" si="132"/>
        <v>361674615</v>
      </c>
      <c r="CH945" s="62"/>
      <c r="CI945" s="62">
        <f t="shared" si="133"/>
        <v>361674615</v>
      </c>
      <c r="CJ945" s="63">
        <f t="shared" si="134"/>
        <v>361674615</v>
      </c>
      <c r="CK945" s="64">
        <f t="shared" si="135"/>
        <v>0</v>
      </c>
      <c r="CL945" s="16"/>
      <c r="CM945" s="16"/>
      <c r="CN945" s="16"/>
    </row>
    <row r="946" spans="1:96" ht="15" customHeight="1" x14ac:dyDescent="0.2">
      <c r="A946" s="1">
        <v>8912016456</v>
      </c>
      <c r="B946" s="1">
        <v>891201645</v>
      </c>
      <c r="C946" s="9">
        <v>214986749</v>
      </c>
      <c r="D946" s="10" t="s">
        <v>981</v>
      </c>
      <c r="E946" s="45" t="s">
        <v>2038</v>
      </c>
      <c r="F946" s="21"/>
      <c r="G946" s="59"/>
      <c r="H946" s="21"/>
      <c r="I946" s="59"/>
      <c r="J946" s="21"/>
      <c r="K946" s="21"/>
      <c r="L946" s="59"/>
      <c r="M946" s="60"/>
      <c r="N946" s="21"/>
      <c r="O946" s="59"/>
      <c r="P946" s="21"/>
      <c r="Q946" s="59"/>
      <c r="R946" s="21"/>
      <c r="S946" s="21"/>
      <c r="T946" s="59"/>
      <c r="U946" s="60">
        <f t="shared" si="130"/>
        <v>0</v>
      </c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>
        <v>257597742</v>
      </c>
      <c r="AN946" s="60">
        <f t="shared" si="136"/>
        <v>257597742</v>
      </c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>
        <v>113161110</v>
      </c>
      <c r="AZ946" s="60"/>
      <c r="BA946" s="60"/>
      <c r="BB946" s="60"/>
      <c r="BC946" s="61">
        <f t="shared" si="131"/>
        <v>370758852</v>
      </c>
      <c r="BD946" s="60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>
        <v>22632222</v>
      </c>
      <c r="BO946" s="60"/>
      <c r="BP946" s="61">
        <v>393391074</v>
      </c>
      <c r="BQ946" s="61"/>
      <c r="BR946" s="61"/>
      <c r="BS946" s="61"/>
      <c r="BT946" s="61"/>
      <c r="BU946" s="61"/>
      <c r="BV946" s="61"/>
      <c r="BW946" s="61"/>
      <c r="BX946" s="61"/>
      <c r="BY946" s="61"/>
      <c r="BZ946" s="61"/>
      <c r="CA946" s="61"/>
      <c r="CB946" s="61"/>
      <c r="CC946" s="61">
        <v>22632222</v>
      </c>
      <c r="CD946" s="61"/>
      <c r="CE946" s="61"/>
      <c r="CF946" s="61"/>
      <c r="CG946" s="61">
        <f t="shared" si="132"/>
        <v>416023296</v>
      </c>
      <c r="CH946" s="62">
        <f>VLOOKUP(B946,[1]RPTNCT049_ConsultaSaldosContabl!I$4:K$7987,3,0)</f>
        <v>158425554</v>
      </c>
      <c r="CI946" s="62">
        <f t="shared" si="133"/>
        <v>257597742</v>
      </c>
      <c r="CJ946" s="63">
        <f t="shared" si="134"/>
        <v>416023296</v>
      </c>
      <c r="CK946" s="64">
        <f t="shared" si="135"/>
        <v>0</v>
      </c>
      <c r="CL946" s="16"/>
      <c r="CM946" s="16"/>
      <c r="CN946" s="16"/>
    </row>
    <row r="947" spans="1:96" ht="15" customHeight="1" x14ac:dyDescent="0.2">
      <c r="A947" s="1">
        <v>8905061286</v>
      </c>
      <c r="B947" s="1">
        <v>890506128</v>
      </c>
      <c r="C947" s="9">
        <v>214354743</v>
      </c>
      <c r="D947" s="10" t="s">
        <v>784</v>
      </c>
      <c r="E947" s="45" t="s">
        <v>1800</v>
      </c>
      <c r="F947" s="21"/>
      <c r="G947" s="59"/>
      <c r="H947" s="21"/>
      <c r="I947" s="59"/>
      <c r="J947" s="21"/>
      <c r="K947" s="21"/>
      <c r="L947" s="59"/>
      <c r="M947" s="60"/>
      <c r="N947" s="21"/>
      <c r="O947" s="59"/>
      <c r="P947" s="21"/>
      <c r="Q947" s="59"/>
      <c r="R947" s="21"/>
      <c r="S947" s="21"/>
      <c r="T947" s="59"/>
      <c r="U947" s="60">
        <f t="shared" si="130"/>
        <v>0</v>
      </c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>
        <v>24340853</v>
      </c>
      <c r="AN947" s="60">
        <f t="shared" si="136"/>
        <v>24340853</v>
      </c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>
        <v>44710940</v>
      </c>
      <c r="AZ947" s="60"/>
      <c r="BA947" s="60">
        <f>VLOOKUP(B947,[2]Hoja3!J$3:K$674,2,0)</f>
        <v>67584600</v>
      </c>
      <c r="BB947" s="60"/>
      <c r="BC947" s="61">
        <f t="shared" si="131"/>
        <v>136636393</v>
      </c>
      <c r="BD947" s="60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>
        <v>8942188</v>
      </c>
      <c r="BO947" s="60"/>
      <c r="BP947" s="61">
        <v>145578581</v>
      </c>
      <c r="BQ947" s="61"/>
      <c r="BR947" s="61"/>
      <c r="BS947" s="61"/>
      <c r="BT947" s="61"/>
      <c r="BU947" s="61"/>
      <c r="BV947" s="61"/>
      <c r="BW947" s="61"/>
      <c r="BX947" s="61"/>
      <c r="BY947" s="61"/>
      <c r="BZ947" s="61"/>
      <c r="CA947" s="61"/>
      <c r="CB947" s="61"/>
      <c r="CC947" s="61">
        <v>8942188</v>
      </c>
      <c r="CD947" s="61"/>
      <c r="CE947" s="61"/>
      <c r="CF947" s="61"/>
      <c r="CG947" s="61">
        <f t="shared" si="132"/>
        <v>154520769</v>
      </c>
      <c r="CH947" s="62">
        <f>VLOOKUP(B947,[1]RPTNCT049_ConsultaSaldosContabl!I$4:K$7987,3,0)</f>
        <v>62595316</v>
      </c>
      <c r="CI947" s="62">
        <f t="shared" si="133"/>
        <v>91925453</v>
      </c>
      <c r="CJ947" s="63">
        <f t="shared" si="134"/>
        <v>154520769</v>
      </c>
      <c r="CK947" s="64">
        <f t="shared" si="135"/>
        <v>0</v>
      </c>
      <c r="CL947" s="16"/>
      <c r="CM947" s="16"/>
      <c r="CN947" s="16"/>
    </row>
    <row r="948" spans="1:96" ht="15" customHeight="1" x14ac:dyDescent="0.2">
      <c r="A948" s="1">
        <v>8906804370</v>
      </c>
      <c r="B948" s="1">
        <v>890680437</v>
      </c>
      <c r="C948" s="9">
        <v>214325743</v>
      </c>
      <c r="D948" s="10" t="s">
        <v>537</v>
      </c>
      <c r="E948" s="45" t="s">
        <v>1563</v>
      </c>
      <c r="F948" s="21"/>
      <c r="G948" s="59"/>
      <c r="H948" s="21"/>
      <c r="I948" s="59"/>
      <c r="J948" s="21"/>
      <c r="K948" s="21"/>
      <c r="L948" s="59"/>
      <c r="M948" s="60"/>
      <c r="N948" s="21"/>
      <c r="O948" s="59"/>
      <c r="P948" s="21"/>
      <c r="Q948" s="59"/>
      <c r="R948" s="21"/>
      <c r="S948" s="21"/>
      <c r="T948" s="59"/>
      <c r="U948" s="60">
        <f t="shared" si="130"/>
        <v>0</v>
      </c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>
        <v>311915386</v>
      </c>
      <c r="AN948" s="60">
        <f t="shared" si="136"/>
        <v>311915386</v>
      </c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>
        <v>138186500</v>
      </c>
      <c r="AZ948" s="60"/>
      <c r="BA948" s="60"/>
      <c r="BB948" s="60"/>
      <c r="BC948" s="61">
        <f t="shared" si="131"/>
        <v>450101886</v>
      </c>
      <c r="BD948" s="60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>
        <v>27637300</v>
      </c>
      <c r="BO948" s="60"/>
      <c r="BP948" s="61">
        <v>477739186</v>
      </c>
      <c r="BQ948" s="61"/>
      <c r="BR948" s="61"/>
      <c r="BS948" s="61"/>
      <c r="BT948" s="61"/>
      <c r="BU948" s="61"/>
      <c r="BV948" s="61"/>
      <c r="BW948" s="61"/>
      <c r="BX948" s="61"/>
      <c r="BY948" s="61"/>
      <c r="BZ948" s="61"/>
      <c r="CA948" s="61"/>
      <c r="CB948" s="61"/>
      <c r="CC948" s="61">
        <v>27637300</v>
      </c>
      <c r="CD948" s="61"/>
      <c r="CE948" s="61"/>
      <c r="CF948" s="61"/>
      <c r="CG948" s="61">
        <f t="shared" si="132"/>
        <v>505376486</v>
      </c>
      <c r="CH948" s="62">
        <f>VLOOKUP(B948,[1]RPTNCT049_ConsultaSaldosContabl!I$4:K$7987,3,0)</f>
        <v>193461100</v>
      </c>
      <c r="CI948" s="62">
        <f t="shared" si="133"/>
        <v>311915386</v>
      </c>
      <c r="CJ948" s="63">
        <f t="shared" si="134"/>
        <v>505376486</v>
      </c>
      <c r="CK948" s="64">
        <f t="shared" si="135"/>
        <v>0</v>
      </c>
      <c r="CL948" s="16"/>
      <c r="CM948" s="16"/>
      <c r="CN948" s="16"/>
    </row>
    <row r="949" spans="1:96" ht="15" customHeight="1" x14ac:dyDescent="0.2">
      <c r="A949" s="1">
        <v>8000959866</v>
      </c>
      <c r="B949" s="1">
        <v>800095986</v>
      </c>
      <c r="C949" s="9">
        <v>214319743</v>
      </c>
      <c r="D949" s="10" t="s">
        <v>404</v>
      </c>
      <c r="E949" s="45" t="s">
        <v>1433</v>
      </c>
      <c r="F949" s="21"/>
      <c r="G949" s="59"/>
      <c r="H949" s="21"/>
      <c r="I949" s="59"/>
      <c r="J949" s="21"/>
      <c r="K949" s="21"/>
      <c r="L949" s="59"/>
      <c r="M949" s="60"/>
      <c r="N949" s="21"/>
      <c r="O949" s="59"/>
      <c r="P949" s="21"/>
      <c r="Q949" s="59"/>
      <c r="R949" s="21"/>
      <c r="S949" s="21"/>
      <c r="T949" s="59"/>
      <c r="U949" s="60">
        <f t="shared" si="130"/>
        <v>0</v>
      </c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>
        <v>37389652</v>
      </c>
      <c r="AN949" s="60">
        <f t="shared" si="136"/>
        <v>37389652</v>
      </c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>
        <f>VLOOKUP(B949,[2]Hoja3!J$3:K$674,2,0)</f>
        <v>138980967</v>
      </c>
      <c r="BB949" s="60"/>
      <c r="BC949" s="61">
        <f t="shared" si="131"/>
        <v>176370619</v>
      </c>
      <c r="BD949" s="60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>
        <v>0</v>
      </c>
      <c r="BO949" s="60"/>
      <c r="BP949" s="61">
        <v>176370619</v>
      </c>
      <c r="BQ949" s="61"/>
      <c r="BR949" s="61"/>
      <c r="BS949" s="61"/>
      <c r="BT949" s="61"/>
      <c r="BU949" s="61"/>
      <c r="BV949" s="61"/>
      <c r="BW949" s="61"/>
      <c r="BX949" s="61"/>
      <c r="BY949" s="61"/>
      <c r="BZ949" s="61"/>
      <c r="CA949" s="61"/>
      <c r="CB949" s="61"/>
      <c r="CC949" s="61">
        <v>0</v>
      </c>
      <c r="CD949" s="61"/>
      <c r="CE949" s="61"/>
      <c r="CF949" s="61"/>
      <c r="CG949" s="61">
        <f t="shared" si="132"/>
        <v>176370619</v>
      </c>
      <c r="CH949" s="62"/>
      <c r="CI949" s="62">
        <f t="shared" si="133"/>
        <v>176370619</v>
      </c>
      <c r="CJ949" s="63">
        <f t="shared" si="134"/>
        <v>176370619</v>
      </c>
      <c r="CK949" s="64">
        <f t="shared" si="135"/>
        <v>0</v>
      </c>
      <c r="CL949" s="16"/>
      <c r="CM949" s="16"/>
      <c r="CN949" s="16"/>
    </row>
    <row r="950" spans="1:96" ht="15" customHeight="1" x14ac:dyDescent="0.2">
      <c r="A950" s="1">
        <v>8902088070</v>
      </c>
      <c r="B950" s="1">
        <v>890208807</v>
      </c>
      <c r="C950" s="9">
        <v>214568745</v>
      </c>
      <c r="D950" s="10" t="s">
        <v>880</v>
      </c>
      <c r="E950" s="45" t="s">
        <v>1893</v>
      </c>
      <c r="F950" s="21"/>
      <c r="G950" s="59"/>
      <c r="H950" s="21"/>
      <c r="I950" s="59"/>
      <c r="J950" s="21"/>
      <c r="K950" s="21"/>
      <c r="L950" s="59"/>
      <c r="M950" s="60"/>
      <c r="N950" s="21"/>
      <c r="O950" s="59"/>
      <c r="P950" s="21"/>
      <c r="Q950" s="59"/>
      <c r="R950" s="21"/>
      <c r="S950" s="21"/>
      <c r="T950" s="59"/>
      <c r="U950" s="60">
        <f t="shared" si="130"/>
        <v>0</v>
      </c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>
        <v>67821210</v>
      </c>
      <c r="AZ950" s="60"/>
      <c r="BA950" s="60">
        <f>VLOOKUP(B950,[2]Hoja3!J$3:K$674,2,0)</f>
        <v>154090801</v>
      </c>
      <c r="BB950" s="60"/>
      <c r="BC950" s="61">
        <f t="shared" si="131"/>
        <v>221912011</v>
      </c>
      <c r="BD950" s="60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>
        <v>13564242</v>
      </c>
      <c r="BO950" s="60"/>
      <c r="BP950" s="61">
        <v>235476253</v>
      </c>
      <c r="BQ950" s="61"/>
      <c r="BR950" s="61"/>
      <c r="BS950" s="61"/>
      <c r="BT950" s="61"/>
      <c r="BU950" s="61"/>
      <c r="BV950" s="61"/>
      <c r="BW950" s="61"/>
      <c r="BX950" s="61"/>
      <c r="BY950" s="61"/>
      <c r="BZ950" s="61"/>
      <c r="CA950" s="61"/>
      <c r="CB950" s="61"/>
      <c r="CC950" s="61">
        <v>13564242</v>
      </c>
      <c r="CD950" s="61"/>
      <c r="CE950" s="61"/>
      <c r="CF950" s="61"/>
      <c r="CG950" s="61">
        <f t="shared" si="132"/>
        <v>249040495</v>
      </c>
      <c r="CH950" s="62">
        <f>VLOOKUP(B950,[1]RPTNCT049_ConsultaSaldosContabl!I$4:K$7987,3,0)</f>
        <v>94949694</v>
      </c>
      <c r="CI950" s="62">
        <f t="shared" si="133"/>
        <v>154090801</v>
      </c>
      <c r="CJ950" s="63">
        <f t="shared" si="134"/>
        <v>249040495</v>
      </c>
      <c r="CK950" s="64">
        <f t="shared" si="135"/>
        <v>0</v>
      </c>
      <c r="CL950" s="16"/>
      <c r="CM950" s="16"/>
      <c r="CN950" s="16"/>
    </row>
    <row r="951" spans="1:96" ht="15" customHeight="1" x14ac:dyDescent="0.2">
      <c r="A951" s="1">
        <v>8999993842</v>
      </c>
      <c r="B951" s="1">
        <v>899999384</v>
      </c>
      <c r="C951" s="9">
        <v>214525745</v>
      </c>
      <c r="D951" s="10" t="s">
        <v>538</v>
      </c>
      <c r="E951" s="48" t="s">
        <v>2104</v>
      </c>
      <c r="F951" s="21"/>
      <c r="G951" s="59"/>
      <c r="H951" s="21"/>
      <c r="I951" s="59"/>
      <c r="J951" s="21"/>
      <c r="K951" s="21"/>
      <c r="L951" s="59"/>
      <c r="M951" s="60"/>
      <c r="N951" s="21"/>
      <c r="O951" s="59"/>
      <c r="P951" s="21"/>
      <c r="Q951" s="59"/>
      <c r="R951" s="21"/>
      <c r="S951" s="21"/>
      <c r="T951" s="59"/>
      <c r="U951" s="60">
        <f t="shared" si="130"/>
        <v>0</v>
      </c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>
        <v>195255486</v>
      </c>
      <c r="AN951" s="60">
        <f>SUBTOTAL(9,AC951:AM951)</f>
        <v>195255486</v>
      </c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>
        <v>79834025</v>
      </c>
      <c r="AZ951" s="60"/>
      <c r="BA951" s="60"/>
      <c r="BB951" s="60"/>
      <c r="BC951" s="61">
        <f t="shared" si="131"/>
        <v>275089511</v>
      </c>
      <c r="BD951" s="60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>
        <v>15966805</v>
      </c>
      <c r="BO951" s="60"/>
      <c r="BP951" s="61">
        <v>291056316</v>
      </c>
      <c r="BQ951" s="61"/>
      <c r="BR951" s="61"/>
      <c r="BS951" s="61"/>
      <c r="BT951" s="61"/>
      <c r="BU951" s="61"/>
      <c r="BV951" s="61"/>
      <c r="BW951" s="61"/>
      <c r="BX951" s="61"/>
      <c r="BY951" s="61"/>
      <c r="BZ951" s="61"/>
      <c r="CA951" s="61"/>
      <c r="CB951" s="61"/>
      <c r="CC951" s="61">
        <v>15966805</v>
      </c>
      <c r="CD951" s="61"/>
      <c r="CE951" s="61"/>
      <c r="CF951" s="61"/>
      <c r="CG951" s="61">
        <f t="shared" si="132"/>
        <v>307023121</v>
      </c>
      <c r="CH951" s="62">
        <f>VLOOKUP(B951,[1]RPTNCT049_ConsultaSaldosContabl!I$4:K$7987,3,0)</f>
        <v>111767635</v>
      </c>
      <c r="CI951" s="62">
        <f t="shared" si="133"/>
        <v>195255486</v>
      </c>
      <c r="CJ951" s="63">
        <f t="shared" si="134"/>
        <v>307023121</v>
      </c>
      <c r="CK951" s="64">
        <f t="shared" si="135"/>
        <v>0</v>
      </c>
      <c r="CL951" s="16"/>
      <c r="CM951" s="16"/>
      <c r="CN951" s="16"/>
    </row>
    <row r="952" spans="1:96" ht="15" customHeight="1" x14ac:dyDescent="0.2">
      <c r="A952" s="1">
        <v>8904800061</v>
      </c>
      <c r="B952" s="1">
        <v>890480006</v>
      </c>
      <c r="C952" s="9">
        <v>214413744</v>
      </c>
      <c r="D952" s="10" t="s">
        <v>209</v>
      </c>
      <c r="E952" s="45" t="s">
        <v>1244</v>
      </c>
      <c r="F952" s="21"/>
      <c r="G952" s="59"/>
      <c r="H952" s="21"/>
      <c r="I952" s="59"/>
      <c r="J952" s="21"/>
      <c r="K952" s="21"/>
      <c r="L952" s="59"/>
      <c r="M952" s="60"/>
      <c r="N952" s="21"/>
      <c r="O952" s="59"/>
      <c r="P952" s="21"/>
      <c r="Q952" s="59"/>
      <c r="R952" s="21"/>
      <c r="S952" s="21"/>
      <c r="T952" s="59"/>
      <c r="U952" s="60">
        <f t="shared" si="130"/>
        <v>0</v>
      </c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>
        <v>212349950</v>
      </c>
      <c r="AZ952" s="60"/>
      <c r="BA952" s="60">
        <f>VLOOKUP(B952,[2]Hoja3!J$3:K$674,2,0)</f>
        <v>333440823</v>
      </c>
      <c r="BB952" s="60"/>
      <c r="BC952" s="61">
        <f t="shared" si="131"/>
        <v>545790773</v>
      </c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>
        <v>42469990</v>
      </c>
      <c r="BO952" s="60"/>
      <c r="BP952" s="61">
        <v>588260763</v>
      </c>
      <c r="BQ952" s="61"/>
      <c r="BR952" s="61"/>
      <c r="BS952" s="61"/>
      <c r="BT952" s="61"/>
      <c r="BU952" s="61"/>
      <c r="BV952" s="61"/>
      <c r="BW952" s="61"/>
      <c r="BX952" s="61"/>
      <c r="BY952" s="61"/>
      <c r="BZ952" s="61"/>
      <c r="CA952" s="61"/>
      <c r="CB952" s="61"/>
      <c r="CC952" s="61">
        <v>42469990</v>
      </c>
      <c r="CD952" s="61"/>
      <c r="CE952" s="61"/>
      <c r="CF952" s="61"/>
      <c r="CG952" s="61">
        <f t="shared" si="132"/>
        <v>630730753</v>
      </c>
      <c r="CH952" s="62">
        <f>VLOOKUP(B952,[1]RPTNCT049_ConsultaSaldosContabl!I$4:K$7987,3,0)</f>
        <v>297289930</v>
      </c>
      <c r="CI952" s="62">
        <f t="shared" si="133"/>
        <v>333440823</v>
      </c>
      <c r="CJ952" s="63">
        <f t="shared" si="134"/>
        <v>630730753</v>
      </c>
      <c r="CK952" s="64">
        <f t="shared" si="135"/>
        <v>0</v>
      </c>
      <c r="CL952" s="16"/>
      <c r="CM952" s="8"/>
      <c r="CN952" s="8"/>
      <c r="CO952" s="8"/>
      <c r="CP952" s="8"/>
      <c r="CQ952" s="8"/>
      <c r="CR952" s="8"/>
    </row>
    <row r="953" spans="1:96" ht="15" customHeight="1" x14ac:dyDescent="0.2">
      <c r="A953" s="1">
        <v>8001040626</v>
      </c>
      <c r="B953" s="1">
        <v>800104062</v>
      </c>
      <c r="C953" s="9">
        <v>210170001</v>
      </c>
      <c r="D953" s="10" t="s">
        <v>2183</v>
      </c>
      <c r="E953" s="47" t="s">
        <v>1028</v>
      </c>
      <c r="F953" s="21"/>
      <c r="G953" s="59"/>
      <c r="H953" s="21"/>
      <c r="I953" s="59">
        <f>7984619151+135364006</f>
        <v>8119983157</v>
      </c>
      <c r="J953" s="21">
        <v>538215964</v>
      </c>
      <c r="K953" s="21">
        <v>1067352655</v>
      </c>
      <c r="L953" s="59"/>
      <c r="M953" s="61">
        <f>SUM(F953:L953)</f>
        <v>9725551776</v>
      </c>
      <c r="N953" s="21"/>
      <c r="O953" s="59"/>
      <c r="P953" s="21"/>
      <c r="Q953" s="59">
        <f>7625898871+61529094</f>
        <v>7687427965</v>
      </c>
      <c r="R953" s="21">
        <v>538302868</v>
      </c>
      <c r="S953" s="21">
        <f>529136691+538302868</f>
        <v>1067439559</v>
      </c>
      <c r="T953" s="59"/>
      <c r="U953" s="60">
        <f t="shared" si="130"/>
        <v>19018722168</v>
      </c>
      <c r="V953" s="60"/>
      <c r="W953" s="60"/>
      <c r="X953" s="60"/>
      <c r="Y953" s="60">
        <v>10777976911</v>
      </c>
      <c r="Z953" s="60">
        <v>473064168</v>
      </c>
      <c r="AA953" s="60">
        <v>1106833051</v>
      </c>
      <c r="AB953" s="60"/>
      <c r="AC953" s="60">
        <f t="shared" ref="AC900:AC963" si="137">SUM(U953:AB953)</f>
        <v>31376596298</v>
      </c>
      <c r="AD953" s="60"/>
      <c r="AE953" s="60"/>
      <c r="AF953" s="60"/>
      <c r="AG953" s="60"/>
      <c r="AH953" s="60">
        <v>8058149094</v>
      </c>
      <c r="AI953" s="60">
        <v>753105073</v>
      </c>
      <c r="AJ953" s="60">
        <v>538842801</v>
      </c>
      <c r="AK953" s="60">
        <v>1358330284</v>
      </c>
      <c r="AL953" s="60"/>
      <c r="AM953" s="60">
        <v>3610643178</v>
      </c>
      <c r="AN953" s="60">
        <f>SUBTOTAL(9,AC953:AM953)</f>
        <v>45695666728</v>
      </c>
      <c r="AO953" s="60"/>
      <c r="AP953" s="60"/>
      <c r="AQ953" s="60">
        <v>1860934215</v>
      </c>
      <c r="AR953" s="60"/>
      <c r="AS953" s="60"/>
      <c r="AT953" s="60">
        <v>8058149094</v>
      </c>
      <c r="AU953" s="60"/>
      <c r="AV953" s="60">
        <v>538842801</v>
      </c>
      <c r="AW953" s="60">
        <v>920013442</v>
      </c>
      <c r="AX953" s="60"/>
      <c r="AY953" s="60"/>
      <c r="AZ953" s="60">
        <v>1403866439</v>
      </c>
      <c r="BA953" s="60">
        <f>VLOOKUP(B953,[2]Hoja3!J$3:K$674,2,0)</f>
        <v>79514134</v>
      </c>
      <c r="BB953" s="60"/>
      <c r="BC953" s="61">
        <f t="shared" si="131"/>
        <v>58556986853</v>
      </c>
      <c r="BD953" s="60"/>
      <c r="BE953" s="60"/>
      <c r="BF953" s="60">
        <v>372186843</v>
      </c>
      <c r="BG953" s="60"/>
      <c r="BH953" s="60"/>
      <c r="BI953" s="60">
        <v>8268106263</v>
      </c>
      <c r="BJ953" s="60">
        <v>287007534</v>
      </c>
      <c r="BK953" s="60">
        <v>512825011</v>
      </c>
      <c r="BL953" s="60">
        <v>1036689478</v>
      </c>
      <c r="BM953" s="60"/>
      <c r="BN953" s="60"/>
      <c r="BO953" s="60"/>
      <c r="BP953" s="61">
        <v>69033801982</v>
      </c>
      <c r="BQ953" s="61"/>
      <c r="BR953" s="61"/>
      <c r="BS953" s="61">
        <v>372186843</v>
      </c>
      <c r="BT953" s="61"/>
      <c r="BU953" s="61"/>
      <c r="BV953" s="61"/>
      <c r="BW953" s="61">
        <v>8054015061</v>
      </c>
      <c r="BX953" s="61"/>
      <c r="BY953" s="61">
        <v>3528311409</v>
      </c>
      <c r="BZ953" s="61">
        <v>572874747</v>
      </c>
      <c r="CA953" s="61">
        <v>1435555738</v>
      </c>
      <c r="CB953" s="61"/>
      <c r="CC953" s="61"/>
      <c r="CD953" s="61"/>
      <c r="CE953" s="61"/>
      <c r="CF953" s="61"/>
      <c r="CG953" s="61">
        <f t="shared" si="132"/>
        <v>82996745780</v>
      </c>
      <c r="CH953" s="62">
        <f>VLOOKUP(B953,[1]RPTNCT049_ConsultaSaldosContabl!I$4:K$7987,3,0)</f>
        <v>79306588468</v>
      </c>
      <c r="CI953" s="62">
        <f t="shared" si="133"/>
        <v>3690157312</v>
      </c>
      <c r="CJ953" s="63">
        <f t="shared" si="134"/>
        <v>82996745780</v>
      </c>
      <c r="CK953" s="64">
        <f t="shared" si="135"/>
        <v>0</v>
      </c>
      <c r="CL953" s="16"/>
      <c r="CM953" s="16"/>
      <c r="CN953" s="16"/>
    </row>
    <row r="954" spans="1:96" ht="15" customHeight="1" x14ac:dyDescent="0.2">
      <c r="A954" s="1">
        <v>8001007474</v>
      </c>
      <c r="B954" s="1">
        <v>800100747</v>
      </c>
      <c r="C954" s="9">
        <v>214270742</v>
      </c>
      <c r="D954" s="10" t="s">
        <v>2138</v>
      </c>
      <c r="E954" s="45" t="s">
        <v>1924</v>
      </c>
      <c r="F954" s="21"/>
      <c r="G954" s="59"/>
      <c r="H954" s="21"/>
      <c r="I954" s="59"/>
      <c r="J954" s="21"/>
      <c r="K954" s="21"/>
      <c r="L954" s="59"/>
      <c r="M954" s="60"/>
      <c r="N954" s="21"/>
      <c r="O954" s="59"/>
      <c r="P954" s="21"/>
      <c r="Q954" s="59"/>
      <c r="R954" s="21"/>
      <c r="S954" s="21"/>
      <c r="T954" s="59"/>
      <c r="U954" s="60">
        <f t="shared" si="130"/>
        <v>0</v>
      </c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>
        <f>VLOOKUP(B954,[2]Hoja3!J$3:K$674,2,0)</f>
        <v>423216012</v>
      </c>
      <c r="BB954" s="60"/>
      <c r="BC954" s="61">
        <f t="shared" si="131"/>
        <v>423216012</v>
      </c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>
        <v>0</v>
      </c>
      <c r="BO954" s="60"/>
      <c r="BP954" s="61">
        <v>423216012</v>
      </c>
      <c r="BQ954" s="61"/>
      <c r="BR954" s="61"/>
      <c r="BS954" s="61"/>
      <c r="BT954" s="61"/>
      <c r="BU954" s="61"/>
      <c r="BV954" s="61"/>
      <c r="BW954" s="61"/>
      <c r="BX954" s="61"/>
      <c r="BY954" s="61"/>
      <c r="BZ954" s="61"/>
      <c r="CA954" s="61"/>
      <c r="CB954" s="61"/>
      <c r="CC954" s="61">
        <v>325549301</v>
      </c>
      <c r="CD954" s="61"/>
      <c r="CE954" s="61"/>
      <c r="CF954" s="61"/>
      <c r="CG954" s="61">
        <f t="shared" si="132"/>
        <v>748765313</v>
      </c>
      <c r="CH954" s="62">
        <f>VLOOKUP(B954,[1]RPTNCT049_ConsultaSaldosContabl!I$4:K$7987,3,0)</f>
        <v>325549301</v>
      </c>
      <c r="CI954" s="62">
        <f t="shared" si="133"/>
        <v>423216012</v>
      </c>
      <c r="CJ954" s="63">
        <f t="shared" si="134"/>
        <v>748765313</v>
      </c>
      <c r="CK954" s="64">
        <f t="shared" si="135"/>
        <v>0</v>
      </c>
      <c r="CL954" s="16"/>
      <c r="CM954" s="16"/>
      <c r="CN954" s="16"/>
    </row>
    <row r="955" spans="1:96" ht="15" customHeight="1" x14ac:dyDescent="0.2">
      <c r="A955" s="1">
        <v>8000956134</v>
      </c>
      <c r="B955" s="1">
        <v>800095613</v>
      </c>
      <c r="C955" s="9">
        <v>214527745</v>
      </c>
      <c r="D955" s="10" t="s">
        <v>589</v>
      </c>
      <c r="E955" s="45" t="s">
        <v>1599</v>
      </c>
      <c r="F955" s="21"/>
      <c r="G955" s="59"/>
      <c r="H955" s="21"/>
      <c r="I955" s="59"/>
      <c r="J955" s="21"/>
      <c r="K955" s="21"/>
      <c r="L955" s="59"/>
      <c r="M955" s="60"/>
      <c r="N955" s="21"/>
      <c r="O955" s="59"/>
      <c r="P955" s="21"/>
      <c r="Q955" s="59"/>
      <c r="R955" s="21"/>
      <c r="S955" s="21"/>
      <c r="T955" s="59"/>
      <c r="U955" s="60">
        <f t="shared" si="130"/>
        <v>0</v>
      </c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>
        <v>67253716</v>
      </c>
      <c r="AN955" s="60">
        <f>SUBTOTAL(9,AC955:AM955)</f>
        <v>67253716</v>
      </c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>
        <v>38236095</v>
      </c>
      <c r="AZ955" s="60"/>
      <c r="BA955" s="60"/>
      <c r="BB955" s="60"/>
      <c r="BC955" s="61">
        <f t="shared" si="131"/>
        <v>105489811</v>
      </c>
      <c r="BD955" s="60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>
        <v>7647219</v>
      </c>
      <c r="BO955" s="60"/>
      <c r="BP955" s="61">
        <v>113137030</v>
      </c>
      <c r="BQ955" s="61"/>
      <c r="BR955" s="61"/>
      <c r="BS955" s="61"/>
      <c r="BT955" s="61"/>
      <c r="BU955" s="61"/>
      <c r="BV955" s="61"/>
      <c r="BW955" s="61"/>
      <c r="BX955" s="61"/>
      <c r="BY955" s="61"/>
      <c r="BZ955" s="61"/>
      <c r="CA955" s="61"/>
      <c r="CB955" s="61"/>
      <c r="CC955" s="61">
        <v>7647219</v>
      </c>
      <c r="CD955" s="61"/>
      <c r="CE955" s="61"/>
      <c r="CF955" s="61"/>
      <c r="CG955" s="61">
        <f t="shared" si="132"/>
        <v>120784249</v>
      </c>
      <c r="CH955" s="62">
        <f>VLOOKUP(B955,[1]RPTNCT049_ConsultaSaldosContabl!I$4:K$7987,3,0)</f>
        <v>53530533</v>
      </c>
      <c r="CI955" s="62">
        <f t="shared" si="133"/>
        <v>67253716</v>
      </c>
      <c r="CJ955" s="63">
        <f t="shared" si="134"/>
        <v>120784249</v>
      </c>
      <c r="CK955" s="64">
        <f t="shared" si="135"/>
        <v>0</v>
      </c>
      <c r="CL955" s="16"/>
      <c r="CM955" s="16"/>
      <c r="CN955" s="16"/>
    </row>
    <row r="956" spans="1:96" ht="15" customHeight="1" x14ac:dyDescent="0.2">
      <c r="A956" s="1">
        <v>8917801039</v>
      </c>
      <c r="B956" s="1">
        <v>891780103</v>
      </c>
      <c r="C956" s="9">
        <v>214547745</v>
      </c>
      <c r="D956" s="10" t="s">
        <v>662</v>
      </c>
      <c r="E956" s="45" t="s">
        <v>1682</v>
      </c>
      <c r="F956" s="21"/>
      <c r="G956" s="59"/>
      <c r="H956" s="21"/>
      <c r="I956" s="59"/>
      <c r="J956" s="21"/>
      <c r="K956" s="21"/>
      <c r="L956" s="59"/>
      <c r="M956" s="60"/>
      <c r="N956" s="21"/>
      <c r="O956" s="59"/>
      <c r="P956" s="21"/>
      <c r="Q956" s="59"/>
      <c r="R956" s="21"/>
      <c r="S956" s="21"/>
      <c r="T956" s="59"/>
      <c r="U956" s="60">
        <f t="shared" si="130"/>
        <v>0</v>
      </c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>
        <v>172486315</v>
      </c>
      <c r="AN956" s="60">
        <f>SUBTOTAL(9,AC956:AM956)</f>
        <v>172486315</v>
      </c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>
        <f>VLOOKUP(B956,[2]Hoja3!J$3:K$674,2,0)</f>
        <v>271301680</v>
      </c>
      <c r="BB956" s="60"/>
      <c r="BC956" s="61">
        <f t="shared" si="131"/>
        <v>443787995</v>
      </c>
      <c r="BD956" s="60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>
        <v>0</v>
      </c>
      <c r="BO956" s="60"/>
      <c r="BP956" s="61">
        <v>443787995</v>
      </c>
      <c r="BQ956" s="61"/>
      <c r="BR956" s="61"/>
      <c r="BS956" s="61"/>
      <c r="BT956" s="61"/>
      <c r="BU956" s="61"/>
      <c r="BV956" s="61"/>
      <c r="BW956" s="61"/>
      <c r="BX956" s="61"/>
      <c r="BY956" s="61"/>
      <c r="BZ956" s="61"/>
      <c r="CA956" s="61"/>
      <c r="CB956" s="61"/>
      <c r="CC956" s="61">
        <v>0</v>
      </c>
      <c r="CD956" s="61"/>
      <c r="CE956" s="61"/>
      <c r="CF956" s="61"/>
      <c r="CG956" s="61">
        <f t="shared" si="132"/>
        <v>443787995</v>
      </c>
      <c r="CH956" s="62"/>
      <c r="CI956" s="62">
        <f t="shared" si="133"/>
        <v>443787995</v>
      </c>
      <c r="CJ956" s="63">
        <f t="shared" si="134"/>
        <v>443787995</v>
      </c>
      <c r="CK956" s="64">
        <f t="shared" si="135"/>
        <v>0</v>
      </c>
      <c r="CL956" s="16"/>
      <c r="CM956" s="16"/>
      <c r="CN956" s="16"/>
    </row>
    <row r="957" spans="1:96" ht="15" customHeight="1" x14ac:dyDescent="0.2">
      <c r="A957" s="1">
        <v>8000226188</v>
      </c>
      <c r="B957" s="1">
        <v>800022618</v>
      </c>
      <c r="C957" s="9">
        <v>215805658</v>
      </c>
      <c r="D957" s="10" t="s">
        <v>2128</v>
      </c>
      <c r="E957" s="45" t="s">
        <v>1159</v>
      </c>
      <c r="F957" s="21"/>
      <c r="G957" s="59"/>
      <c r="H957" s="21"/>
      <c r="I957" s="59"/>
      <c r="J957" s="21"/>
      <c r="K957" s="21"/>
      <c r="L957" s="59"/>
      <c r="M957" s="60"/>
      <c r="N957" s="21"/>
      <c r="O957" s="59"/>
      <c r="P957" s="21"/>
      <c r="Q957" s="59"/>
      <c r="R957" s="21"/>
      <c r="S957" s="21"/>
      <c r="T957" s="59"/>
      <c r="U957" s="60">
        <f t="shared" si="130"/>
        <v>0</v>
      </c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>
        <v>20634310</v>
      </c>
      <c r="AZ957" s="60"/>
      <c r="BA957" s="60">
        <f>VLOOKUP(B957,[2]Hoja3!J$3:K$674,2,0)</f>
        <v>52273659</v>
      </c>
      <c r="BB957" s="60"/>
      <c r="BC957" s="61">
        <f t="shared" si="131"/>
        <v>72907969</v>
      </c>
      <c r="BD957" s="60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>
        <v>4126862</v>
      </c>
      <c r="BO957" s="60"/>
      <c r="BP957" s="61">
        <v>77034831</v>
      </c>
      <c r="BQ957" s="61"/>
      <c r="BR957" s="61"/>
      <c r="BS957" s="61"/>
      <c r="BT957" s="61"/>
      <c r="BU957" s="61"/>
      <c r="BV957" s="61"/>
      <c r="BW957" s="61"/>
      <c r="BX957" s="61"/>
      <c r="BY957" s="61"/>
      <c r="BZ957" s="61"/>
      <c r="CA957" s="61"/>
      <c r="CB957" s="61"/>
      <c r="CC957" s="61">
        <v>4126862</v>
      </c>
      <c r="CD957" s="61"/>
      <c r="CE957" s="61"/>
      <c r="CF957" s="61"/>
      <c r="CG957" s="61">
        <f t="shared" si="132"/>
        <v>81161693</v>
      </c>
      <c r="CH957" s="62">
        <f>VLOOKUP(B957,[1]RPTNCT049_ConsultaSaldosContabl!I$4:K$7987,3,0)</f>
        <v>28888034</v>
      </c>
      <c r="CI957" s="62">
        <f t="shared" si="133"/>
        <v>52273659</v>
      </c>
      <c r="CJ957" s="63">
        <f t="shared" si="134"/>
        <v>81161693</v>
      </c>
      <c r="CK957" s="64">
        <f t="shared" si="135"/>
        <v>0</v>
      </c>
      <c r="CL957" s="16"/>
      <c r="CM957" s="8"/>
      <c r="CN957" s="8"/>
      <c r="CO957" s="8"/>
      <c r="CP957" s="8"/>
      <c r="CQ957" s="8"/>
      <c r="CR957" s="8"/>
    </row>
    <row r="958" spans="1:96" ht="15" customHeight="1" x14ac:dyDescent="0.2">
      <c r="A958" s="39">
        <v>8000947557</v>
      </c>
      <c r="B958" s="1">
        <v>800094755</v>
      </c>
      <c r="C958" s="9">
        <v>215425754</v>
      </c>
      <c r="D958" s="10" t="s">
        <v>2184</v>
      </c>
      <c r="E958" s="47" t="s">
        <v>1014</v>
      </c>
      <c r="F958" s="21"/>
      <c r="G958" s="59"/>
      <c r="H958" s="21"/>
      <c r="I958" s="59">
        <f>6330919151+228950213</f>
        <v>6559869364</v>
      </c>
      <c r="J958" s="21">
        <v>469607441</v>
      </c>
      <c r="K958" s="21">
        <v>930475857</v>
      </c>
      <c r="L958" s="59"/>
      <c r="M958" s="61">
        <f>SUM(F958:L958)</f>
        <v>7959952662</v>
      </c>
      <c r="N958" s="21"/>
      <c r="O958" s="59"/>
      <c r="P958" s="21"/>
      <c r="Q958" s="59">
        <f>6117634961+104068279</f>
        <v>6221703240</v>
      </c>
      <c r="R958" s="21">
        <v>469927492</v>
      </c>
      <c r="S958" s="21">
        <f>460868416+469927492</f>
        <v>930795908</v>
      </c>
      <c r="T958" s="59"/>
      <c r="U958" s="60">
        <f t="shared" si="130"/>
        <v>15582379302</v>
      </c>
      <c r="V958" s="60"/>
      <c r="W958" s="60"/>
      <c r="X958" s="60"/>
      <c r="Y958" s="60">
        <v>10692865256</v>
      </c>
      <c r="Z958" s="60">
        <v>506756110</v>
      </c>
      <c r="AA958" s="60">
        <v>1042431764</v>
      </c>
      <c r="AB958" s="60"/>
      <c r="AC958" s="60">
        <f t="shared" si="137"/>
        <v>27824432432</v>
      </c>
      <c r="AD958" s="60"/>
      <c r="AE958" s="60"/>
      <c r="AF958" s="60"/>
      <c r="AG958" s="60"/>
      <c r="AH958" s="60">
        <v>6286459886</v>
      </c>
      <c r="AI958" s="60">
        <v>995913447</v>
      </c>
      <c r="AJ958" s="60">
        <v>479753829</v>
      </c>
      <c r="AK958" s="60">
        <v>1208697620</v>
      </c>
      <c r="AL958" s="60"/>
      <c r="AM958" s="60">
        <v>4095933813</v>
      </c>
      <c r="AN958" s="60">
        <f>SUBTOTAL(9,AC958:AM958)</f>
        <v>40891191027</v>
      </c>
      <c r="AO958" s="60"/>
      <c r="AP958" s="60"/>
      <c r="AQ958" s="60">
        <v>1301302935</v>
      </c>
      <c r="AR958" s="60"/>
      <c r="AS958" s="60"/>
      <c r="AT958" s="60">
        <v>6832451544</v>
      </c>
      <c r="AU958" s="60">
        <v>10000000000</v>
      </c>
      <c r="AV958" s="60">
        <v>506756110</v>
      </c>
      <c r="AW958" s="60">
        <v>939456766</v>
      </c>
      <c r="AX958" s="60"/>
      <c r="AY958" s="60"/>
      <c r="AZ958" s="60">
        <v>0</v>
      </c>
      <c r="BA958" s="60"/>
      <c r="BB958" s="60"/>
      <c r="BC958" s="61">
        <f t="shared" si="131"/>
        <v>60471158382</v>
      </c>
      <c r="BD958" s="60"/>
      <c r="BE958" s="60"/>
      <c r="BF958" s="60">
        <v>260260587</v>
      </c>
      <c r="BG958" s="60"/>
      <c r="BH958" s="60"/>
      <c r="BI958" s="60">
        <v>6517896076</v>
      </c>
      <c r="BJ958" s="60">
        <v>1484945280</v>
      </c>
      <c r="BK958" s="60">
        <v>469467740</v>
      </c>
      <c r="BL958" s="60">
        <v>1272970922</v>
      </c>
      <c r="BM958" s="60"/>
      <c r="BN958" s="60"/>
      <c r="BO958" s="60"/>
      <c r="BP958" s="61">
        <v>70476698987</v>
      </c>
      <c r="BQ958" s="61"/>
      <c r="BR958" s="61"/>
      <c r="BS958" s="61">
        <v>260260587</v>
      </c>
      <c r="BT958" s="61"/>
      <c r="BU958" s="61"/>
      <c r="BV958" s="61"/>
      <c r="BW958" s="61">
        <v>6582502500</v>
      </c>
      <c r="BX958" s="61">
        <v>7285600000</v>
      </c>
      <c r="BY958" s="61">
        <v>2968282683</v>
      </c>
      <c r="BZ958" s="61">
        <v>503835485</v>
      </c>
      <c r="CA958" s="61">
        <v>1295066795</v>
      </c>
      <c r="CB958" s="61"/>
      <c r="CC958" s="61"/>
      <c r="CD958" s="61"/>
      <c r="CE958" s="61"/>
      <c r="CF958" s="61"/>
      <c r="CG958" s="61">
        <f t="shared" si="132"/>
        <v>89372247037</v>
      </c>
      <c r="CH958" s="62">
        <f>VLOOKUP(B958,[1]RPTNCT049_ConsultaSaldosContabl!I$4:K$7987,3,0)</f>
        <v>85276313224</v>
      </c>
      <c r="CI958" s="62">
        <f t="shared" si="133"/>
        <v>4095933813</v>
      </c>
      <c r="CJ958" s="63">
        <f t="shared" si="134"/>
        <v>89372247037</v>
      </c>
      <c r="CK958" s="64">
        <f t="shared" si="135"/>
        <v>0</v>
      </c>
      <c r="CL958" s="16"/>
      <c r="CM958" s="16"/>
      <c r="CN958" s="16"/>
    </row>
    <row r="959" spans="1:96" ht="15" customHeight="1" x14ac:dyDescent="0.2">
      <c r="A959" s="1">
        <v>8918550161</v>
      </c>
      <c r="B959" s="1">
        <v>891855016</v>
      </c>
      <c r="C959" s="9">
        <v>215315753</v>
      </c>
      <c r="D959" s="10" t="s">
        <v>308</v>
      </c>
      <c r="E959" s="45" t="s">
        <v>1340</v>
      </c>
      <c r="F959" s="21"/>
      <c r="G959" s="59"/>
      <c r="H959" s="21"/>
      <c r="I959" s="59"/>
      <c r="J959" s="21"/>
      <c r="K959" s="21"/>
      <c r="L959" s="59"/>
      <c r="M959" s="60"/>
      <c r="N959" s="21"/>
      <c r="O959" s="59"/>
      <c r="P959" s="21"/>
      <c r="Q959" s="59"/>
      <c r="R959" s="21"/>
      <c r="S959" s="21"/>
      <c r="T959" s="59"/>
      <c r="U959" s="60">
        <f t="shared" si="130"/>
        <v>0</v>
      </c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>
        <v>68554605</v>
      </c>
      <c r="AZ959" s="60"/>
      <c r="BA959" s="60">
        <f>VLOOKUP(B959,[2]Hoja3!J$3:K$674,2,0)</f>
        <v>120536277</v>
      </c>
      <c r="BB959" s="60"/>
      <c r="BC959" s="61">
        <f t="shared" si="131"/>
        <v>189090882</v>
      </c>
      <c r="BD959" s="60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>
        <v>13710921</v>
      </c>
      <c r="BO959" s="60"/>
      <c r="BP959" s="61">
        <v>202801803</v>
      </c>
      <c r="BQ959" s="61"/>
      <c r="BR959" s="61"/>
      <c r="BS959" s="61"/>
      <c r="BT959" s="61"/>
      <c r="BU959" s="61"/>
      <c r="BV959" s="61"/>
      <c r="BW959" s="61"/>
      <c r="BX959" s="61"/>
      <c r="BY959" s="61"/>
      <c r="BZ959" s="61"/>
      <c r="CA959" s="61"/>
      <c r="CB959" s="61"/>
      <c r="CC959" s="61">
        <v>13710921</v>
      </c>
      <c r="CD959" s="61"/>
      <c r="CE959" s="61"/>
      <c r="CF959" s="61"/>
      <c r="CG959" s="61">
        <f t="shared" si="132"/>
        <v>216512724</v>
      </c>
      <c r="CH959" s="62">
        <f>VLOOKUP(B959,[1]RPTNCT049_ConsultaSaldosContabl!I$4:K$7987,3,0)</f>
        <v>95976447</v>
      </c>
      <c r="CI959" s="62">
        <f t="shared" si="133"/>
        <v>120536277</v>
      </c>
      <c r="CJ959" s="63">
        <f t="shared" si="134"/>
        <v>216512724</v>
      </c>
      <c r="CK959" s="64">
        <f t="shared" si="135"/>
        <v>0</v>
      </c>
      <c r="CL959" s="16"/>
      <c r="CM959" s="8"/>
      <c r="CN959" s="8"/>
      <c r="CO959" s="8"/>
      <c r="CP959" s="8"/>
      <c r="CQ959" s="8"/>
      <c r="CR959" s="8"/>
    </row>
    <row r="960" spans="1:96" ht="15" customHeight="1" x14ac:dyDescent="0.2">
      <c r="A960" s="1">
        <v>8000992108</v>
      </c>
      <c r="B960" s="1">
        <v>800099210</v>
      </c>
      <c r="C960" s="9">
        <v>215715757</v>
      </c>
      <c r="D960" s="10" t="s">
        <v>310</v>
      </c>
      <c r="E960" s="45" t="s">
        <v>1342</v>
      </c>
      <c r="F960" s="21"/>
      <c r="G960" s="59"/>
      <c r="H960" s="21"/>
      <c r="I960" s="59"/>
      <c r="J960" s="21"/>
      <c r="K960" s="21"/>
      <c r="L960" s="59"/>
      <c r="M960" s="60"/>
      <c r="N960" s="21"/>
      <c r="O960" s="59"/>
      <c r="P960" s="21"/>
      <c r="Q960" s="59"/>
      <c r="R960" s="21"/>
      <c r="S960" s="21"/>
      <c r="T960" s="59"/>
      <c r="U960" s="60">
        <f t="shared" si="130"/>
        <v>0</v>
      </c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>
        <v>50885995</v>
      </c>
      <c r="AZ960" s="60"/>
      <c r="BA960" s="60">
        <f>VLOOKUP(B960,[2]Hoja3!J$3:K$674,2,0)</f>
        <v>118865226</v>
      </c>
      <c r="BB960" s="60"/>
      <c r="BC960" s="61">
        <f t="shared" si="131"/>
        <v>169751221</v>
      </c>
      <c r="BD960" s="60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>
        <v>10177199</v>
      </c>
      <c r="BO960" s="60"/>
      <c r="BP960" s="61">
        <v>179928420</v>
      </c>
      <c r="BQ960" s="61"/>
      <c r="BR960" s="61"/>
      <c r="BS960" s="61"/>
      <c r="BT960" s="61"/>
      <c r="BU960" s="61"/>
      <c r="BV960" s="61"/>
      <c r="BW960" s="61"/>
      <c r="BX960" s="61"/>
      <c r="BY960" s="61"/>
      <c r="BZ960" s="61"/>
      <c r="CA960" s="61"/>
      <c r="CB960" s="61"/>
      <c r="CC960" s="61">
        <v>10177199</v>
      </c>
      <c r="CD960" s="61"/>
      <c r="CE960" s="61"/>
      <c r="CF960" s="61"/>
      <c r="CG960" s="61">
        <f t="shared" si="132"/>
        <v>190105619</v>
      </c>
      <c r="CH960" s="62">
        <f>VLOOKUP(B960,[1]RPTNCT049_ConsultaSaldosContabl!I$4:K$7987,3,0)</f>
        <v>71240393</v>
      </c>
      <c r="CI960" s="62">
        <f t="shared" si="133"/>
        <v>118865226</v>
      </c>
      <c r="CJ960" s="63">
        <f t="shared" si="134"/>
        <v>190105619</v>
      </c>
      <c r="CK960" s="64">
        <f t="shared" si="135"/>
        <v>0</v>
      </c>
      <c r="CL960" s="16"/>
      <c r="CM960" s="8"/>
      <c r="CN960" s="8"/>
      <c r="CO960" s="8"/>
      <c r="CP960" s="8"/>
      <c r="CQ960" s="8"/>
      <c r="CR960" s="8"/>
    </row>
    <row r="961" spans="1:96" ht="15" customHeight="1" x14ac:dyDescent="0.2">
      <c r="A961" s="1">
        <v>8902036888</v>
      </c>
      <c r="B961" s="1">
        <v>890203688</v>
      </c>
      <c r="C961" s="9">
        <v>215568755</v>
      </c>
      <c r="D961" s="10" t="s">
        <v>881</v>
      </c>
      <c r="E961" s="45" t="s">
        <v>1894</v>
      </c>
      <c r="F961" s="21"/>
      <c r="G961" s="59"/>
      <c r="H961" s="21"/>
      <c r="I961" s="59"/>
      <c r="J961" s="21"/>
      <c r="K961" s="21"/>
      <c r="L961" s="59"/>
      <c r="M961" s="60"/>
      <c r="N961" s="21"/>
      <c r="O961" s="59"/>
      <c r="P961" s="21"/>
      <c r="Q961" s="59"/>
      <c r="R961" s="21"/>
      <c r="S961" s="21"/>
      <c r="T961" s="59"/>
      <c r="U961" s="60">
        <f t="shared" si="130"/>
        <v>0</v>
      </c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>
        <v>183831566</v>
      </c>
      <c r="AN961" s="60">
        <f>SUBTOTAL(9,AC961:AM961)</f>
        <v>183831566</v>
      </c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>
        <v>174549180</v>
      </c>
      <c r="AZ961" s="60"/>
      <c r="BA961" s="60">
        <f>VLOOKUP(B961,[2]Hoja3!J$3:K$674,2,0)</f>
        <v>183250926</v>
      </c>
      <c r="BB961" s="60"/>
      <c r="BC961" s="61">
        <f t="shared" si="131"/>
        <v>541631672</v>
      </c>
      <c r="BD961" s="60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>
        <v>34909836</v>
      </c>
      <c r="BO961" s="60"/>
      <c r="BP961" s="61">
        <v>576541508</v>
      </c>
      <c r="BQ961" s="61"/>
      <c r="BR961" s="61"/>
      <c r="BS961" s="61"/>
      <c r="BT961" s="61"/>
      <c r="BU961" s="61"/>
      <c r="BV961" s="61"/>
      <c r="BW961" s="61"/>
      <c r="BX961" s="61"/>
      <c r="BY961" s="61"/>
      <c r="BZ961" s="61"/>
      <c r="CA961" s="61"/>
      <c r="CB961" s="61"/>
      <c r="CC961" s="61">
        <v>34909836</v>
      </c>
      <c r="CD961" s="61"/>
      <c r="CE961" s="61"/>
      <c r="CF961" s="61"/>
      <c r="CG961" s="61">
        <f t="shared" si="132"/>
        <v>611451344</v>
      </c>
      <c r="CH961" s="62">
        <f>VLOOKUP(B961,[1]RPTNCT049_ConsultaSaldosContabl!I$4:K$7987,3,0)</f>
        <v>244368852</v>
      </c>
      <c r="CI961" s="62">
        <f t="shared" si="133"/>
        <v>367082492</v>
      </c>
      <c r="CJ961" s="63">
        <f t="shared" si="134"/>
        <v>611451344</v>
      </c>
      <c r="CK961" s="64">
        <f t="shared" si="135"/>
        <v>0</v>
      </c>
      <c r="CL961" s="16"/>
      <c r="CM961" s="16"/>
      <c r="CN961" s="16"/>
    </row>
    <row r="962" spans="1:96" ht="15" customHeight="1" x14ac:dyDescent="0.2">
      <c r="A962" s="1">
        <v>8000269111</v>
      </c>
      <c r="B962" s="1">
        <v>800026911</v>
      </c>
      <c r="C962" s="9">
        <v>215515755</v>
      </c>
      <c r="D962" s="10" t="s">
        <v>309</v>
      </c>
      <c r="E962" s="45" t="s">
        <v>1341</v>
      </c>
      <c r="F962" s="21"/>
      <c r="G962" s="59"/>
      <c r="H962" s="21"/>
      <c r="I962" s="59"/>
      <c r="J962" s="21"/>
      <c r="K962" s="21"/>
      <c r="L962" s="59"/>
      <c r="M962" s="60"/>
      <c r="N962" s="21"/>
      <c r="O962" s="59"/>
      <c r="P962" s="21"/>
      <c r="Q962" s="59"/>
      <c r="R962" s="21"/>
      <c r="S962" s="21"/>
      <c r="T962" s="59"/>
      <c r="U962" s="60">
        <f t="shared" si="130"/>
        <v>0</v>
      </c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>
        <f>VLOOKUP(B962,[2]Hoja3!J$3:K$674,2,0)</f>
        <v>112777521</v>
      </c>
      <c r="BB962" s="60"/>
      <c r="BC962" s="61">
        <f t="shared" si="131"/>
        <v>112777521</v>
      </c>
      <c r="BD962" s="60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>
        <v>0</v>
      </c>
      <c r="BO962" s="60"/>
      <c r="BP962" s="61">
        <v>112777521</v>
      </c>
      <c r="BQ962" s="61"/>
      <c r="BR962" s="61"/>
      <c r="BS962" s="61"/>
      <c r="BT962" s="61"/>
      <c r="BU962" s="61"/>
      <c r="BV962" s="61"/>
      <c r="BW962" s="61"/>
      <c r="BX962" s="61"/>
      <c r="BY962" s="61"/>
      <c r="BZ962" s="61"/>
      <c r="CA962" s="61"/>
      <c r="CB962" s="61"/>
      <c r="CC962" s="61">
        <v>0</v>
      </c>
      <c r="CD962" s="61"/>
      <c r="CE962" s="61"/>
      <c r="CF962" s="61"/>
      <c r="CG962" s="61">
        <f t="shared" si="132"/>
        <v>112777521</v>
      </c>
      <c r="CH962" s="62"/>
      <c r="CI962" s="62">
        <f t="shared" si="133"/>
        <v>112777521</v>
      </c>
      <c r="CJ962" s="63">
        <f t="shared" si="134"/>
        <v>112777521</v>
      </c>
      <c r="CK962" s="64">
        <f t="shared" si="135"/>
        <v>0</v>
      </c>
      <c r="CL962" s="16"/>
      <c r="CM962" s="8"/>
      <c r="CN962" s="8"/>
      <c r="CO962" s="8"/>
      <c r="CP962" s="8"/>
      <c r="CQ962" s="8"/>
      <c r="CR962" s="8"/>
    </row>
    <row r="963" spans="1:96" ht="15" customHeight="1" x14ac:dyDescent="0.2">
      <c r="A963" s="1">
        <v>8918551301</v>
      </c>
      <c r="B963" s="1">
        <v>891855130</v>
      </c>
      <c r="C963" s="9">
        <v>215915759</v>
      </c>
      <c r="D963" s="10" t="s">
        <v>2185</v>
      </c>
      <c r="E963" s="47" t="s">
        <v>1063</v>
      </c>
      <c r="F963" s="21"/>
      <c r="G963" s="59"/>
      <c r="H963" s="21"/>
      <c r="I963" s="59">
        <f>2853621076+44684580</f>
        <v>2898305656</v>
      </c>
      <c r="J963" s="21">
        <v>204294630</v>
      </c>
      <c r="K963" s="21">
        <v>406268276</v>
      </c>
      <c r="L963" s="59"/>
      <c r="M963" s="61">
        <f>SUM(F963:L963)</f>
        <v>3508868562</v>
      </c>
      <c r="N963" s="21"/>
      <c r="O963" s="59"/>
      <c r="P963" s="21"/>
      <c r="Q963" s="59">
        <f>2742820510+20311173</f>
        <v>2763131683</v>
      </c>
      <c r="R963" s="21">
        <v>204623351</v>
      </c>
      <c r="S963" s="21">
        <f>201973646+204623351</f>
        <v>406596997</v>
      </c>
      <c r="T963" s="59"/>
      <c r="U963" s="60">
        <f t="shared" ref="U963:U1026" si="138">SUM(M963:T963)</f>
        <v>6883220593</v>
      </c>
      <c r="V963" s="60"/>
      <c r="W963" s="60"/>
      <c r="X963" s="60"/>
      <c r="Y963" s="60">
        <v>3845579392</v>
      </c>
      <c r="Z963" s="60">
        <v>212076827</v>
      </c>
      <c r="AA963" s="60">
        <v>484713484</v>
      </c>
      <c r="AB963" s="60"/>
      <c r="AC963" s="60">
        <f t="shared" si="137"/>
        <v>11425590296</v>
      </c>
      <c r="AD963" s="60"/>
      <c r="AE963" s="60"/>
      <c r="AF963" s="60"/>
      <c r="AG963" s="60"/>
      <c r="AH963" s="60">
        <v>2867525112</v>
      </c>
      <c r="AI963" s="60">
        <v>278294787</v>
      </c>
      <c r="AJ963" s="60">
        <v>210727410</v>
      </c>
      <c r="AK963" s="60">
        <v>530916012</v>
      </c>
      <c r="AL963" s="60"/>
      <c r="AM963" s="60">
        <v>1140320104</v>
      </c>
      <c r="AN963" s="60">
        <f>SUBTOTAL(9,AC963:AM963)</f>
        <v>16453373721</v>
      </c>
      <c r="AO963" s="60"/>
      <c r="AP963" s="60"/>
      <c r="AQ963" s="60">
        <v>459622205</v>
      </c>
      <c r="AR963" s="60"/>
      <c r="AS963" s="60"/>
      <c r="AT963" s="60">
        <v>2867525112</v>
      </c>
      <c r="AU963" s="60">
        <v>75000000</v>
      </c>
      <c r="AV963" s="60">
        <v>210727410</v>
      </c>
      <c r="AW963" s="60">
        <v>359532800</v>
      </c>
      <c r="AX963" s="60"/>
      <c r="AY963" s="60"/>
      <c r="AZ963" s="60">
        <v>465254945</v>
      </c>
      <c r="BA963" s="60">
        <f>VLOOKUP(B963,[2]Hoja3!J$3:K$674,2,0)</f>
        <v>339157139</v>
      </c>
      <c r="BB963" s="60"/>
      <c r="BC963" s="61">
        <f t="shared" si="131"/>
        <v>21230193332</v>
      </c>
      <c r="BD963" s="60"/>
      <c r="BE963" s="60"/>
      <c r="BF963" s="60">
        <v>91924441</v>
      </c>
      <c r="BG963" s="60"/>
      <c r="BH963" s="60"/>
      <c r="BI963" s="60">
        <v>2961994324</v>
      </c>
      <c r="BJ963" s="60">
        <v>297961902</v>
      </c>
      <c r="BK963" s="60">
        <v>215885287</v>
      </c>
      <c r="BL963" s="60">
        <v>558949688</v>
      </c>
      <c r="BM963" s="60"/>
      <c r="BN963" s="60"/>
      <c r="BO963" s="60"/>
      <c r="BP963" s="61">
        <v>25356908974</v>
      </c>
      <c r="BQ963" s="61"/>
      <c r="BR963" s="61"/>
      <c r="BS963" s="61">
        <v>91924441</v>
      </c>
      <c r="BT963" s="61"/>
      <c r="BU963" s="61"/>
      <c r="BV963" s="61"/>
      <c r="BW963" s="61">
        <v>2961836893</v>
      </c>
      <c r="BX963" s="61"/>
      <c r="BY963" s="61">
        <v>1297000000</v>
      </c>
      <c r="BZ963" s="61">
        <v>212908953</v>
      </c>
      <c r="CA963" s="61">
        <v>560051991</v>
      </c>
      <c r="CB963" s="61"/>
      <c r="CC963" s="61"/>
      <c r="CD963" s="61"/>
      <c r="CE963" s="61"/>
      <c r="CF963" s="61"/>
      <c r="CG963" s="61">
        <f t="shared" si="132"/>
        <v>30480631252</v>
      </c>
      <c r="CH963" s="62">
        <f>VLOOKUP(B963,[1]RPTNCT049_ConsultaSaldosContabl!I$4:K$7987,3,0)</f>
        <v>29001154009</v>
      </c>
      <c r="CI963" s="62">
        <f t="shared" si="133"/>
        <v>1479477243</v>
      </c>
      <c r="CJ963" s="63">
        <f t="shared" si="134"/>
        <v>30480631252</v>
      </c>
      <c r="CK963" s="64">
        <f t="shared" si="135"/>
        <v>0</v>
      </c>
      <c r="CL963" s="16"/>
      <c r="CM963" s="16"/>
      <c r="CN963" s="16"/>
    </row>
    <row r="964" spans="1:96" ht="15" customHeight="1" x14ac:dyDescent="0.2">
      <c r="A964" s="1">
        <v>8000957861</v>
      </c>
      <c r="B964" s="1">
        <v>800095786</v>
      </c>
      <c r="C964" s="9">
        <v>215618756</v>
      </c>
      <c r="D964" s="10" t="s">
        <v>370</v>
      </c>
      <c r="E964" s="45" t="s">
        <v>1402</v>
      </c>
      <c r="F964" s="21"/>
      <c r="G964" s="59"/>
      <c r="H964" s="21"/>
      <c r="I964" s="59"/>
      <c r="J964" s="21"/>
      <c r="K964" s="21"/>
      <c r="L964" s="59"/>
      <c r="M964" s="60"/>
      <c r="N964" s="21"/>
      <c r="O964" s="59"/>
      <c r="P964" s="21"/>
      <c r="Q964" s="59"/>
      <c r="R964" s="21"/>
      <c r="S964" s="21"/>
      <c r="T964" s="59"/>
      <c r="U964" s="60">
        <f t="shared" si="138"/>
        <v>0</v>
      </c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>
        <v>123961232</v>
      </c>
      <c r="AN964" s="60">
        <f>SUBTOTAL(9,AC964:AM964)</f>
        <v>123961232</v>
      </c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>
        <v>160876635</v>
      </c>
      <c r="AZ964" s="60"/>
      <c r="BA964" s="60">
        <f>VLOOKUP(B964,[2]Hoja3!J$3:K$674,2,0)</f>
        <v>62811637</v>
      </c>
      <c r="BB964" s="60"/>
      <c r="BC964" s="61">
        <f t="shared" ref="BC964:BC1027" si="139">SUM(AN964:BA964)-BB964</f>
        <v>347649504</v>
      </c>
      <c r="BD964" s="60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>
        <v>32175327</v>
      </c>
      <c r="BO964" s="60"/>
      <c r="BP964" s="61">
        <v>379824831</v>
      </c>
      <c r="BQ964" s="61"/>
      <c r="BR964" s="61"/>
      <c r="BS964" s="61"/>
      <c r="BT964" s="61"/>
      <c r="BU964" s="61"/>
      <c r="BV964" s="61"/>
      <c r="BW964" s="61"/>
      <c r="BX964" s="61"/>
      <c r="BY964" s="61"/>
      <c r="BZ964" s="61"/>
      <c r="CA964" s="61"/>
      <c r="CB964" s="61"/>
      <c r="CC964" s="61">
        <v>32175327</v>
      </c>
      <c r="CD964" s="61"/>
      <c r="CE964" s="61"/>
      <c r="CF964" s="61"/>
      <c r="CG964" s="61">
        <f t="shared" ref="CG964:CG1027" si="140">SUM(BP964:CF964)</f>
        <v>412000158</v>
      </c>
      <c r="CH964" s="62">
        <f>VLOOKUP(B964,[1]RPTNCT049_ConsultaSaldosContabl!I$4:K$7987,3,0)</f>
        <v>225227289</v>
      </c>
      <c r="CI964" s="62">
        <f t="shared" ref="CI964:CI1027" si="141">+AM964+BA964-BB964+BO964+CE964+CF964</f>
        <v>186772869</v>
      </c>
      <c r="CJ964" s="63">
        <f t="shared" ref="CJ964:CJ1027" si="142">+CH964+CI964</f>
        <v>412000158</v>
      </c>
      <c r="CK964" s="64">
        <f t="shared" ref="CK964:CK1027" si="143">+CG964-CJ964</f>
        <v>0</v>
      </c>
      <c r="CL964" s="16"/>
      <c r="CM964" s="16"/>
      <c r="CN964" s="16"/>
    </row>
    <row r="965" spans="1:96" ht="15" customHeight="1" x14ac:dyDescent="0.2">
      <c r="A965" s="1">
        <v>8901062912</v>
      </c>
      <c r="B965" s="1">
        <v>890106291</v>
      </c>
      <c r="C965" s="9">
        <v>215808758</v>
      </c>
      <c r="D965" s="10" t="s">
        <v>2186</v>
      </c>
      <c r="E965" s="47" t="s">
        <v>1035</v>
      </c>
      <c r="F965" s="21"/>
      <c r="G965" s="59"/>
      <c r="H965" s="21"/>
      <c r="I965" s="66">
        <f>5828123907+147685723</f>
        <v>5975809630</v>
      </c>
      <c r="J965" s="21">
        <v>420755978</v>
      </c>
      <c r="K965" s="21">
        <v>834074405</v>
      </c>
      <c r="L965" s="59"/>
      <c r="M965" s="61">
        <f>SUM(F965:L965)</f>
        <v>7230640013</v>
      </c>
      <c r="N965" s="21"/>
      <c r="O965" s="59"/>
      <c r="P965" s="21"/>
      <c r="Q965" s="59">
        <f>5586957602+812000000+67129874</f>
        <v>6466087476</v>
      </c>
      <c r="R965" s="21">
        <v>420755978</v>
      </c>
      <c r="S965" s="21">
        <f>413318427+420755978</f>
        <v>834074405</v>
      </c>
      <c r="T965" s="59"/>
      <c r="U965" s="60">
        <f t="shared" si="138"/>
        <v>14951557872</v>
      </c>
      <c r="V965" s="60"/>
      <c r="W965" s="60"/>
      <c r="X965" s="60"/>
      <c r="Y965" s="60">
        <v>20398828198</v>
      </c>
      <c r="Z965" s="60">
        <v>575561191</v>
      </c>
      <c r="AA965" s="60">
        <v>953785657</v>
      </c>
      <c r="AB965" s="60"/>
      <c r="AC965" s="60">
        <f t="shared" ref="AC964:AC1027" si="144">SUM(U965:AB965)</f>
        <v>36879732918</v>
      </c>
      <c r="AD965" s="60"/>
      <c r="AE965" s="60"/>
      <c r="AF965" s="60"/>
      <c r="AG965" s="60"/>
      <c r="AH965" s="60">
        <v>6938985297</v>
      </c>
      <c r="AI965" s="60">
        <v>11846378831</v>
      </c>
      <c r="AJ965" s="60">
        <v>428063875</v>
      </c>
      <c r="AK965" s="60">
        <v>1078972770</v>
      </c>
      <c r="AL965" s="60"/>
      <c r="AM965" s="60">
        <v>3388208311</v>
      </c>
      <c r="AN965" s="60">
        <f>SUBTOTAL(9,AC965:AM965)</f>
        <v>60560342002</v>
      </c>
      <c r="AO965" s="60"/>
      <c r="AP965" s="60"/>
      <c r="AQ965" s="60">
        <v>1350656185</v>
      </c>
      <c r="AR965" s="60"/>
      <c r="AS965" s="60"/>
      <c r="AT965" s="60">
        <v>6938985297</v>
      </c>
      <c r="AU965" s="60">
        <v>2012303031</v>
      </c>
      <c r="AV965" s="60">
        <v>428063875</v>
      </c>
      <c r="AW965" s="60">
        <v>730933668</v>
      </c>
      <c r="AX965" s="60"/>
      <c r="AY965" s="60"/>
      <c r="AZ965" s="60"/>
      <c r="BA965" s="60">
        <f>VLOOKUP(B965,[2]Hoja3!J$3:K$674,2,0)</f>
        <v>275099035</v>
      </c>
      <c r="BB965" s="60"/>
      <c r="BC965" s="61">
        <f t="shared" si="139"/>
        <v>72296383093</v>
      </c>
      <c r="BD965" s="60"/>
      <c r="BE965" s="60"/>
      <c r="BF965" s="60">
        <v>270131237</v>
      </c>
      <c r="BG965" s="60"/>
      <c r="BH965" s="60"/>
      <c r="BI965" s="60">
        <v>6763275296</v>
      </c>
      <c r="BJ965" s="60">
        <v>8463253860</v>
      </c>
      <c r="BK965" s="60">
        <v>459465413</v>
      </c>
      <c r="BL965" s="60">
        <v>1620379492</v>
      </c>
      <c r="BM965" s="60"/>
      <c r="BN965" s="60"/>
      <c r="BO965" s="60"/>
      <c r="BP965" s="61">
        <v>89872888391</v>
      </c>
      <c r="BQ965" s="61"/>
      <c r="BR965" s="61"/>
      <c r="BS965" s="61">
        <v>270131237</v>
      </c>
      <c r="BT965" s="61"/>
      <c r="BU965" s="61"/>
      <c r="BV965" s="61"/>
      <c r="BW965" s="61">
        <v>7264938261</v>
      </c>
      <c r="BX965" s="61"/>
      <c r="BY965" s="61">
        <v>2880431385</v>
      </c>
      <c r="BZ965" s="61">
        <v>482197248</v>
      </c>
      <c r="CA965" s="61">
        <v>1229059666</v>
      </c>
      <c r="CB965" s="61"/>
      <c r="CC965" s="61"/>
      <c r="CD965" s="61"/>
      <c r="CE965" s="61">
        <v>104600257</v>
      </c>
      <c r="CF965" s="61"/>
      <c r="CG965" s="61">
        <f t="shared" si="140"/>
        <v>102104246445</v>
      </c>
      <c r="CH965" s="62">
        <f>VLOOKUP(B965,[1]RPTNCT049_ConsultaSaldosContabl!I$4:K$7987,3,0)</f>
        <v>98336338842</v>
      </c>
      <c r="CI965" s="62">
        <f t="shared" si="141"/>
        <v>3767907603</v>
      </c>
      <c r="CJ965" s="63">
        <f t="shared" si="142"/>
        <v>102104246445</v>
      </c>
      <c r="CK965" s="64">
        <f t="shared" si="143"/>
        <v>0</v>
      </c>
      <c r="CL965" s="16"/>
      <c r="CM965" s="16"/>
      <c r="CN965" s="16"/>
    </row>
    <row r="966" spans="1:96" ht="15" customHeight="1" x14ac:dyDescent="0.2">
      <c r="A966" s="1">
        <v>8000957884</v>
      </c>
      <c r="B966" s="1">
        <v>800095788</v>
      </c>
      <c r="C966" s="9">
        <v>218518785</v>
      </c>
      <c r="D966" s="10" t="s">
        <v>371</v>
      </c>
      <c r="E966" s="45" t="s">
        <v>1403</v>
      </c>
      <c r="F966" s="21"/>
      <c r="G966" s="59"/>
      <c r="H966" s="21"/>
      <c r="I966" s="59"/>
      <c r="J966" s="21"/>
      <c r="K966" s="21"/>
      <c r="L966" s="59"/>
      <c r="M966" s="60"/>
      <c r="N966" s="21"/>
      <c r="O966" s="59"/>
      <c r="P966" s="21"/>
      <c r="Q966" s="59"/>
      <c r="R966" s="21"/>
      <c r="S966" s="21"/>
      <c r="T966" s="59"/>
      <c r="U966" s="60">
        <f t="shared" si="138"/>
        <v>0</v>
      </c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>
        <v>90471055</v>
      </c>
      <c r="AN966" s="60">
        <f>SUBTOTAL(9,AC966:AM966)</f>
        <v>90471055</v>
      </c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>
        <v>74040705</v>
      </c>
      <c r="AZ966" s="60"/>
      <c r="BA966" s="60">
        <f>VLOOKUP(B966,[2]Hoja3!J$3:K$674,2,0)</f>
        <v>41823330</v>
      </c>
      <c r="BB966" s="60"/>
      <c r="BC966" s="61">
        <f t="shared" si="139"/>
        <v>206335090</v>
      </c>
      <c r="BD966" s="60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>
        <v>14808141</v>
      </c>
      <c r="BO966" s="60"/>
      <c r="BP966" s="61">
        <v>221143231</v>
      </c>
      <c r="BQ966" s="61"/>
      <c r="BR966" s="61"/>
      <c r="BS966" s="61"/>
      <c r="BT966" s="61"/>
      <c r="BU966" s="61"/>
      <c r="BV966" s="61"/>
      <c r="BW966" s="61"/>
      <c r="BX966" s="61"/>
      <c r="BY966" s="61"/>
      <c r="BZ966" s="61"/>
      <c r="CA966" s="61"/>
      <c r="CB966" s="61"/>
      <c r="CC966" s="61">
        <v>14808141</v>
      </c>
      <c r="CD966" s="61"/>
      <c r="CE966" s="61"/>
      <c r="CF966" s="61"/>
      <c r="CG966" s="61">
        <f t="shared" si="140"/>
        <v>235951372</v>
      </c>
      <c r="CH966" s="62">
        <f>VLOOKUP(B966,[1]RPTNCT049_ConsultaSaldosContabl!I$4:K$7987,3,0)</f>
        <v>103656987</v>
      </c>
      <c r="CI966" s="62">
        <f t="shared" si="141"/>
        <v>132294385</v>
      </c>
      <c r="CJ966" s="63">
        <f t="shared" si="142"/>
        <v>235951372</v>
      </c>
      <c r="CK966" s="64">
        <f t="shared" si="143"/>
        <v>0</v>
      </c>
      <c r="CL966" s="16"/>
      <c r="CM966" s="16"/>
      <c r="CN966" s="16"/>
    </row>
    <row r="967" spans="1:96" ht="15" customHeight="1" x14ac:dyDescent="0.2">
      <c r="A967" s="1">
        <v>8000298265</v>
      </c>
      <c r="B967" s="1">
        <v>800029826</v>
      </c>
      <c r="C967" s="9">
        <v>216115761</v>
      </c>
      <c r="D967" s="10" t="s">
        <v>311</v>
      </c>
      <c r="E967" s="45" t="s">
        <v>1343</v>
      </c>
      <c r="F967" s="21"/>
      <c r="G967" s="59"/>
      <c r="H967" s="21"/>
      <c r="I967" s="59"/>
      <c r="J967" s="21"/>
      <c r="K967" s="21"/>
      <c r="L967" s="59"/>
      <c r="M967" s="60"/>
      <c r="N967" s="21"/>
      <c r="O967" s="59"/>
      <c r="P967" s="21"/>
      <c r="Q967" s="59"/>
      <c r="R967" s="21"/>
      <c r="S967" s="21"/>
      <c r="T967" s="59"/>
      <c r="U967" s="60">
        <f t="shared" si="138"/>
        <v>0</v>
      </c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>
        <v>25373480</v>
      </c>
      <c r="AZ967" s="60"/>
      <c r="BA967" s="60">
        <f>VLOOKUP(B967,[2]Hoja3!J$3:K$674,2,0)</f>
        <v>42597415</v>
      </c>
      <c r="BB967" s="60"/>
      <c r="BC967" s="61">
        <f t="shared" si="139"/>
        <v>67970895</v>
      </c>
      <c r="BD967" s="60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>
        <v>5074696</v>
      </c>
      <c r="BO967" s="60"/>
      <c r="BP967" s="61">
        <v>73045591</v>
      </c>
      <c r="BQ967" s="61"/>
      <c r="BR967" s="61"/>
      <c r="BS967" s="61"/>
      <c r="BT967" s="61"/>
      <c r="BU967" s="61"/>
      <c r="BV967" s="61"/>
      <c r="BW967" s="61"/>
      <c r="BX967" s="61"/>
      <c r="BY967" s="61"/>
      <c r="BZ967" s="61"/>
      <c r="CA967" s="61"/>
      <c r="CB967" s="61"/>
      <c r="CC967" s="61">
        <v>5074696</v>
      </c>
      <c r="CD967" s="61"/>
      <c r="CE967" s="61"/>
      <c r="CF967" s="61"/>
      <c r="CG967" s="61">
        <f t="shared" si="140"/>
        <v>78120287</v>
      </c>
      <c r="CH967" s="62">
        <f>VLOOKUP(B967,[1]RPTNCT049_ConsultaSaldosContabl!I$4:K$7987,3,0)</f>
        <v>35522872</v>
      </c>
      <c r="CI967" s="62">
        <f t="shared" si="141"/>
        <v>42597415</v>
      </c>
      <c r="CJ967" s="63">
        <f t="shared" si="142"/>
        <v>78120287</v>
      </c>
      <c r="CK967" s="64">
        <f t="shared" si="143"/>
        <v>0</v>
      </c>
      <c r="CL967" s="16"/>
      <c r="CM967" s="8"/>
      <c r="CN967" s="8"/>
      <c r="CO967" s="8"/>
      <c r="CP967" s="8"/>
      <c r="CQ967" s="8"/>
      <c r="CR967" s="8"/>
    </row>
    <row r="968" spans="1:96" ht="15" customHeight="1" x14ac:dyDescent="0.2">
      <c r="A968" s="1">
        <v>8909803577</v>
      </c>
      <c r="B968" s="1">
        <v>890980357</v>
      </c>
      <c r="C968" s="9">
        <v>215605756</v>
      </c>
      <c r="D968" s="10" t="s">
        <v>142</v>
      </c>
      <c r="E968" s="45" t="s">
        <v>1171</v>
      </c>
      <c r="F968" s="21"/>
      <c r="G968" s="59"/>
      <c r="H968" s="21"/>
      <c r="I968" s="59"/>
      <c r="J968" s="21"/>
      <c r="K968" s="21"/>
      <c r="L968" s="59"/>
      <c r="M968" s="60"/>
      <c r="N968" s="21"/>
      <c r="O968" s="59"/>
      <c r="P968" s="21"/>
      <c r="Q968" s="59"/>
      <c r="R968" s="21"/>
      <c r="S968" s="21"/>
      <c r="T968" s="59"/>
      <c r="U968" s="60">
        <f t="shared" si="138"/>
        <v>0</v>
      </c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>
        <v>497433131</v>
      </c>
      <c r="AN968" s="60">
        <f>SUBTOTAL(9,AC968:AM968)</f>
        <v>497433131</v>
      </c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>
        <v>231226575</v>
      </c>
      <c r="AZ968" s="60"/>
      <c r="BA968" s="60"/>
      <c r="BB968" s="60"/>
      <c r="BC968" s="61">
        <f t="shared" si="139"/>
        <v>728659706</v>
      </c>
      <c r="BD968" s="60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>
        <v>46245315</v>
      </c>
      <c r="BO968" s="60"/>
      <c r="BP968" s="61">
        <v>774905021</v>
      </c>
      <c r="BQ968" s="61"/>
      <c r="BR968" s="61"/>
      <c r="BS968" s="61"/>
      <c r="BT968" s="61"/>
      <c r="BU968" s="61"/>
      <c r="BV968" s="61"/>
      <c r="BW968" s="61"/>
      <c r="BX968" s="61"/>
      <c r="BY968" s="61"/>
      <c r="BZ968" s="61"/>
      <c r="CA968" s="61"/>
      <c r="CB968" s="61"/>
      <c r="CC968" s="61">
        <v>46245315</v>
      </c>
      <c r="CD968" s="61"/>
      <c r="CE968" s="61"/>
      <c r="CF968" s="61"/>
      <c r="CG968" s="61">
        <f t="shared" si="140"/>
        <v>821150336</v>
      </c>
      <c r="CH968" s="62">
        <f>VLOOKUP(B968,[1]RPTNCT049_ConsultaSaldosContabl!I$4:K$7987,3,0)</f>
        <v>323717205</v>
      </c>
      <c r="CI968" s="62">
        <f t="shared" si="141"/>
        <v>497433131</v>
      </c>
      <c r="CJ968" s="63">
        <f t="shared" si="142"/>
        <v>821150336</v>
      </c>
      <c r="CK968" s="64">
        <f t="shared" si="143"/>
        <v>0</v>
      </c>
      <c r="CL968" s="16"/>
      <c r="CM968" s="16"/>
      <c r="CN968" s="16"/>
    </row>
    <row r="969" spans="1:96" ht="15" customHeight="1" x14ac:dyDescent="0.2">
      <c r="A969" s="1">
        <v>8909810807</v>
      </c>
      <c r="B969" s="1">
        <v>890981080</v>
      </c>
      <c r="C969" s="9">
        <v>216105761</v>
      </c>
      <c r="D969" s="10" t="s">
        <v>143</v>
      </c>
      <c r="E969" s="45" t="s">
        <v>1172</v>
      </c>
      <c r="F969" s="21"/>
      <c r="G969" s="59"/>
      <c r="H969" s="21"/>
      <c r="I969" s="59"/>
      <c r="J969" s="21"/>
      <c r="K969" s="21"/>
      <c r="L969" s="59"/>
      <c r="M969" s="60"/>
      <c r="N969" s="21"/>
      <c r="O969" s="59"/>
      <c r="P969" s="21"/>
      <c r="Q969" s="59"/>
      <c r="R969" s="21"/>
      <c r="S969" s="21"/>
      <c r="T969" s="59"/>
      <c r="U969" s="60">
        <f t="shared" si="138"/>
        <v>0</v>
      </c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>
        <f>VLOOKUP(B969,[2]Hoja3!J$3:K$674,2,0)</f>
        <v>200743627</v>
      </c>
      <c r="BB969" s="60"/>
      <c r="BC969" s="61">
        <f t="shared" si="139"/>
        <v>200743627</v>
      </c>
      <c r="BD969" s="60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>
        <v>0</v>
      </c>
      <c r="BO969" s="60"/>
      <c r="BP969" s="61">
        <v>200743627</v>
      </c>
      <c r="BQ969" s="61"/>
      <c r="BR969" s="61"/>
      <c r="BS969" s="61"/>
      <c r="BT969" s="61"/>
      <c r="BU969" s="61"/>
      <c r="BV969" s="61"/>
      <c r="BW969" s="61"/>
      <c r="BX969" s="61"/>
      <c r="BY969" s="61"/>
      <c r="BZ969" s="61"/>
      <c r="CA969" s="61"/>
      <c r="CB969" s="61"/>
      <c r="CC969" s="61">
        <v>0</v>
      </c>
      <c r="CD969" s="61"/>
      <c r="CE969" s="61"/>
      <c r="CF969" s="61"/>
      <c r="CG969" s="61">
        <f t="shared" si="140"/>
        <v>200743627</v>
      </c>
      <c r="CH969" s="62"/>
      <c r="CI969" s="62">
        <f t="shared" si="141"/>
        <v>200743627</v>
      </c>
      <c r="CJ969" s="63">
        <f t="shared" si="142"/>
        <v>200743627</v>
      </c>
      <c r="CK969" s="64">
        <f t="shared" si="143"/>
        <v>0</v>
      </c>
      <c r="CL969" s="16"/>
      <c r="CM969" s="16"/>
      <c r="CN969" s="16"/>
    </row>
    <row r="970" spans="1:96" ht="15" customHeight="1" x14ac:dyDescent="0.2">
      <c r="A970" s="1">
        <v>8000356779</v>
      </c>
      <c r="B970" s="1">
        <v>800035677</v>
      </c>
      <c r="C970" s="9">
        <v>216013760</v>
      </c>
      <c r="D970" s="10" t="s">
        <v>210</v>
      </c>
      <c r="E970" s="45" t="s">
        <v>1245</v>
      </c>
      <c r="F970" s="21"/>
      <c r="G970" s="59"/>
      <c r="H970" s="21"/>
      <c r="I970" s="59"/>
      <c r="J970" s="21"/>
      <c r="K970" s="21"/>
      <c r="L970" s="59"/>
      <c r="M970" s="60"/>
      <c r="N970" s="21"/>
      <c r="O970" s="59"/>
      <c r="P970" s="21"/>
      <c r="Q970" s="59"/>
      <c r="R970" s="21"/>
      <c r="S970" s="21"/>
      <c r="T970" s="59"/>
      <c r="U970" s="60">
        <f t="shared" si="138"/>
        <v>0</v>
      </c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>
        <v>123655308</v>
      </c>
      <c r="AN970" s="60">
        <f>SUBTOTAL(9,AC970:AM970)</f>
        <v>123655308</v>
      </c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>
        <v>75254565</v>
      </c>
      <c r="AZ970" s="60"/>
      <c r="BA970" s="60"/>
      <c r="BB970" s="60"/>
      <c r="BC970" s="61">
        <f t="shared" si="139"/>
        <v>198909873</v>
      </c>
      <c r="BD970" s="60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>
        <v>15050913</v>
      </c>
      <c r="BO970" s="60"/>
      <c r="BP970" s="61">
        <v>213960786</v>
      </c>
      <c r="BQ970" s="61"/>
      <c r="BR970" s="61"/>
      <c r="BS970" s="61"/>
      <c r="BT970" s="61"/>
      <c r="BU970" s="61"/>
      <c r="BV970" s="61"/>
      <c r="BW970" s="61"/>
      <c r="BX970" s="61"/>
      <c r="BY970" s="61"/>
      <c r="BZ970" s="61"/>
      <c r="CA970" s="61"/>
      <c r="CB970" s="61"/>
      <c r="CC970" s="61">
        <v>15050913</v>
      </c>
      <c r="CD970" s="61"/>
      <c r="CE970" s="61"/>
      <c r="CF970" s="61"/>
      <c r="CG970" s="61">
        <f t="shared" si="140"/>
        <v>229011699</v>
      </c>
      <c r="CH970" s="62">
        <f>VLOOKUP(B970,[1]RPTNCT049_ConsultaSaldosContabl!I$4:K$7987,3,0)</f>
        <v>105356391</v>
      </c>
      <c r="CI970" s="62">
        <f t="shared" si="141"/>
        <v>123655308</v>
      </c>
      <c r="CJ970" s="63">
        <f t="shared" si="142"/>
        <v>229011699</v>
      </c>
      <c r="CK970" s="64">
        <f t="shared" si="143"/>
        <v>0</v>
      </c>
      <c r="CL970" s="16"/>
      <c r="CM970" s="8"/>
      <c r="CN970" s="8"/>
      <c r="CO970" s="8"/>
      <c r="CP970" s="8"/>
      <c r="CQ970" s="8"/>
      <c r="CR970" s="8"/>
    </row>
    <row r="971" spans="1:96" ht="15" customHeight="1" x14ac:dyDescent="0.2">
      <c r="A971" s="1">
        <v>8999994682</v>
      </c>
      <c r="B971" s="1">
        <v>899999468</v>
      </c>
      <c r="C971" s="9">
        <v>215825758</v>
      </c>
      <c r="D971" s="10" t="s">
        <v>539</v>
      </c>
      <c r="E971" s="45" t="s">
        <v>1564</v>
      </c>
      <c r="F971" s="21"/>
      <c r="G971" s="59"/>
      <c r="H971" s="21"/>
      <c r="I971" s="59"/>
      <c r="J971" s="21"/>
      <c r="K971" s="21"/>
      <c r="L971" s="59"/>
      <c r="M971" s="60"/>
      <c r="N971" s="21"/>
      <c r="O971" s="59"/>
      <c r="P971" s="21"/>
      <c r="Q971" s="59"/>
      <c r="R971" s="21"/>
      <c r="S971" s="21"/>
      <c r="T971" s="59"/>
      <c r="U971" s="60">
        <f t="shared" si="138"/>
        <v>0</v>
      </c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>
        <v>336029249</v>
      </c>
      <c r="AN971" s="60">
        <f>SUBTOTAL(9,AC971:AM971)</f>
        <v>336029249</v>
      </c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1">
        <f t="shared" si="139"/>
        <v>336029249</v>
      </c>
      <c r="BD971" s="60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>
        <v>0</v>
      </c>
      <c r="BO971" s="60"/>
      <c r="BP971" s="61">
        <v>336029249</v>
      </c>
      <c r="BQ971" s="61"/>
      <c r="BR971" s="61"/>
      <c r="BS971" s="61"/>
      <c r="BT971" s="61"/>
      <c r="BU971" s="61"/>
      <c r="BV971" s="61"/>
      <c r="BW971" s="61"/>
      <c r="BX971" s="61"/>
      <c r="BY971" s="61"/>
      <c r="BZ971" s="61"/>
      <c r="CA971" s="61"/>
      <c r="CB971" s="61"/>
      <c r="CC971" s="61">
        <v>0</v>
      </c>
      <c r="CD971" s="61"/>
      <c r="CE971" s="61"/>
      <c r="CF971" s="61"/>
      <c r="CG971" s="61">
        <f t="shared" si="140"/>
        <v>336029249</v>
      </c>
      <c r="CH971" s="62"/>
      <c r="CI971" s="62">
        <f t="shared" si="141"/>
        <v>336029249</v>
      </c>
      <c r="CJ971" s="63">
        <f t="shared" si="142"/>
        <v>336029249</v>
      </c>
      <c r="CK971" s="64">
        <f t="shared" si="143"/>
        <v>0</v>
      </c>
      <c r="CL971" s="16"/>
      <c r="CM971" s="16"/>
      <c r="CN971" s="16"/>
    </row>
    <row r="972" spans="1:96" ht="15" customHeight="1" x14ac:dyDescent="0.2">
      <c r="A972" s="1">
        <v>8000192779</v>
      </c>
      <c r="B972" s="1">
        <v>800019277</v>
      </c>
      <c r="C972" s="9">
        <v>216215762</v>
      </c>
      <c r="D972" s="10" t="s">
        <v>312</v>
      </c>
      <c r="E972" s="45" t="s">
        <v>1344</v>
      </c>
      <c r="F972" s="21"/>
      <c r="G972" s="59"/>
      <c r="H972" s="21"/>
      <c r="I972" s="59"/>
      <c r="J972" s="21"/>
      <c r="K972" s="21"/>
      <c r="L972" s="59"/>
      <c r="M972" s="60"/>
      <c r="N972" s="21"/>
      <c r="O972" s="59"/>
      <c r="P972" s="21"/>
      <c r="Q972" s="59"/>
      <c r="R972" s="21"/>
      <c r="S972" s="21"/>
      <c r="T972" s="59"/>
      <c r="U972" s="60">
        <f t="shared" si="138"/>
        <v>0</v>
      </c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>
        <v>46277223</v>
      </c>
      <c r="AN972" s="60">
        <f>SUBTOTAL(9,AC972:AM972)</f>
        <v>46277223</v>
      </c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>
        <v>24319755</v>
      </c>
      <c r="AZ972" s="60"/>
      <c r="BA972" s="60"/>
      <c r="BB972" s="60"/>
      <c r="BC972" s="61">
        <f t="shared" si="139"/>
        <v>70596978</v>
      </c>
      <c r="BD972" s="60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>
        <v>4863951</v>
      </c>
      <c r="BO972" s="60"/>
      <c r="BP972" s="61">
        <v>75460929</v>
      </c>
      <c r="BQ972" s="61"/>
      <c r="BR972" s="61"/>
      <c r="BS972" s="61"/>
      <c r="BT972" s="61"/>
      <c r="BU972" s="61"/>
      <c r="BV972" s="61"/>
      <c r="BW972" s="61"/>
      <c r="BX972" s="61"/>
      <c r="BY972" s="61"/>
      <c r="BZ972" s="61"/>
      <c r="CA972" s="61"/>
      <c r="CB972" s="61"/>
      <c r="CC972" s="61">
        <v>4863951</v>
      </c>
      <c r="CD972" s="61"/>
      <c r="CE972" s="61"/>
      <c r="CF972" s="61"/>
      <c r="CG972" s="61">
        <f t="shared" si="140"/>
        <v>80324880</v>
      </c>
      <c r="CH972" s="62">
        <f>VLOOKUP(B972,[1]RPTNCT049_ConsultaSaldosContabl!I$4:K$7987,3,0)</f>
        <v>34047657</v>
      </c>
      <c r="CI972" s="62">
        <f t="shared" si="141"/>
        <v>46277223</v>
      </c>
      <c r="CJ972" s="63">
        <f t="shared" si="142"/>
        <v>80324880</v>
      </c>
      <c r="CK972" s="64">
        <f t="shared" si="143"/>
        <v>0</v>
      </c>
      <c r="CL972" s="16"/>
      <c r="CM972" s="8"/>
      <c r="CN972" s="8"/>
      <c r="CO972" s="8"/>
      <c r="CP972" s="8"/>
      <c r="CQ972" s="8"/>
      <c r="CR972" s="8"/>
    </row>
    <row r="973" spans="1:96" ht="15" customHeight="1" x14ac:dyDescent="0.2">
      <c r="A973" s="1">
        <v>8000159097</v>
      </c>
      <c r="B973" s="1">
        <v>800015909</v>
      </c>
      <c r="C973" s="9">
        <v>216415764</v>
      </c>
      <c r="D973" s="10" t="s">
        <v>314</v>
      </c>
      <c r="E973" s="45" t="s">
        <v>1346</v>
      </c>
      <c r="F973" s="21"/>
      <c r="G973" s="59"/>
      <c r="H973" s="21"/>
      <c r="I973" s="59"/>
      <c r="J973" s="21"/>
      <c r="K973" s="21"/>
      <c r="L973" s="59"/>
      <c r="M973" s="60"/>
      <c r="N973" s="21"/>
      <c r="O973" s="59"/>
      <c r="P973" s="21"/>
      <c r="Q973" s="59"/>
      <c r="R973" s="21"/>
      <c r="S973" s="21"/>
      <c r="T973" s="59"/>
      <c r="U973" s="60">
        <f t="shared" si="138"/>
        <v>0</v>
      </c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>
        <v>147922536</v>
      </c>
      <c r="AN973" s="60">
        <f>SUBTOTAL(9,AC973:AM973)</f>
        <v>147922536</v>
      </c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>
        <v>53670730</v>
      </c>
      <c r="AZ973" s="60"/>
      <c r="BA973" s="60"/>
      <c r="BB973" s="60"/>
      <c r="BC973" s="61">
        <f t="shared" si="139"/>
        <v>201593266</v>
      </c>
      <c r="BD973" s="60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>
        <v>10734146</v>
      </c>
      <c r="BO973" s="60"/>
      <c r="BP973" s="61">
        <v>212327412</v>
      </c>
      <c r="BQ973" s="61"/>
      <c r="BR973" s="61"/>
      <c r="BS973" s="61"/>
      <c r="BT973" s="61"/>
      <c r="BU973" s="61"/>
      <c r="BV973" s="61"/>
      <c r="BW973" s="61"/>
      <c r="BX973" s="61"/>
      <c r="BY973" s="61"/>
      <c r="BZ973" s="61"/>
      <c r="CA973" s="61"/>
      <c r="CB973" s="61"/>
      <c r="CC973" s="61">
        <v>10734146</v>
      </c>
      <c r="CD973" s="61"/>
      <c r="CE973" s="61"/>
      <c r="CF973" s="61"/>
      <c r="CG973" s="61">
        <f t="shared" si="140"/>
        <v>223061558</v>
      </c>
      <c r="CH973" s="62">
        <f>VLOOKUP(B973,[1]RPTNCT049_ConsultaSaldosContabl!I$4:K$7987,3,0)</f>
        <v>75139022</v>
      </c>
      <c r="CI973" s="62">
        <f t="shared" si="141"/>
        <v>147922536</v>
      </c>
      <c r="CJ973" s="63">
        <f t="shared" si="142"/>
        <v>223061558</v>
      </c>
      <c r="CK973" s="64">
        <f t="shared" si="143"/>
        <v>0</v>
      </c>
      <c r="CL973" s="16"/>
      <c r="CM973" s="8"/>
      <c r="CN973" s="8"/>
      <c r="CO973" s="8"/>
      <c r="CP973" s="8"/>
      <c r="CQ973" s="8"/>
      <c r="CR973" s="8"/>
    </row>
    <row r="974" spans="1:96" ht="15" customHeight="1" x14ac:dyDescent="0.2">
      <c r="A974" s="1">
        <v>8918010611</v>
      </c>
      <c r="B974" s="1">
        <v>891801061</v>
      </c>
      <c r="C974" s="9">
        <v>216315763</v>
      </c>
      <c r="D974" s="10" t="s">
        <v>313</v>
      </c>
      <c r="E974" s="45" t="s">
        <v>1345</v>
      </c>
      <c r="F974" s="21"/>
      <c r="G974" s="59"/>
      <c r="H974" s="21"/>
      <c r="I974" s="59"/>
      <c r="J974" s="21"/>
      <c r="K974" s="21"/>
      <c r="L974" s="59"/>
      <c r="M974" s="60"/>
      <c r="N974" s="21"/>
      <c r="O974" s="59"/>
      <c r="P974" s="21"/>
      <c r="Q974" s="59"/>
      <c r="R974" s="21"/>
      <c r="S974" s="21"/>
      <c r="T974" s="59"/>
      <c r="U974" s="60">
        <f t="shared" si="138"/>
        <v>0</v>
      </c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>
        <v>52125680</v>
      </c>
      <c r="AZ974" s="60"/>
      <c r="BA974" s="60">
        <f>VLOOKUP(B974,[2]Hoja3!J$3:K$674,2,0)</f>
        <v>122178622</v>
      </c>
      <c r="BB974" s="60"/>
      <c r="BC974" s="61">
        <f t="shared" si="139"/>
        <v>174304302</v>
      </c>
      <c r="BD974" s="60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>
        <v>10425136</v>
      </c>
      <c r="BO974" s="60"/>
      <c r="BP974" s="61">
        <v>184729438</v>
      </c>
      <c r="BQ974" s="61"/>
      <c r="BR974" s="61"/>
      <c r="BS974" s="61"/>
      <c r="BT974" s="61"/>
      <c r="BU974" s="61"/>
      <c r="BV974" s="61"/>
      <c r="BW974" s="61"/>
      <c r="BX974" s="61"/>
      <c r="BY974" s="61"/>
      <c r="BZ974" s="61"/>
      <c r="CA974" s="61"/>
      <c r="CB974" s="61"/>
      <c r="CC974" s="61">
        <v>10425136</v>
      </c>
      <c r="CD974" s="61"/>
      <c r="CE974" s="61"/>
      <c r="CF974" s="61"/>
      <c r="CG974" s="61">
        <f t="shared" si="140"/>
        <v>195154574</v>
      </c>
      <c r="CH974" s="62">
        <f>VLOOKUP(B974,[1]RPTNCT049_ConsultaSaldosContabl!I$4:K$7987,3,0)</f>
        <v>72975952</v>
      </c>
      <c r="CI974" s="62">
        <f t="shared" si="141"/>
        <v>122178622</v>
      </c>
      <c r="CJ974" s="63">
        <f t="shared" si="142"/>
        <v>195154574</v>
      </c>
      <c r="CK974" s="64">
        <f t="shared" si="143"/>
        <v>0</v>
      </c>
      <c r="CL974" s="16"/>
      <c r="CM974" s="8"/>
      <c r="CN974" s="8"/>
      <c r="CO974" s="8"/>
      <c r="CP974" s="8"/>
      <c r="CQ974" s="8"/>
      <c r="CR974" s="8"/>
    </row>
    <row r="975" spans="1:96" ht="15" customHeight="1" x14ac:dyDescent="0.2">
      <c r="A975" s="1">
        <v>8915012776</v>
      </c>
      <c r="B975" s="1">
        <v>891501277</v>
      </c>
      <c r="C975" s="9">
        <v>216019760</v>
      </c>
      <c r="D975" s="10" t="s">
        <v>405</v>
      </c>
      <c r="E975" s="45" t="s">
        <v>1434</v>
      </c>
      <c r="F975" s="21"/>
      <c r="G975" s="59"/>
      <c r="H975" s="21"/>
      <c r="I975" s="59"/>
      <c r="J975" s="21"/>
      <c r="K975" s="21"/>
      <c r="L975" s="59"/>
      <c r="M975" s="60"/>
      <c r="N975" s="21"/>
      <c r="O975" s="59"/>
      <c r="P975" s="21"/>
      <c r="Q975" s="59"/>
      <c r="R975" s="21"/>
      <c r="S975" s="21"/>
      <c r="T975" s="59"/>
      <c r="U975" s="60">
        <f t="shared" si="138"/>
        <v>0</v>
      </c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>
        <v>116370732</v>
      </c>
      <c r="AN975" s="60">
        <f>SUBTOTAL(9,AC975:AM975)</f>
        <v>116370732</v>
      </c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>
        <f>VLOOKUP(B975,[2]Hoja3!J$3:K$674,2,0)</f>
        <v>10568277</v>
      </c>
      <c r="BB975" s="60"/>
      <c r="BC975" s="61">
        <f t="shared" si="139"/>
        <v>126939009</v>
      </c>
      <c r="BD975" s="60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>
        <v>16589710</v>
      </c>
      <c r="BO975" s="60"/>
      <c r="BP975" s="61">
        <v>143528719</v>
      </c>
      <c r="BQ975" s="61"/>
      <c r="BR975" s="61"/>
      <c r="BS975" s="61"/>
      <c r="BT975" s="61"/>
      <c r="BU975" s="61"/>
      <c r="BV975" s="61"/>
      <c r="BW975" s="61"/>
      <c r="BX975" s="61"/>
      <c r="BY975" s="61"/>
      <c r="BZ975" s="61"/>
      <c r="CA975" s="61"/>
      <c r="CB975" s="61"/>
      <c r="CC975" s="61">
        <v>16589710</v>
      </c>
      <c r="CD975" s="61">
        <v>82948550</v>
      </c>
      <c r="CE975" s="61"/>
      <c r="CF975" s="61"/>
      <c r="CG975" s="61">
        <f t="shared" si="140"/>
        <v>243066979</v>
      </c>
      <c r="CH975" s="62">
        <f>VLOOKUP(B975,[1]RPTNCT049_ConsultaSaldosContabl!I$4:K$7987,3,0)</f>
        <v>116127970</v>
      </c>
      <c r="CI975" s="62">
        <f t="shared" si="141"/>
        <v>126939009</v>
      </c>
      <c r="CJ975" s="63">
        <f t="shared" si="142"/>
        <v>243066979</v>
      </c>
      <c r="CK975" s="64">
        <f t="shared" si="143"/>
        <v>0</v>
      </c>
      <c r="CL975" s="16"/>
      <c r="CM975" s="16"/>
      <c r="CN975" s="16"/>
    </row>
    <row r="976" spans="1:96" ht="15" customHeight="1" x14ac:dyDescent="0.2">
      <c r="A976" s="1">
        <v>8902049855</v>
      </c>
      <c r="B976" s="1">
        <v>890204985</v>
      </c>
      <c r="C976" s="9">
        <v>217068770</v>
      </c>
      <c r="D976" s="10" t="s">
        <v>882</v>
      </c>
      <c r="E976" s="45" t="s">
        <v>1895</v>
      </c>
      <c r="F976" s="21"/>
      <c r="G976" s="59"/>
      <c r="H976" s="21"/>
      <c r="I976" s="59"/>
      <c r="J976" s="21"/>
      <c r="K976" s="21"/>
      <c r="L976" s="59"/>
      <c r="M976" s="60"/>
      <c r="N976" s="21"/>
      <c r="O976" s="59"/>
      <c r="P976" s="21"/>
      <c r="Q976" s="59"/>
      <c r="R976" s="21"/>
      <c r="S976" s="21"/>
      <c r="T976" s="59"/>
      <c r="U976" s="60">
        <f t="shared" si="138"/>
        <v>0</v>
      </c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>
        <v>186409978</v>
      </c>
      <c r="AN976" s="60">
        <f>SUBTOTAL(9,AC976:AM976)</f>
        <v>186409978</v>
      </c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>
        <v>66032560</v>
      </c>
      <c r="AZ976" s="60"/>
      <c r="BA976" s="60"/>
      <c r="BB976" s="60"/>
      <c r="BC976" s="61">
        <f t="shared" si="139"/>
        <v>252442538</v>
      </c>
      <c r="BD976" s="60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>
        <v>13206512</v>
      </c>
      <c r="BO976" s="60"/>
      <c r="BP976" s="61">
        <v>265649050</v>
      </c>
      <c r="BQ976" s="61"/>
      <c r="BR976" s="61"/>
      <c r="BS976" s="61"/>
      <c r="BT976" s="61"/>
      <c r="BU976" s="61"/>
      <c r="BV976" s="61"/>
      <c r="BW976" s="61"/>
      <c r="BX976" s="61"/>
      <c r="BY976" s="61"/>
      <c r="BZ976" s="61"/>
      <c r="CA976" s="61"/>
      <c r="CB976" s="61"/>
      <c r="CC976" s="61">
        <v>13206512</v>
      </c>
      <c r="CD976" s="61"/>
      <c r="CE976" s="61"/>
      <c r="CF976" s="61"/>
      <c r="CG976" s="61">
        <f t="shared" si="140"/>
        <v>278855562</v>
      </c>
      <c r="CH976" s="62">
        <f>VLOOKUP(B976,[1]RPTNCT049_ConsultaSaldosContabl!I$4:K$7987,3,0)</f>
        <v>92445584</v>
      </c>
      <c r="CI976" s="62">
        <f t="shared" si="141"/>
        <v>186409978</v>
      </c>
      <c r="CJ976" s="63">
        <f t="shared" si="142"/>
        <v>278855562</v>
      </c>
      <c r="CK976" s="64">
        <f t="shared" si="143"/>
        <v>0</v>
      </c>
      <c r="CL976" s="16"/>
      <c r="CM976" s="16"/>
      <c r="CN976" s="16"/>
    </row>
    <row r="977" spans="1:96" ht="15" customHeight="1" x14ac:dyDescent="0.2">
      <c r="A977" s="1">
        <v>8901161590</v>
      </c>
      <c r="B977" s="1">
        <v>890116159</v>
      </c>
      <c r="C977" s="9">
        <v>217008770</v>
      </c>
      <c r="D977" s="10" t="s">
        <v>178</v>
      </c>
      <c r="E977" s="45" t="s">
        <v>1207</v>
      </c>
      <c r="F977" s="21"/>
      <c r="G977" s="59"/>
      <c r="H977" s="21"/>
      <c r="I977" s="59"/>
      <c r="J977" s="21"/>
      <c r="K977" s="21"/>
      <c r="L977" s="59"/>
      <c r="M977" s="60"/>
      <c r="N977" s="21"/>
      <c r="O977" s="59"/>
      <c r="P977" s="21"/>
      <c r="Q977" s="59"/>
      <c r="R977" s="21"/>
      <c r="S977" s="21"/>
      <c r="T977" s="59"/>
      <c r="U977" s="60">
        <f t="shared" si="138"/>
        <v>0</v>
      </c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>
        <v>98230200</v>
      </c>
      <c r="AZ977" s="60"/>
      <c r="BA977" s="60">
        <f>VLOOKUP(B977,[2]Hoja3!J$3:K$674,2,0)</f>
        <v>178410922</v>
      </c>
      <c r="BB977" s="60"/>
      <c r="BC977" s="61">
        <f t="shared" si="139"/>
        <v>276641122</v>
      </c>
      <c r="BD977" s="60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>
        <v>19646040</v>
      </c>
      <c r="BO977" s="60"/>
      <c r="BP977" s="61">
        <v>296287162</v>
      </c>
      <c r="BQ977" s="61"/>
      <c r="BR977" s="61"/>
      <c r="BS977" s="61"/>
      <c r="BT977" s="61"/>
      <c r="BU977" s="61"/>
      <c r="BV977" s="61"/>
      <c r="BW977" s="61"/>
      <c r="BX977" s="61"/>
      <c r="BY977" s="61"/>
      <c r="BZ977" s="61"/>
      <c r="CA977" s="61"/>
      <c r="CB977" s="61"/>
      <c r="CC977" s="61">
        <v>19646040</v>
      </c>
      <c r="CD977" s="61"/>
      <c r="CE977" s="61"/>
      <c r="CF977" s="61"/>
      <c r="CG977" s="61">
        <f t="shared" si="140"/>
        <v>315933202</v>
      </c>
      <c r="CH977" s="62">
        <f>VLOOKUP(B977,[1]RPTNCT049_ConsultaSaldosContabl!I$4:K$7987,3,0)</f>
        <v>137522280</v>
      </c>
      <c r="CI977" s="62">
        <f t="shared" si="141"/>
        <v>178410922</v>
      </c>
      <c r="CJ977" s="63">
        <f t="shared" si="142"/>
        <v>315933202</v>
      </c>
      <c r="CK977" s="64">
        <f t="shared" si="143"/>
        <v>0</v>
      </c>
      <c r="CL977" s="16"/>
      <c r="CM977" s="16"/>
      <c r="CN977" s="16"/>
    </row>
    <row r="978" spans="1:96" ht="15" customHeight="1" x14ac:dyDescent="0.2">
      <c r="A978" s="1">
        <v>8001176875</v>
      </c>
      <c r="B978" s="1">
        <v>800117687</v>
      </c>
      <c r="C978" s="9">
        <v>218019780</v>
      </c>
      <c r="D978" s="10" t="s">
        <v>406</v>
      </c>
      <c r="E978" s="45" t="s">
        <v>1435</v>
      </c>
      <c r="F978" s="21"/>
      <c r="G978" s="59"/>
      <c r="H978" s="21"/>
      <c r="I978" s="59"/>
      <c r="J978" s="21"/>
      <c r="K978" s="21"/>
      <c r="L978" s="59"/>
      <c r="M978" s="60"/>
      <c r="N978" s="21"/>
      <c r="O978" s="59"/>
      <c r="P978" s="21"/>
      <c r="Q978" s="59"/>
      <c r="R978" s="21"/>
      <c r="S978" s="21"/>
      <c r="T978" s="59"/>
      <c r="U978" s="60">
        <f t="shared" si="138"/>
        <v>0</v>
      </c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>
        <v>23458546</v>
      </c>
      <c r="AN978" s="60">
        <f>SUBTOTAL(9,AC978:AM978)</f>
        <v>23458546</v>
      </c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>
        <f>VLOOKUP(B978,[2]Hoja3!J$3:K$674,2,0)</f>
        <v>284016236</v>
      </c>
      <c r="BB978" s="60"/>
      <c r="BC978" s="61">
        <f t="shared" si="139"/>
        <v>307474782</v>
      </c>
      <c r="BD978" s="60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>
        <v>0</v>
      </c>
      <c r="BO978" s="60"/>
      <c r="BP978" s="61">
        <v>307474782</v>
      </c>
      <c r="BQ978" s="61"/>
      <c r="BR978" s="61"/>
      <c r="BS978" s="61"/>
      <c r="BT978" s="61"/>
      <c r="BU978" s="61"/>
      <c r="BV978" s="61"/>
      <c r="BW978" s="61"/>
      <c r="BX978" s="61"/>
      <c r="BY978" s="61"/>
      <c r="BZ978" s="61"/>
      <c r="CA978" s="61"/>
      <c r="CB978" s="61"/>
      <c r="CC978" s="61">
        <v>0</v>
      </c>
      <c r="CD978" s="61"/>
      <c r="CE978" s="61"/>
      <c r="CF978" s="61"/>
      <c r="CG978" s="61">
        <f t="shared" si="140"/>
        <v>307474782</v>
      </c>
      <c r="CH978" s="62"/>
      <c r="CI978" s="62">
        <f t="shared" si="141"/>
        <v>307474782</v>
      </c>
      <c r="CJ978" s="63">
        <f t="shared" si="142"/>
        <v>307474782</v>
      </c>
      <c r="CK978" s="64">
        <f t="shared" si="143"/>
        <v>0</v>
      </c>
      <c r="CL978" s="16"/>
      <c r="CM978" s="16"/>
      <c r="CN978" s="16"/>
    </row>
    <row r="979" spans="1:96" ht="15" customHeight="1" x14ac:dyDescent="0.2">
      <c r="A979" s="1">
        <v>8907009780</v>
      </c>
      <c r="B979" s="1">
        <v>890700978</v>
      </c>
      <c r="C979" s="9">
        <v>217073770</v>
      </c>
      <c r="D979" s="10" t="s">
        <v>2240</v>
      </c>
      <c r="E979" s="45" t="s">
        <v>1968</v>
      </c>
      <c r="F979" s="21"/>
      <c r="G979" s="59"/>
      <c r="H979" s="21"/>
      <c r="I979" s="59"/>
      <c r="J979" s="21"/>
      <c r="K979" s="21"/>
      <c r="L979" s="59"/>
      <c r="M979" s="60"/>
      <c r="N979" s="21"/>
      <c r="O979" s="59"/>
      <c r="P979" s="21"/>
      <c r="Q979" s="59"/>
      <c r="R979" s="21"/>
      <c r="S979" s="21"/>
      <c r="T979" s="59"/>
      <c r="U979" s="60">
        <f t="shared" si="138"/>
        <v>0</v>
      </c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>
        <f>VLOOKUP(B979,[2]Hoja3!J$3:K$674,2,0)</f>
        <v>49181326</v>
      </c>
      <c r="BB979" s="60"/>
      <c r="BC979" s="61">
        <f t="shared" si="139"/>
        <v>49181326</v>
      </c>
      <c r="BD979" s="60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>
        <v>39882414</v>
      </c>
      <c r="BO979" s="60"/>
      <c r="BP979" s="61">
        <v>89063740</v>
      </c>
      <c r="BQ979" s="61"/>
      <c r="BR979" s="61"/>
      <c r="BS979" s="61"/>
      <c r="BT979" s="61"/>
      <c r="BU979" s="61"/>
      <c r="BV979" s="61"/>
      <c r="BW979" s="61"/>
      <c r="BX979" s="61"/>
      <c r="BY979" s="61"/>
      <c r="BZ979" s="61"/>
      <c r="CA979" s="61"/>
      <c r="CB979" s="61"/>
      <c r="CC979" s="61">
        <v>6647069</v>
      </c>
      <c r="CD979" s="61"/>
      <c r="CE979" s="61"/>
      <c r="CF979" s="61"/>
      <c r="CG979" s="61">
        <f t="shared" si="140"/>
        <v>95710809</v>
      </c>
      <c r="CH979" s="62">
        <f>VLOOKUP(B979,[1]RPTNCT049_ConsultaSaldosContabl!I$4:K$7987,3,0)</f>
        <v>46529483</v>
      </c>
      <c r="CI979" s="62">
        <f t="shared" si="141"/>
        <v>49181326</v>
      </c>
      <c r="CJ979" s="63">
        <f t="shared" si="142"/>
        <v>95710809</v>
      </c>
      <c r="CK979" s="64">
        <f t="shared" si="143"/>
        <v>0</v>
      </c>
      <c r="CL979" s="16"/>
      <c r="CM979" s="16"/>
      <c r="CN979" s="16"/>
    </row>
    <row r="980" spans="1:96" ht="15" customHeight="1" x14ac:dyDescent="0.2">
      <c r="A980" s="1">
        <v>8911801912</v>
      </c>
      <c r="B980" s="1">
        <v>891180191</v>
      </c>
      <c r="C980" s="9">
        <v>217041770</v>
      </c>
      <c r="D980" s="10" t="s">
        <v>621</v>
      </c>
      <c r="E980" s="45" t="s">
        <v>1640</v>
      </c>
      <c r="F980" s="21"/>
      <c r="G980" s="59"/>
      <c r="H980" s="21"/>
      <c r="I980" s="59"/>
      <c r="J980" s="21"/>
      <c r="K980" s="21"/>
      <c r="L980" s="59"/>
      <c r="M980" s="60"/>
      <c r="N980" s="21"/>
      <c r="O980" s="59"/>
      <c r="P980" s="21"/>
      <c r="Q980" s="59"/>
      <c r="R980" s="21"/>
      <c r="S980" s="21"/>
      <c r="T980" s="59"/>
      <c r="U980" s="60">
        <f t="shared" si="138"/>
        <v>0</v>
      </c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>
        <v>177353945</v>
      </c>
      <c r="AZ980" s="60"/>
      <c r="BA980" s="60">
        <f>VLOOKUP(B980,[2]Hoja3!J$3:K$674,2,0)</f>
        <v>372119955</v>
      </c>
      <c r="BB980" s="60"/>
      <c r="BC980" s="61">
        <f t="shared" si="139"/>
        <v>549473900</v>
      </c>
      <c r="BD980" s="60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>
        <v>35470789</v>
      </c>
      <c r="BO980" s="60"/>
      <c r="BP980" s="61">
        <v>584944689</v>
      </c>
      <c r="BQ980" s="61"/>
      <c r="BR980" s="61"/>
      <c r="BS980" s="61"/>
      <c r="BT980" s="61"/>
      <c r="BU980" s="61"/>
      <c r="BV980" s="61"/>
      <c r="BW980" s="61"/>
      <c r="BX980" s="61"/>
      <c r="BY980" s="61"/>
      <c r="BZ980" s="61"/>
      <c r="CA980" s="61"/>
      <c r="CB980" s="61"/>
      <c r="CC980" s="61">
        <v>35470789</v>
      </c>
      <c r="CD980" s="61"/>
      <c r="CE980" s="61"/>
      <c r="CF980" s="61"/>
      <c r="CG980" s="61">
        <f t="shared" si="140"/>
        <v>620415478</v>
      </c>
      <c r="CH980" s="62">
        <f>VLOOKUP(B980,[1]RPTNCT049_ConsultaSaldosContabl!I$4:K$7987,3,0)</f>
        <v>248295523</v>
      </c>
      <c r="CI980" s="62">
        <f t="shared" si="141"/>
        <v>372119955</v>
      </c>
      <c r="CJ980" s="63">
        <f t="shared" si="142"/>
        <v>620415478</v>
      </c>
      <c r="CK980" s="64">
        <f t="shared" si="143"/>
        <v>0</v>
      </c>
      <c r="CL980" s="16"/>
      <c r="CM980" s="16"/>
      <c r="CN980" s="16"/>
    </row>
    <row r="981" spans="1:96" ht="15" customHeight="1" x14ac:dyDescent="0.2">
      <c r="A981" s="1">
        <v>8999993147</v>
      </c>
      <c r="B981" s="1">
        <v>899999314</v>
      </c>
      <c r="C981" s="9">
        <v>216925769</v>
      </c>
      <c r="D981" s="10" t="s">
        <v>540</v>
      </c>
      <c r="E981" s="45" t="s">
        <v>1565</v>
      </c>
      <c r="F981" s="21"/>
      <c r="G981" s="59"/>
      <c r="H981" s="21"/>
      <c r="I981" s="59"/>
      <c r="J981" s="21"/>
      <c r="K981" s="21"/>
      <c r="L981" s="59"/>
      <c r="M981" s="60"/>
      <c r="N981" s="21"/>
      <c r="O981" s="59"/>
      <c r="P981" s="21"/>
      <c r="Q981" s="59"/>
      <c r="R981" s="21"/>
      <c r="S981" s="21"/>
      <c r="T981" s="59"/>
      <c r="U981" s="60">
        <f t="shared" si="138"/>
        <v>0</v>
      </c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>
        <v>170484789</v>
      </c>
      <c r="AN981" s="60">
        <f>SUBTOTAL(9,AC981:AM981)</f>
        <v>170484789</v>
      </c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>
        <v>78230415</v>
      </c>
      <c r="AZ981" s="60"/>
      <c r="BA981" s="60"/>
      <c r="BB981" s="60"/>
      <c r="BC981" s="61">
        <f t="shared" si="139"/>
        <v>248715204</v>
      </c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>
        <v>15646083</v>
      </c>
      <c r="BO981" s="60"/>
      <c r="BP981" s="61">
        <v>264361287</v>
      </c>
      <c r="BQ981" s="61"/>
      <c r="BR981" s="61"/>
      <c r="BS981" s="61"/>
      <c r="BT981" s="61"/>
      <c r="BU981" s="61"/>
      <c r="BV981" s="61"/>
      <c r="BW981" s="61"/>
      <c r="BX981" s="61"/>
      <c r="BY981" s="61"/>
      <c r="BZ981" s="61"/>
      <c r="CA981" s="61"/>
      <c r="CB981" s="61"/>
      <c r="CC981" s="61">
        <v>15646083</v>
      </c>
      <c r="CD981" s="61"/>
      <c r="CE981" s="61"/>
      <c r="CF981" s="61"/>
      <c r="CG981" s="61">
        <f t="shared" si="140"/>
        <v>280007370</v>
      </c>
      <c r="CH981" s="62">
        <f>VLOOKUP(B981,[1]RPTNCT049_ConsultaSaldosContabl!I$4:K$7987,3,0)</f>
        <v>109522581</v>
      </c>
      <c r="CI981" s="62">
        <f t="shared" si="141"/>
        <v>170484789</v>
      </c>
      <c r="CJ981" s="63">
        <f t="shared" si="142"/>
        <v>280007370</v>
      </c>
      <c r="CK981" s="64">
        <f t="shared" si="143"/>
        <v>0</v>
      </c>
      <c r="CL981" s="16"/>
      <c r="CM981" s="16"/>
      <c r="CN981" s="16"/>
    </row>
    <row r="982" spans="1:96" ht="15" customHeight="1" x14ac:dyDescent="0.2">
      <c r="A982" s="1">
        <v>8170034405</v>
      </c>
      <c r="B982" s="1">
        <v>817003440</v>
      </c>
      <c r="C982" s="9">
        <v>218519785</v>
      </c>
      <c r="D982" s="10" t="s">
        <v>407</v>
      </c>
      <c r="E982" s="45" t="s">
        <v>1436</v>
      </c>
      <c r="F982" s="21"/>
      <c r="G982" s="59"/>
      <c r="H982" s="21"/>
      <c r="I982" s="59"/>
      <c r="J982" s="21"/>
      <c r="K982" s="21"/>
      <c r="L982" s="59"/>
      <c r="M982" s="60"/>
      <c r="N982" s="21"/>
      <c r="O982" s="59"/>
      <c r="P982" s="21"/>
      <c r="Q982" s="59"/>
      <c r="R982" s="21"/>
      <c r="S982" s="21"/>
      <c r="T982" s="59"/>
      <c r="U982" s="60">
        <f t="shared" si="138"/>
        <v>0</v>
      </c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>
        <v>60893477</v>
      </c>
      <c r="AN982" s="60">
        <f>SUBTOTAL(9,AC982:AM982)</f>
        <v>60893477</v>
      </c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1">
        <f t="shared" si="139"/>
        <v>60893477</v>
      </c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>
        <v>0</v>
      </c>
      <c r="BO982" s="60"/>
      <c r="BP982" s="61">
        <v>60893477</v>
      </c>
      <c r="BQ982" s="61"/>
      <c r="BR982" s="61"/>
      <c r="BS982" s="61"/>
      <c r="BT982" s="61"/>
      <c r="BU982" s="61"/>
      <c r="BV982" s="61"/>
      <c r="BW982" s="61"/>
      <c r="BX982" s="61"/>
      <c r="BY982" s="61"/>
      <c r="BZ982" s="61"/>
      <c r="CA982" s="61"/>
      <c r="CB982" s="61"/>
      <c r="CC982" s="61">
        <v>0</v>
      </c>
      <c r="CD982" s="61"/>
      <c r="CE982" s="61"/>
      <c r="CF982" s="61"/>
      <c r="CG982" s="61">
        <f t="shared" si="140"/>
        <v>60893477</v>
      </c>
      <c r="CH982" s="62"/>
      <c r="CI982" s="62">
        <f t="shared" si="141"/>
        <v>60893477</v>
      </c>
      <c r="CJ982" s="63">
        <f t="shared" si="142"/>
        <v>60893477</v>
      </c>
      <c r="CK982" s="64">
        <f t="shared" si="143"/>
        <v>0</v>
      </c>
      <c r="CL982" s="16"/>
      <c r="CM982" s="16"/>
      <c r="CN982" s="16"/>
    </row>
    <row r="983" spans="1:96" ht="15" customHeight="1" x14ac:dyDescent="0.2">
      <c r="A983" s="1">
        <v>8902108837</v>
      </c>
      <c r="B983" s="1">
        <v>890210883</v>
      </c>
      <c r="C983" s="9">
        <v>217368773</v>
      </c>
      <c r="D983" s="10" t="s">
        <v>883</v>
      </c>
      <c r="E983" s="45" t="s">
        <v>1896</v>
      </c>
      <c r="F983" s="21"/>
      <c r="G983" s="59"/>
      <c r="H983" s="21"/>
      <c r="I983" s="59"/>
      <c r="J983" s="21"/>
      <c r="K983" s="21"/>
      <c r="L983" s="59"/>
      <c r="M983" s="60"/>
      <c r="N983" s="21"/>
      <c r="O983" s="59"/>
      <c r="P983" s="21"/>
      <c r="Q983" s="59"/>
      <c r="R983" s="21"/>
      <c r="S983" s="21"/>
      <c r="T983" s="59"/>
      <c r="U983" s="60">
        <f t="shared" si="138"/>
        <v>0</v>
      </c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>
        <v>22689146</v>
      </c>
      <c r="AN983" s="60">
        <f>SUBTOTAL(9,AC983:AM983)</f>
        <v>22689146</v>
      </c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>
        <v>54516360</v>
      </c>
      <c r="AZ983" s="60"/>
      <c r="BA983" s="60">
        <f>VLOOKUP(B983,[2]Hoja3!J$3:K$674,2,0)</f>
        <v>102806712</v>
      </c>
      <c r="BB983" s="60"/>
      <c r="BC983" s="61">
        <f t="shared" si="139"/>
        <v>180012218</v>
      </c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>
        <v>10903272</v>
      </c>
      <c r="BO983" s="60"/>
      <c r="BP983" s="61">
        <v>190915490</v>
      </c>
      <c r="BQ983" s="61"/>
      <c r="BR983" s="61"/>
      <c r="BS983" s="61"/>
      <c r="BT983" s="61"/>
      <c r="BU983" s="61"/>
      <c r="BV983" s="61"/>
      <c r="BW983" s="61"/>
      <c r="BX983" s="61"/>
      <c r="BY983" s="61"/>
      <c r="BZ983" s="61"/>
      <c r="CA983" s="61"/>
      <c r="CB983" s="61"/>
      <c r="CC983" s="61">
        <v>10903272</v>
      </c>
      <c r="CD983" s="61"/>
      <c r="CE983" s="61"/>
      <c r="CF983" s="61"/>
      <c r="CG983" s="61">
        <f t="shared" si="140"/>
        <v>201818762</v>
      </c>
      <c r="CH983" s="62">
        <f>VLOOKUP(B983,[1]RPTNCT049_ConsultaSaldosContabl!I$4:K$7987,3,0)</f>
        <v>76322904</v>
      </c>
      <c r="CI983" s="62">
        <f t="shared" si="141"/>
        <v>125495858</v>
      </c>
      <c r="CJ983" s="63">
        <f t="shared" si="142"/>
        <v>201818762</v>
      </c>
      <c r="CK983" s="64">
        <f t="shared" si="143"/>
        <v>0</v>
      </c>
      <c r="CL983" s="16"/>
      <c r="CM983" s="16"/>
      <c r="CN983" s="16"/>
    </row>
    <row r="984" spans="1:96" ht="15" customHeight="1" x14ac:dyDescent="0.2">
      <c r="A984" s="1">
        <v>8922800616</v>
      </c>
      <c r="B984" s="1">
        <v>892280061</v>
      </c>
      <c r="C984" s="9">
        <v>217170771</v>
      </c>
      <c r="D984" s="10" t="s">
        <v>909</v>
      </c>
      <c r="E984" s="45" t="s">
        <v>1925</v>
      </c>
      <c r="F984" s="21"/>
      <c r="G984" s="59"/>
      <c r="H984" s="21"/>
      <c r="I984" s="59"/>
      <c r="J984" s="21"/>
      <c r="K984" s="21"/>
      <c r="L984" s="59"/>
      <c r="M984" s="60"/>
      <c r="N984" s="21"/>
      <c r="O984" s="59"/>
      <c r="P984" s="21"/>
      <c r="Q984" s="59"/>
      <c r="R984" s="21"/>
      <c r="S984" s="21"/>
      <c r="T984" s="59"/>
      <c r="U984" s="60">
        <f t="shared" si="138"/>
        <v>0</v>
      </c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>
        <v>364747885</v>
      </c>
      <c r="AZ984" s="60"/>
      <c r="BA984" s="60">
        <f>VLOOKUP(B984,[2]Hoja3!J$3:K$674,2,0)</f>
        <v>460379877</v>
      </c>
      <c r="BB984" s="60"/>
      <c r="BC984" s="61">
        <f t="shared" si="139"/>
        <v>825127762</v>
      </c>
      <c r="BD984" s="60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>
        <v>72949577</v>
      </c>
      <c r="BO984" s="60"/>
      <c r="BP984" s="61">
        <v>898077339</v>
      </c>
      <c r="BQ984" s="61"/>
      <c r="BR984" s="61"/>
      <c r="BS984" s="61"/>
      <c r="BT984" s="61"/>
      <c r="BU984" s="61"/>
      <c r="BV984" s="61"/>
      <c r="BW984" s="61"/>
      <c r="BX984" s="61"/>
      <c r="BY984" s="61"/>
      <c r="BZ984" s="61"/>
      <c r="CA984" s="61"/>
      <c r="CB984" s="61"/>
      <c r="CC984" s="61">
        <v>72949577</v>
      </c>
      <c r="CD984" s="61"/>
      <c r="CE984" s="61"/>
      <c r="CF984" s="61"/>
      <c r="CG984" s="61">
        <f t="shared" si="140"/>
        <v>971026916</v>
      </c>
      <c r="CH984" s="62">
        <f>VLOOKUP(B984,[1]RPTNCT049_ConsultaSaldosContabl!I$4:K$7987,3,0)</f>
        <v>510647039</v>
      </c>
      <c r="CI984" s="62">
        <f t="shared" si="141"/>
        <v>460379877</v>
      </c>
      <c r="CJ984" s="63">
        <f t="shared" si="142"/>
        <v>971026916</v>
      </c>
      <c r="CK984" s="64">
        <f t="shared" si="143"/>
        <v>0</v>
      </c>
      <c r="CL984" s="16"/>
      <c r="CM984" s="16"/>
      <c r="CN984" s="16"/>
    </row>
    <row r="985" spans="1:96" ht="15" customHeight="1" x14ac:dyDescent="0.2">
      <c r="A985" s="1">
        <v>8999994303</v>
      </c>
      <c r="B985" s="1">
        <v>899999430</v>
      </c>
      <c r="C985" s="9">
        <v>217225772</v>
      </c>
      <c r="D985" s="10" t="s">
        <v>541</v>
      </c>
      <c r="E985" s="45" t="s">
        <v>1566</v>
      </c>
      <c r="F985" s="21"/>
      <c r="G985" s="59"/>
      <c r="H985" s="21"/>
      <c r="I985" s="59"/>
      <c r="J985" s="21"/>
      <c r="K985" s="21"/>
      <c r="L985" s="59"/>
      <c r="M985" s="60"/>
      <c r="N985" s="21"/>
      <c r="O985" s="59"/>
      <c r="P985" s="21"/>
      <c r="Q985" s="59"/>
      <c r="R985" s="21"/>
      <c r="S985" s="21"/>
      <c r="T985" s="59"/>
      <c r="U985" s="60">
        <f t="shared" si="138"/>
        <v>0</v>
      </c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>
        <v>248371398</v>
      </c>
      <c r="AN985" s="60">
        <f>SUBTOTAL(9,AC985:AM985)</f>
        <v>248371398</v>
      </c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>
        <f>VLOOKUP(B985,'[3]anuladas en mayo gratuidad}'!K$2:L$55,2,0)</f>
        <v>171918184</v>
      </c>
      <c r="BC985" s="61">
        <f t="shared" si="139"/>
        <v>76453214</v>
      </c>
      <c r="BD985" s="60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>
        <v>0</v>
      </c>
      <c r="BO985" s="60"/>
      <c r="BP985" s="61">
        <v>76453214</v>
      </c>
      <c r="BQ985" s="61"/>
      <c r="BR985" s="61"/>
      <c r="BS985" s="61"/>
      <c r="BT985" s="61"/>
      <c r="BU985" s="61"/>
      <c r="BV985" s="61"/>
      <c r="BW985" s="61"/>
      <c r="BX985" s="61"/>
      <c r="BY985" s="61"/>
      <c r="BZ985" s="61"/>
      <c r="CA985" s="61"/>
      <c r="CB985" s="61"/>
      <c r="CC985" s="61">
        <v>127962317</v>
      </c>
      <c r="CD985" s="61"/>
      <c r="CE985" s="61"/>
      <c r="CF985" s="61"/>
      <c r="CG985" s="61">
        <f t="shared" si="140"/>
        <v>204415531</v>
      </c>
      <c r="CH985" s="62">
        <f>VLOOKUP(B985,[1]RPTNCT049_ConsultaSaldosContabl!I$4:K$7987,3,0)</f>
        <v>127962317</v>
      </c>
      <c r="CI985" s="62">
        <f t="shared" si="141"/>
        <v>76453214</v>
      </c>
      <c r="CJ985" s="63">
        <f t="shared" si="142"/>
        <v>204415531</v>
      </c>
      <c r="CK985" s="64">
        <f t="shared" si="143"/>
        <v>0</v>
      </c>
      <c r="CL985" s="16"/>
      <c r="CM985" s="16"/>
      <c r="CN985" s="16"/>
    </row>
    <row r="986" spans="1:96" ht="15" customHeight="1" x14ac:dyDescent="0.2">
      <c r="A986" s="1">
        <v>8999993985</v>
      </c>
      <c r="B986" s="1">
        <v>899999398</v>
      </c>
      <c r="C986" s="9">
        <v>217725777</v>
      </c>
      <c r="D986" s="10" t="s">
        <v>542</v>
      </c>
      <c r="E986" s="45" t="s">
        <v>1567</v>
      </c>
      <c r="F986" s="21"/>
      <c r="G986" s="59"/>
      <c r="H986" s="21"/>
      <c r="I986" s="59"/>
      <c r="J986" s="21"/>
      <c r="K986" s="21"/>
      <c r="L986" s="59"/>
      <c r="M986" s="60"/>
      <c r="N986" s="21"/>
      <c r="O986" s="59"/>
      <c r="P986" s="21"/>
      <c r="Q986" s="59"/>
      <c r="R986" s="21"/>
      <c r="S986" s="21"/>
      <c r="T986" s="59"/>
      <c r="U986" s="60">
        <f t="shared" si="138"/>
        <v>0</v>
      </c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>
        <v>87780158</v>
      </c>
      <c r="AN986" s="60">
        <f>SUBTOTAL(9,AC986:AM986)</f>
        <v>87780158</v>
      </c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>
        <f>VLOOKUP(B986,'[3]anuladas en mayo gratuidad}'!K$2:L$55,2,0)</f>
        <v>19847192</v>
      </c>
      <c r="BC986" s="61">
        <f t="shared" si="139"/>
        <v>67932966</v>
      </c>
      <c r="BD986" s="60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>
        <v>7172578</v>
      </c>
      <c r="BO986" s="60"/>
      <c r="BP986" s="61">
        <v>75105544</v>
      </c>
      <c r="BQ986" s="61"/>
      <c r="BR986" s="61"/>
      <c r="BS986" s="61"/>
      <c r="BT986" s="61"/>
      <c r="BU986" s="61"/>
      <c r="BV986" s="61"/>
      <c r="BW986" s="61"/>
      <c r="BX986" s="61"/>
      <c r="BY986" s="61"/>
      <c r="BZ986" s="61"/>
      <c r="CA986" s="61"/>
      <c r="CB986" s="61"/>
      <c r="CC986" s="61">
        <v>7172578</v>
      </c>
      <c r="CD986" s="61">
        <v>35862890</v>
      </c>
      <c r="CE986" s="61"/>
      <c r="CF986" s="61"/>
      <c r="CG986" s="61">
        <f t="shared" si="140"/>
        <v>118141012</v>
      </c>
      <c r="CH986" s="62">
        <f>VLOOKUP(B986,[1]RPTNCT049_ConsultaSaldosContabl!I$4:K$7987,3,0)</f>
        <v>50208046</v>
      </c>
      <c r="CI986" s="62">
        <f t="shared" si="141"/>
        <v>67932966</v>
      </c>
      <c r="CJ986" s="63">
        <f t="shared" si="142"/>
        <v>118141012</v>
      </c>
      <c r="CK986" s="64">
        <f t="shared" si="143"/>
        <v>0</v>
      </c>
      <c r="CL986" s="16"/>
      <c r="CM986" s="16"/>
      <c r="CN986" s="16"/>
    </row>
    <row r="987" spans="1:96" ht="15" customHeight="1" x14ac:dyDescent="0.2">
      <c r="A987" s="1">
        <v>8908011503</v>
      </c>
      <c r="B987" s="1">
        <v>890801150</v>
      </c>
      <c r="C987" s="9">
        <v>217717777</v>
      </c>
      <c r="D987" s="10" t="s">
        <v>358</v>
      </c>
      <c r="E987" s="45" t="s">
        <v>1387</v>
      </c>
      <c r="F987" s="21"/>
      <c r="G987" s="59"/>
      <c r="H987" s="21"/>
      <c r="I987" s="59"/>
      <c r="J987" s="21"/>
      <c r="K987" s="21"/>
      <c r="L987" s="59"/>
      <c r="M987" s="60"/>
      <c r="N987" s="21"/>
      <c r="O987" s="59"/>
      <c r="P987" s="21"/>
      <c r="Q987" s="59"/>
      <c r="R987" s="21"/>
      <c r="S987" s="21"/>
      <c r="T987" s="59"/>
      <c r="U987" s="60">
        <f t="shared" si="138"/>
        <v>0</v>
      </c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>
        <v>375635715</v>
      </c>
      <c r="AN987" s="60">
        <f>SUBTOTAL(9,AC987:AM987)</f>
        <v>375635715</v>
      </c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>
        <v>174745325</v>
      </c>
      <c r="AZ987" s="60"/>
      <c r="BA987" s="60"/>
      <c r="BB987" s="60"/>
      <c r="BC987" s="61">
        <f t="shared" si="139"/>
        <v>550381040</v>
      </c>
      <c r="BD987" s="60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>
        <v>34949065</v>
      </c>
      <c r="BO987" s="60"/>
      <c r="BP987" s="61">
        <v>585330105</v>
      </c>
      <c r="BQ987" s="61"/>
      <c r="BR987" s="61"/>
      <c r="BS987" s="61"/>
      <c r="BT987" s="61"/>
      <c r="BU987" s="61"/>
      <c r="BV987" s="61"/>
      <c r="BW987" s="61"/>
      <c r="BX987" s="61"/>
      <c r="BY987" s="61"/>
      <c r="BZ987" s="61"/>
      <c r="CA987" s="61"/>
      <c r="CB987" s="61"/>
      <c r="CC987" s="61">
        <v>34949065</v>
      </c>
      <c r="CD987" s="61"/>
      <c r="CE987" s="61"/>
      <c r="CF987" s="61"/>
      <c r="CG987" s="61">
        <f t="shared" si="140"/>
        <v>620279170</v>
      </c>
      <c r="CH987" s="62">
        <f>VLOOKUP(B987,[1]RPTNCT049_ConsultaSaldosContabl!I$4:K$7987,3,0)</f>
        <v>244643455</v>
      </c>
      <c r="CI987" s="62">
        <f t="shared" si="141"/>
        <v>375635715</v>
      </c>
      <c r="CJ987" s="63">
        <f t="shared" si="142"/>
        <v>620279170</v>
      </c>
      <c r="CK987" s="64">
        <f t="shared" si="143"/>
        <v>0</v>
      </c>
      <c r="CL987" s="16"/>
      <c r="CM987" s="16"/>
      <c r="CN987" s="16"/>
    </row>
    <row r="988" spans="1:96" ht="15" customHeight="1" x14ac:dyDescent="0.2">
      <c r="A988" s="1">
        <v>8902050516</v>
      </c>
      <c r="B988" s="1">
        <v>890205051</v>
      </c>
      <c r="C988" s="9">
        <v>218068780</v>
      </c>
      <c r="D988" s="10" t="s">
        <v>884</v>
      </c>
      <c r="E988" s="45" t="s">
        <v>1897</v>
      </c>
      <c r="F988" s="21"/>
      <c r="G988" s="59"/>
      <c r="H988" s="21"/>
      <c r="I988" s="59"/>
      <c r="J988" s="21"/>
      <c r="K988" s="21"/>
      <c r="L988" s="59"/>
      <c r="M988" s="60"/>
      <c r="N988" s="21"/>
      <c r="O988" s="59"/>
      <c r="P988" s="21"/>
      <c r="Q988" s="59"/>
      <c r="R988" s="21"/>
      <c r="S988" s="21"/>
      <c r="T988" s="59"/>
      <c r="U988" s="60">
        <f t="shared" si="138"/>
        <v>0</v>
      </c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>
        <v>11978117</v>
      </c>
      <c r="AN988" s="60">
        <f>SUBTOTAL(9,AC988:AM988)</f>
        <v>11978117</v>
      </c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>
        <v>23707425</v>
      </c>
      <c r="AZ988" s="60"/>
      <c r="BA988" s="60">
        <f>VLOOKUP(B988,[2]Hoja3!J$3:K$674,2,0)</f>
        <v>41865431</v>
      </c>
      <c r="BB988" s="60"/>
      <c r="BC988" s="61">
        <f t="shared" si="139"/>
        <v>77550973</v>
      </c>
      <c r="BD988" s="60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>
        <v>4741485</v>
      </c>
      <c r="BO988" s="60"/>
      <c r="BP988" s="61">
        <v>82292458</v>
      </c>
      <c r="BQ988" s="61"/>
      <c r="BR988" s="61"/>
      <c r="BS988" s="61"/>
      <c r="BT988" s="61"/>
      <c r="BU988" s="61"/>
      <c r="BV988" s="61"/>
      <c r="BW988" s="61"/>
      <c r="BX988" s="61"/>
      <c r="BY988" s="61"/>
      <c r="BZ988" s="61"/>
      <c r="CA988" s="61"/>
      <c r="CB988" s="61"/>
      <c r="CC988" s="61">
        <v>4741485</v>
      </c>
      <c r="CD988" s="61"/>
      <c r="CE988" s="61"/>
      <c r="CF988" s="61"/>
      <c r="CG988" s="61">
        <f t="shared" si="140"/>
        <v>87033943</v>
      </c>
      <c r="CH988" s="62">
        <f>VLOOKUP(B988,[1]RPTNCT049_ConsultaSaldosContabl!I$4:K$7987,3,0)</f>
        <v>33190395</v>
      </c>
      <c r="CI988" s="62">
        <f t="shared" si="141"/>
        <v>53843548</v>
      </c>
      <c r="CJ988" s="63">
        <f t="shared" si="142"/>
        <v>87033943</v>
      </c>
      <c r="CK988" s="64">
        <f t="shared" si="143"/>
        <v>0</v>
      </c>
      <c r="CL988" s="16"/>
      <c r="CM988" s="16"/>
      <c r="CN988" s="16"/>
    </row>
    <row r="989" spans="1:96" ht="15" customHeight="1" x14ac:dyDescent="0.2">
      <c r="A989" s="1">
        <v>8918564721</v>
      </c>
      <c r="B989" s="1">
        <v>891856472</v>
      </c>
      <c r="C989" s="9">
        <v>217415774</v>
      </c>
      <c r="D989" s="10" t="s">
        <v>315</v>
      </c>
      <c r="E989" s="45" t="s">
        <v>1347</v>
      </c>
      <c r="F989" s="21"/>
      <c r="G989" s="59"/>
      <c r="H989" s="21"/>
      <c r="I989" s="59"/>
      <c r="J989" s="21"/>
      <c r="K989" s="21"/>
      <c r="L989" s="59"/>
      <c r="M989" s="60"/>
      <c r="N989" s="21"/>
      <c r="O989" s="59"/>
      <c r="P989" s="21"/>
      <c r="Q989" s="59"/>
      <c r="R989" s="21"/>
      <c r="S989" s="21"/>
      <c r="T989" s="59"/>
      <c r="U989" s="60">
        <f t="shared" si="138"/>
        <v>0</v>
      </c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>
        <v>21079850</v>
      </c>
      <c r="AZ989" s="60"/>
      <c r="BA989" s="60">
        <f>VLOOKUP(B989,[2]Hoja3!J$3:K$674,2,0)</f>
        <v>31330345</v>
      </c>
      <c r="BB989" s="60"/>
      <c r="BC989" s="61">
        <f t="shared" si="139"/>
        <v>52410195</v>
      </c>
      <c r="BD989" s="60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>
        <v>4215970</v>
      </c>
      <c r="BO989" s="60"/>
      <c r="BP989" s="61">
        <v>56626165</v>
      </c>
      <c r="BQ989" s="61"/>
      <c r="BR989" s="61"/>
      <c r="BS989" s="61"/>
      <c r="BT989" s="61"/>
      <c r="BU989" s="61"/>
      <c r="BV989" s="61"/>
      <c r="BW989" s="61"/>
      <c r="BX989" s="61"/>
      <c r="BY989" s="61"/>
      <c r="BZ989" s="61"/>
      <c r="CA989" s="61"/>
      <c r="CB989" s="61"/>
      <c r="CC989" s="61">
        <v>4215970</v>
      </c>
      <c r="CD989" s="61"/>
      <c r="CE989" s="61"/>
      <c r="CF989" s="61"/>
      <c r="CG989" s="61">
        <f t="shared" si="140"/>
        <v>60842135</v>
      </c>
      <c r="CH989" s="62">
        <f>VLOOKUP(B989,[1]RPTNCT049_ConsultaSaldosContabl!I$4:K$7987,3,0)</f>
        <v>29511790</v>
      </c>
      <c r="CI989" s="62">
        <f t="shared" si="141"/>
        <v>31330345</v>
      </c>
      <c r="CJ989" s="63">
        <f t="shared" si="142"/>
        <v>60842135</v>
      </c>
      <c r="CK989" s="64">
        <f t="shared" si="143"/>
        <v>0</v>
      </c>
      <c r="CL989" s="16"/>
      <c r="CM989" s="8"/>
      <c r="CN989" s="8"/>
      <c r="CO989" s="8"/>
      <c r="CP989" s="8"/>
      <c r="CQ989" s="8"/>
      <c r="CR989" s="8"/>
    </row>
    <row r="990" spans="1:96" ht="15" customHeight="1" x14ac:dyDescent="0.2">
      <c r="A990" s="1">
        <v>8999997007</v>
      </c>
      <c r="B990" s="1">
        <v>899999700</v>
      </c>
      <c r="C990" s="9">
        <v>217925779</v>
      </c>
      <c r="D990" s="10" t="s">
        <v>543</v>
      </c>
      <c r="E990" s="45" t="s">
        <v>1568</v>
      </c>
      <c r="F990" s="21"/>
      <c r="G990" s="59"/>
      <c r="H990" s="21"/>
      <c r="I990" s="59"/>
      <c r="J990" s="21"/>
      <c r="K990" s="21"/>
      <c r="L990" s="59"/>
      <c r="M990" s="60"/>
      <c r="N990" s="21"/>
      <c r="O990" s="59"/>
      <c r="P990" s="21"/>
      <c r="Q990" s="59"/>
      <c r="R990" s="21"/>
      <c r="S990" s="21"/>
      <c r="T990" s="59"/>
      <c r="U990" s="60">
        <f t="shared" si="138"/>
        <v>0</v>
      </c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>
        <v>95140953</v>
      </c>
      <c r="AN990" s="60">
        <f>SUBTOTAL(9,AC990:AM990)</f>
        <v>95140953</v>
      </c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>
        <v>38288110</v>
      </c>
      <c r="AZ990" s="60"/>
      <c r="BA990" s="60"/>
      <c r="BB990" s="60"/>
      <c r="BC990" s="61">
        <f t="shared" si="139"/>
        <v>133429063</v>
      </c>
      <c r="BD990" s="60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>
        <v>7657622</v>
      </c>
      <c r="BO990" s="60"/>
      <c r="BP990" s="61">
        <v>141086685</v>
      </c>
      <c r="BQ990" s="61"/>
      <c r="BR990" s="61"/>
      <c r="BS990" s="61"/>
      <c r="BT990" s="61"/>
      <c r="BU990" s="61"/>
      <c r="BV990" s="61"/>
      <c r="BW990" s="61"/>
      <c r="BX990" s="61"/>
      <c r="BY990" s="61"/>
      <c r="BZ990" s="61"/>
      <c r="CA990" s="61"/>
      <c r="CB990" s="61"/>
      <c r="CC990" s="61">
        <v>7657622</v>
      </c>
      <c r="CD990" s="61"/>
      <c r="CE990" s="61"/>
      <c r="CF990" s="61"/>
      <c r="CG990" s="61">
        <f t="shared" si="140"/>
        <v>148744307</v>
      </c>
      <c r="CH990" s="62">
        <f>VLOOKUP(B990,[1]RPTNCT049_ConsultaSaldosContabl!I$4:K$7987,3,0)</f>
        <v>53603354</v>
      </c>
      <c r="CI990" s="62">
        <f t="shared" si="141"/>
        <v>95140953</v>
      </c>
      <c r="CJ990" s="63">
        <f t="shared" si="142"/>
        <v>148744307</v>
      </c>
      <c r="CK990" s="64">
        <f t="shared" si="143"/>
        <v>0</v>
      </c>
      <c r="CL990" s="16"/>
      <c r="CM990" s="16"/>
      <c r="CN990" s="16"/>
    </row>
    <row r="991" spans="1:96" ht="15" customHeight="1" x14ac:dyDescent="0.2">
      <c r="A991" s="1">
        <v>8000309881</v>
      </c>
      <c r="B991" s="1">
        <v>800030988</v>
      </c>
      <c r="C991" s="9">
        <v>217615776</v>
      </c>
      <c r="D991" s="10" t="s">
        <v>316</v>
      </c>
      <c r="E991" s="45" t="s">
        <v>1348</v>
      </c>
      <c r="F991" s="21"/>
      <c r="G991" s="59"/>
      <c r="H991" s="21"/>
      <c r="I991" s="59"/>
      <c r="J991" s="21"/>
      <c r="K991" s="21"/>
      <c r="L991" s="59"/>
      <c r="M991" s="60"/>
      <c r="N991" s="21"/>
      <c r="O991" s="59"/>
      <c r="P991" s="21"/>
      <c r="Q991" s="59"/>
      <c r="R991" s="21"/>
      <c r="S991" s="21"/>
      <c r="T991" s="59"/>
      <c r="U991" s="60">
        <f t="shared" si="138"/>
        <v>0</v>
      </c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>
        <v>33319310</v>
      </c>
      <c r="AZ991" s="60"/>
      <c r="BA991" s="60">
        <f>VLOOKUP(B991,[2]Hoja3!J$3:K$674,2,0)</f>
        <v>79067086</v>
      </c>
      <c r="BB991" s="60"/>
      <c r="BC991" s="61">
        <f t="shared" si="139"/>
        <v>112386396</v>
      </c>
      <c r="BD991" s="60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>
        <v>6663862</v>
      </c>
      <c r="BO991" s="60"/>
      <c r="BP991" s="61">
        <v>119050258</v>
      </c>
      <c r="BQ991" s="61"/>
      <c r="BR991" s="61"/>
      <c r="BS991" s="61"/>
      <c r="BT991" s="61"/>
      <c r="BU991" s="61"/>
      <c r="BV991" s="61"/>
      <c r="BW991" s="61"/>
      <c r="BX991" s="61"/>
      <c r="BY991" s="61"/>
      <c r="BZ991" s="61"/>
      <c r="CA991" s="61"/>
      <c r="CB991" s="61"/>
      <c r="CC991" s="61">
        <v>6663862</v>
      </c>
      <c r="CD991" s="61"/>
      <c r="CE991" s="61"/>
      <c r="CF991" s="61"/>
      <c r="CG991" s="61">
        <f t="shared" si="140"/>
        <v>125714120</v>
      </c>
      <c r="CH991" s="62">
        <f>VLOOKUP(B991,[1]RPTNCT049_ConsultaSaldosContabl!I$4:K$7987,3,0)</f>
        <v>46647034</v>
      </c>
      <c r="CI991" s="62">
        <f t="shared" si="141"/>
        <v>79067086</v>
      </c>
      <c r="CJ991" s="63">
        <f t="shared" si="142"/>
        <v>125714120</v>
      </c>
      <c r="CK991" s="64">
        <f t="shared" si="143"/>
        <v>0</v>
      </c>
      <c r="CL991" s="16"/>
      <c r="CM991" s="8"/>
      <c r="CN991" s="8"/>
      <c r="CO991" s="8"/>
      <c r="CP991" s="8"/>
      <c r="CQ991" s="8"/>
      <c r="CR991" s="8"/>
    </row>
    <row r="992" spans="1:96" ht="15" customHeight="1" x14ac:dyDescent="0.2">
      <c r="A992" s="1">
        <v>8999994761</v>
      </c>
      <c r="B992" s="1">
        <v>899999476</v>
      </c>
      <c r="C992" s="9">
        <v>218125781</v>
      </c>
      <c r="D992" s="10" t="s">
        <v>544</v>
      </c>
      <c r="E992" s="45" t="s">
        <v>1569</v>
      </c>
      <c r="F992" s="21"/>
      <c r="G992" s="59"/>
      <c r="H992" s="21"/>
      <c r="I992" s="59"/>
      <c r="J992" s="21"/>
      <c r="K992" s="21"/>
      <c r="L992" s="59"/>
      <c r="M992" s="60"/>
      <c r="N992" s="21"/>
      <c r="O992" s="59"/>
      <c r="P992" s="21"/>
      <c r="Q992" s="59"/>
      <c r="R992" s="21"/>
      <c r="S992" s="21"/>
      <c r="T992" s="59"/>
      <c r="U992" s="60">
        <f t="shared" si="138"/>
        <v>0</v>
      </c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>
        <v>89364597</v>
      </c>
      <c r="AN992" s="60">
        <f>SUBTOTAL(9,AC992:AM992)</f>
        <v>89364597</v>
      </c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1">
        <f t="shared" si="139"/>
        <v>89364597</v>
      </c>
      <c r="BD992" s="60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>
        <v>0</v>
      </c>
      <c r="BO992" s="60"/>
      <c r="BP992" s="61">
        <v>89364597</v>
      </c>
      <c r="BQ992" s="61"/>
      <c r="BR992" s="61"/>
      <c r="BS992" s="61"/>
      <c r="BT992" s="61"/>
      <c r="BU992" s="61"/>
      <c r="BV992" s="61"/>
      <c r="BW992" s="61"/>
      <c r="BX992" s="61"/>
      <c r="BY992" s="61"/>
      <c r="BZ992" s="61"/>
      <c r="CA992" s="61"/>
      <c r="CB992" s="61"/>
      <c r="CC992" s="61">
        <v>0</v>
      </c>
      <c r="CD992" s="61"/>
      <c r="CE992" s="61"/>
      <c r="CF992" s="61"/>
      <c r="CG992" s="61">
        <f t="shared" si="140"/>
        <v>89364597</v>
      </c>
      <c r="CH992" s="62"/>
      <c r="CI992" s="62">
        <f t="shared" si="141"/>
        <v>89364597</v>
      </c>
      <c r="CJ992" s="63">
        <f t="shared" si="142"/>
        <v>89364597</v>
      </c>
      <c r="CK992" s="64">
        <f t="shared" si="143"/>
        <v>0</v>
      </c>
      <c r="CL992" s="16"/>
      <c r="CM992" s="16"/>
      <c r="CN992" s="16"/>
    </row>
    <row r="993" spans="1:96" ht="15" customHeight="1" x14ac:dyDescent="0.2">
      <c r="A993" s="1">
        <v>8000285764</v>
      </c>
      <c r="B993" s="1">
        <v>800028576</v>
      </c>
      <c r="C993" s="9">
        <v>217815778</v>
      </c>
      <c r="D993" s="10" t="s">
        <v>317</v>
      </c>
      <c r="E993" s="45" t="s">
        <v>1349</v>
      </c>
      <c r="F993" s="21"/>
      <c r="G993" s="59"/>
      <c r="H993" s="21"/>
      <c r="I993" s="59"/>
      <c r="J993" s="21"/>
      <c r="K993" s="21"/>
      <c r="L993" s="59"/>
      <c r="M993" s="60"/>
      <c r="N993" s="21"/>
      <c r="O993" s="59"/>
      <c r="P993" s="21"/>
      <c r="Q993" s="59"/>
      <c r="R993" s="21"/>
      <c r="S993" s="21"/>
      <c r="T993" s="59"/>
      <c r="U993" s="60">
        <f t="shared" si="138"/>
        <v>0</v>
      </c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>
        <v>28178435</v>
      </c>
      <c r="AZ993" s="60"/>
      <c r="BA993" s="60">
        <f>VLOOKUP(B993,[2]Hoja3!J$3:K$674,2,0)</f>
        <v>39589037</v>
      </c>
      <c r="BB993" s="60"/>
      <c r="BC993" s="61">
        <f t="shared" si="139"/>
        <v>67767472</v>
      </c>
      <c r="BD993" s="60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>
        <v>5635687</v>
      </c>
      <c r="BO993" s="60"/>
      <c r="BP993" s="61">
        <v>73403159</v>
      </c>
      <c r="BQ993" s="61"/>
      <c r="BR993" s="61"/>
      <c r="BS993" s="61"/>
      <c r="BT993" s="61"/>
      <c r="BU993" s="61"/>
      <c r="BV993" s="61"/>
      <c r="BW993" s="61"/>
      <c r="BX993" s="61"/>
      <c r="BY993" s="61"/>
      <c r="BZ993" s="61"/>
      <c r="CA993" s="61"/>
      <c r="CB993" s="61"/>
      <c r="CC993" s="61">
        <v>5635687</v>
      </c>
      <c r="CD993" s="61"/>
      <c r="CE993" s="61"/>
      <c r="CF993" s="61"/>
      <c r="CG993" s="61">
        <f t="shared" si="140"/>
        <v>79038846</v>
      </c>
      <c r="CH993" s="62">
        <f>VLOOKUP(B993,[1]RPTNCT049_ConsultaSaldosContabl!I$4:K$7987,3,0)</f>
        <v>39449809</v>
      </c>
      <c r="CI993" s="62">
        <f t="shared" si="141"/>
        <v>39589037</v>
      </c>
      <c r="CJ993" s="63">
        <f t="shared" si="142"/>
        <v>79038846</v>
      </c>
      <c r="CK993" s="64">
        <f t="shared" si="143"/>
        <v>0</v>
      </c>
      <c r="CL993" s="16"/>
      <c r="CM993" s="8"/>
      <c r="CN993" s="8"/>
      <c r="CO993" s="8"/>
      <c r="CP993" s="8"/>
      <c r="CQ993" s="8"/>
      <c r="CR993" s="8"/>
    </row>
    <row r="994" spans="1:96" ht="15" customHeight="1" x14ac:dyDescent="0.2">
      <c r="A994" s="1">
        <v>8999994439</v>
      </c>
      <c r="B994" s="1">
        <v>899999443</v>
      </c>
      <c r="C994" s="9">
        <v>218525785</v>
      </c>
      <c r="D994" s="10" t="s">
        <v>545</v>
      </c>
      <c r="E994" s="45" t="s">
        <v>1570</v>
      </c>
      <c r="F994" s="21"/>
      <c r="G994" s="59"/>
      <c r="H994" s="21"/>
      <c r="I994" s="59"/>
      <c r="J994" s="21"/>
      <c r="K994" s="21"/>
      <c r="L994" s="59"/>
      <c r="M994" s="60"/>
      <c r="N994" s="21"/>
      <c r="O994" s="59"/>
      <c r="P994" s="21"/>
      <c r="Q994" s="59"/>
      <c r="R994" s="21"/>
      <c r="S994" s="21"/>
      <c r="T994" s="59"/>
      <c r="U994" s="60">
        <f t="shared" si="138"/>
        <v>0</v>
      </c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>
        <v>238126036</v>
      </c>
      <c r="AN994" s="60">
        <f t="shared" ref="AN994:AN1002" si="145">SUBTOTAL(9,AC994:AM994)</f>
        <v>238126036</v>
      </c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>
        <v>95623770</v>
      </c>
      <c r="AZ994" s="60"/>
      <c r="BA994" s="60"/>
      <c r="BB994" s="60"/>
      <c r="BC994" s="61">
        <f t="shared" si="139"/>
        <v>333749806</v>
      </c>
      <c r="BD994" s="60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>
        <v>19124754</v>
      </c>
      <c r="BO994" s="60"/>
      <c r="BP994" s="61">
        <v>352874560</v>
      </c>
      <c r="BQ994" s="61"/>
      <c r="BR994" s="61"/>
      <c r="BS994" s="61"/>
      <c r="BT994" s="61"/>
      <c r="BU994" s="61"/>
      <c r="BV994" s="61"/>
      <c r="BW994" s="61"/>
      <c r="BX994" s="61"/>
      <c r="BY994" s="61"/>
      <c r="BZ994" s="61"/>
      <c r="CA994" s="61"/>
      <c r="CB994" s="61"/>
      <c r="CC994" s="61">
        <v>19124754</v>
      </c>
      <c r="CD994" s="61"/>
      <c r="CE994" s="61"/>
      <c r="CF994" s="61"/>
      <c r="CG994" s="61">
        <f t="shared" si="140"/>
        <v>371999314</v>
      </c>
      <c r="CH994" s="62">
        <f>VLOOKUP(B994,[1]RPTNCT049_ConsultaSaldosContabl!I$4:K$7987,3,0)</f>
        <v>133873278</v>
      </c>
      <c r="CI994" s="62">
        <f t="shared" si="141"/>
        <v>238126036</v>
      </c>
      <c r="CJ994" s="63">
        <f t="shared" si="142"/>
        <v>371999314</v>
      </c>
      <c r="CK994" s="64">
        <f t="shared" si="143"/>
        <v>0</v>
      </c>
      <c r="CL994" s="16"/>
      <c r="CM994" s="16"/>
      <c r="CN994" s="16"/>
    </row>
    <row r="995" spans="1:96" ht="15" customHeight="1" x14ac:dyDescent="0.2">
      <c r="A995" s="1">
        <v>8916800816</v>
      </c>
      <c r="B995" s="1">
        <v>891680081</v>
      </c>
      <c r="C995" s="9">
        <v>218727787</v>
      </c>
      <c r="D995" s="10" t="s">
        <v>590</v>
      </c>
      <c r="E995" s="45" t="s">
        <v>2276</v>
      </c>
      <c r="F995" s="21"/>
      <c r="G995" s="59"/>
      <c r="H995" s="21"/>
      <c r="I995" s="59"/>
      <c r="J995" s="21"/>
      <c r="K995" s="21"/>
      <c r="L995" s="59"/>
      <c r="M995" s="60"/>
      <c r="N995" s="21"/>
      <c r="O995" s="59"/>
      <c r="P995" s="21"/>
      <c r="Q995" s="59"/>
      <c r="R995" s="21"/>
      <c r="S995" s="21"/>
      <c r="T995" s="59"/>
      <c r="U995" s="60">
        <f t="shared" si="138"/>
        <v>0</v>
      </c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>
        <v>343540415</v>
      </c>
      <c r="AN995" s="60">
        <f t="shared" si="145"/>
        <v>343540415</v>
      </c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>
        <v>357004055</v>
      </c>
      <c r="AZ995" s="60"/>
      <c r="BA995" s="60"/>
      <c r="BB995" s="60"/>
      <c r="BC995" s="61">
        <f t="shared" si="139"/>
        <v>700544470</v>
      </c>
      <c r="BD995" s="60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>
        <v>71400811</v>
      </c>
      <c r="BO995" s="60"/>
      <c r="BP995" s="61">
        <v>771945281</v>
      </c>
      <c r="BQ995" s="61"/>
      <c r="BR995" s="61"/>
      <c r="BS995" s="61"/>
      <c r="BT995" s="61"/>
      <c r="BU995" s="61"/>
      <c r="BV995" s="61"/>
      <c r="BW995" s="61"/>
      <c r="BX995" s="61"/>
      <c r="BY995" s="61"/>
      <c r="BZ995" s="61"/>
      <c r="CA995" s="61"/>
      <c r="CB995" s="61"/>
      <c r="CC995" s="61">
        <v>71400811</v>
      </c>
      <c r="CD995" s="61"/>
      <c r="CE995" s="61"/>
      <c r="CF995" s="61"/>
      <c r="CG995" s="61">
        <f t="shared" si="140"/>
        <v>843346092</v>
      </c>
      <c r="CH995" s="62">
        <f>VLOOKUP(B995,[1]RPTNCT049_ConsultaSaldosContabl!I$4:K$7987,3,0)</f>
        <v>499805677</v>
      </c>
      <c r="CI995" s="62">
        <f t="shared" si="141"/>
        <v>343540415</v>
      </c>
      <c r="CJ995" s="63">
        <f t="shared" si="142"/>
        <v>843346092</v>
      </c>
      <c r="CK995" s="64">
        <f t="shared" si="143"/>
        <v>0</v>
      </c>
      <c r="CL995" s="16"/>
      <c r="CM995" s="16"/>
      <c r="CN995" s="16"/>
    </row>
    <row r="996" spans="1:96" ht="15" customHeight="1" x14ac:dyDescent="0.2">
      <c r="A996" s="1">
        <v>8000955301</v>
      </c>
      <c r="B996" s="1">
        <v>800095530</v>
      </c>
      <c r="C996" s="9">
        <v>218013780</v>
      </c>
      <c r="D996" s="10" t="s">
        <v>211</v>
      </c>
      <c r="E996" s="45" t="s">
        <v>1246</v>
      </c>
      <c r="F996" s="21"/>
      <c r="G996" s="59"/>
      <c r="H996" s="21"/>
      <c r="I996" s="59"/>
      <c r="J996" s="21"/>
      <c r="K996" s="21"/>
      <c r="L996" s="59"/>
      <c r="M996" s="60"/>
      <c r="N996" s="21"/>
      <c r="O996" s="59"/>
      <c r="P996" s="21"/>
      <c r="Q996" s="59"/>
      <c r="R996" s="21"/>
      <c r="S996" s="21"/>
      <c r="T996" s="59"/>
      <c r="U996" s="60">
        <f t="shared" si="138"/>
        <v>0</v>
      </c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>
        <v>268965705</v>
      </c>
      <c r="AN996" s="60">
        <f t="shared" si="145"/>
        <v>268965705</v>
      </c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1">
        <f t="shared" si="139"/>
        <v>268965705</v>
      </c>
      <c r="BD996" s="60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>
        <v>32370896</v>
      </c>
      <c r="BO996" s="60"/>
      <c r="BP996" s="61">
        <v>301336601</v>
      </c>
      <c r="BQ996" s="61"/>
      <c r="BR996" s="61"/>
      <c r="BS996" s="61"/>
      <c r="BT996" s="61"/>
      <c r="BU996" s="61"/>
      <c r="BV996" s="61"/>
      <c r="BW996" s="61"/>
      <c r="BX996" s="61"/>
      <c r="BY996" s="61"/>
      <c r="BZ996" s="61"/>
      <c r="CA996" s="61"/>
      <c r="CB996" s="61"/>
      <c r="CC996" s="61">
        <v>32370896</v>
      </c>
      <c r="CD996" s="61">
        <v>161854480</v>
      </c>
      <c r="CE996" s="61"/>
      <c r="CF996" s="61"/>
      <c r="CG996" s="61">
        <f t="shared" si="140"/>
        <v>495561977</v>
      </c>
      <c r="CH996" s="62">
        <f>VLOOKUP(B996,[1]RPTNCT049_ConsultaSaldosContabl!I$4:K$7987,3,0)</f>
        <v>226596272</v>
      </c>
      <c r="CI996" s="62">
        <f t="shared" si="141"/>
        <v>268965705</v>
      </c>
      <c r="CJ996" s="63">
        <f t="shared" si="142"/>
        <v>495561977</v>
      </c>
      <c r="CK996" s="64">
        <f t="shared" si="143"/>
        <v>0</v>
      </c>
      <c r="CL996" s="16"/>
      <c r="CM996" s="8"/>
      <c r="CN996" s="8"/>
      <c r="CO996" s="8"/>
      <c r="CP996" s="8"/>
      <c r="CQ996" s="8"/>
      <c r="CR996" s="8"/>
    </row>
    <row r="997" spans="1:96" ht="15" customHeight="1" x14ac:dyDescent="0.2">
      <c r="A997" s="1">
        <v>8000966264</v>
      </c>
      <c r="B997" s="1">
        <v>800096626</v>
      </c>
      <c r="C997" s="9">
        <v>218720787</v>
      </c>
      <c r="D997" s="10" t="s">
        <v>436</v>
      </c>
      <c r="E997" s="45" t="s">
        <v>1463</v>
      </c>
      <c r="F997" s="21"/>
      <c r="G997" s="59"/>
      <c r="H997" s="21"/>
      <c r="I997" s="59"/>
      <c r="J997" s="21"/>
      <c r="K997" s="21"/>
      <c r="L997" s="59"/>
      <c r="M997" s="60"/>
      <c r="N997" s="21"/>
      <c r="O997" s="59"/>
      <c r="P997" s="21"/>
      <c r="Q997" s="59"/>
      <c r="R997" s="21"/>
      <c r="S997" s="21"/>
      <c r="T997" s="59"/>
      <c r="U997" s="60">
        <f t="shared" si="138"/>
        <v>0</v>
      </c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>
        <v>75624008</v>
      </c>
      <c r="AN997" s="60">
        <f t="shared" si="145"/>
        <v>75624008</v>
      </c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>
        <v>214612065</v>
      </c>
      <c r="AZ997" s="60"/>
      <c r="BA997" s="60">
        <f>VLOOKUP(B997,[2]Hoja3!J$3:K$674,2,0)</f>
        <v>268230529</v>
      </c>
      <c r="BB997" s="60"/>
      <c r="BC997" s="61">
        <f t="shared" si="139"/>
        <v>558466602</v>
      </c>
      <c r="BD997" s="60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>
        <v>42922413</v>
      </c>
      <c r="BO997" s="60"/>
      <c r="BP997" s="61">
        <v>601389015</v>
      </c>
      <c r="BQ997" s="61"/>
      <c r="BR997" s="61"/>
      <c r="BS997" s="61"/>
      <c r="BT997" s="61"/>
      <c r="BU997" s="61"/>
      <c r="BV997" s="61"/>
      <c r="BW997" s="61"/>
      <c r="BX997" s="61"/>
      <c r="BY997" s="61"/>
      <c r="BZ997" s="61"/>
      <c r="CA997" s="61"/>
      <c r="CB997" s="61"/>
      <c r="CC997" s="61">
        <v>42922413</v>
      </c>
      <c r="CD997" s="61"/>
      <c r="CE997" s="61"/>
      <c r="CF997" s="61"/>
      <c r="CG997" s="61">
        <f t="shared" si="140"/>
        <v>644311428</v>
      </c>
      <c r="CH997" s="62">
        <f>VLOOKUP(B997,[1]RPTNCT049_ConsultaSaldosContabl!I$4:K$7987,3,0)</f>
        <v>300456891</v>
      </c>
      <c r="CI997" s="62">
        <f t="shared" si="141"/>
        <v>343854537</v>
      </c>
      <c r="CJ997" s="63">
        <f t="shared" si="142"/>
        <v>644311428</v>
      </c>
      <c r="CK997" s="64">
        <f t="shared" si="143"/>
        <v>0</v>
      </c>
      <c r="CL997" s="16"/>
      <c r="CM997" s="16"/>
      <c r="CN997" s="16"/>
    </row>
    <row r="998" spans="1:96" ht="15" customHeight="1" x14ac:dyDescent="0.2">
      <c r="A998" s="1">
        <v>8000994319</v>
      </c>
      <c r="B998" s="1">
        <v>800099431</v>
      </c>
      <c r="C998" s="9">
        <v>210085400</v>
      </c>
      <c r="D998" s="10" t="s">
        <v>970</v>
      </c>
      <c r="E998" s="45" t="s">
        <v>2029</v>
      </c>
      <c r="F998" s="21"/>
      <c r="G998" s="59"/>
      <c r="H998" s="21"/>
      <c r="I998" s="59"/>
      <c r="J998" s="21"/>
      <c r="K998" s="21"/>
      <c r="L998" s="59"/>
      <c r="M998" s="60"/>
      <c r="N998" s="21"/>
      <c r="O998" s="59"/>
      <c r="P998" s="21"/>
      <c r="Q998" s="59"/>
      <c r="R998" s="21"/>
      <c r="S998" s="21"/>
      <c r="T998" s="59"/>
      <c r="U998" s="60">
        <f t="shared" si="138"/>
        <v>0</v>
      </c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>
        <v>117022903</v>
      </c>
      <c r="AN998" s="60">
        <f t="shared" si="145"/>
        <v>117022903</v>
      </c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>
        <v>91754200</v>
      </c>
      <c r="AZ998" s="60"/>
      <c r="BA998" s="60">
        <f>VLOOKUP(B998,[2]Hoja3!J$3:K$674,2,0)</f>
        <v>12368548</v>
      </c>
      <c r="BB998" s="60"/>
      <c r="BC998" s="61">
        <f t="shared" si="139"/>
        <v>221145651</v>
      </c>
      <c r="BD998" s="60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>
        <v>18350840</v>
      </c>
      <c r="BO998" s="60"/>
      <c r="BP998" s="61">
        <v>239496491</v>
      </c>
      <c r="BQ998" s="61"/>
      <c r="BR998" s="61"/>
      <c r="BS998" s="61"/>
      <c r="BT998" s="61"/>
      <c r="BU998" s="61"/>
      <c r="BV998" s="61"/>
      <c r="BW998" s="61"/>
      <c r="BX998" s="61"/>
      <c r="BY998" s="61"/>
      <c r="BZ998" s="61"/>
      <c r="CA998" s="61"/>
      <c r="CB998" s="61"/>
      <c r="CC998" s="61">
        <v>18350840</v>
      </c>
      <c r="CD998" s="61"/>
      <c r="CE998" s="61"/>
      <c r="CF998" s="61"/>
      <c r="CG998" s="61">
        <f t="shared" si="140"/>
        <v>257847331</v>
      </c>
      <c r="CH998" s="62">
        <f>VLOOKUP(B998,[1]RPTNCT049_ConsultaSaldosContabl!I$4:K$7987,3,0)</f>
        <v>128455880</v>
      </c>
      <c r="CI998" s="62">
        <f t="shared" si="141"/>
        <v>129391451</v>
      </c>
      <c r="CJ998" s="63">
        <f t="shared" si="142"/>
        <v>257847331</v>
      </c>
      <c r="CK998" s="64">
        <f t="shared" si="143"/>
        <v>0</v>
      </c>
      <c r="CL998" s="16"/>
      <c r="CM998" s="16"/>
      <c r="CN998" s="16"/>
    </row>
    <row r="999" spans="1:96" ht="15" customHeight="1" x14ac:dyDescent="0.2">
      <c r="A999" s="1">
        <v>8001028013</v>
      </c>
      <c r="B999" s="1">
        <v>800102801</v>
      </c>
      <c r="C999" s="9">
        <v>219481794</v>
      </c>
      <c r="D999" s="10" t="s">
        <v>954</v>
      </c>
      <c r="E999" s="45" t="s">
        <v>2014</v>
      </c>
      <c r="F999" s="21"/>
      <c r="G999" s="59"/>
      <c r="H999" s="21"/>
      <c r="I999" s="59"/>
      <c r="J999" s="21"/>
      <c r="K999" s="21"/>
      <c r="L999" s="59"/>
      <c r="M999" s="60"/>
      <c r="N999" s="21"/>
      <c r="O999" s="59"/>
      <c r="P999" s="21"/>
      <c r="Q999" s="59"/>
      <c r="R999" s="21"/>
      <c r="S999" s="21"/>
      <c r="T999" s="59"/>
      <c r="U999" s="60">
        <f t="shared" si="138"/>
        <v>0</v>
      </c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>
        <v>229030789</v>
      </c>
      <c r="AN999" s="60">
        <f t="shared" si="145"/>
        <v>229030789</v>
      </c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>
        <v>819104160</v>
      </c>
      <c r="AZ999" s="60"/>
      <c r="BA999" s="60">
        <f>VLOOKUP(B999,[2]Hoja3!J$3:K$674,2,0)</f>
        <v>785550710</v>
      </c>
      <c r="BB999" s="60"/>
      <c r="BC999" s="61">
        <f t="shared" si="139"/>
        <v>1833685659</v>
      </c>
      <c r="BD999" s="60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>
        <v>163820832</v>
      </c>
      <c r="BO999" s="60"/>
      <c r="BP999" s="61">
        <v>1997506491</v>
      </c>
      <c r="BQ999" s="61"/>
      <c r="BR999" s="61"/>
      <c r="BS999" s="61"/>
      <c r="BT999" s="61"/>
      <c r="BU999" s="61"/>
      <c r="BV999" s="61"/>
      <c r="BW999" s="61"/>
      <c r="BX999" s="61"/>
      <c r="BY999" s="61"/>
      <c r="BZ999" s="61"/>
      <c r="CA999" s="61"/>
      <c r="CB999" s="61"/>
      <c r="CC999" s="61">
        <v>163820832</v>
      </c>
      <c r="CD999" s="61"/>
      <c r="CE999" s="61"/>
      <c r="CF999" s="61"/>
      <c r="CG999" s="61">
        <f t="shared" si="140"/>
        <v>2161327323</v>
      </c>
      <c r="CH999" s="62">
        <f>VLOOKUP(B999,[1]RPTNCT049_ConsultaSaldosContabl!I$4:K$7987,3,0)</f>
        <v>1146745824</v>
      </c>
      <c r="CI999" s="62">
        <f t="shared" si="141"/>
        <v>1014581499</v>
      </c>
      <c r="CJ999" s="63">
        <f t="shared" si="142"/>
        <v>2161327323</v>
      </c>
      <c r="CK999" s="64">
        <f t="shared" si="143"/>
        <v>0</v>
      </c>
      <c r="CL999" s="16"/>
      <c r="CM999" s="16"/>
      <c r="CN999" s="16"/>
    </row>
    <row r="1000" spans="1:96" ht="15" customHeight="1" x14ac:dyDescent="0.2">
      <c r="A1000" s="1">
        <v>8909812383</v>
      </c>
      <c r="B1000" s="1">
        <v>890981238</v>
      </c>
      <c r="C1000" s="9">
        <v>218905789</v>
      </c>
      <c r="D1000" s="10" t="s">
        <v>144</v>
      </c>
      <c r="E1000" s="45" t="s">
        <v>1173</v>
      </c>
      <c r="F1000" s="21"/>
      <c r="G1000" s="59"/>
      <c r="H1000" s="21"/>
      <c r="I1000" s="59"/>
      <c r="J1000" s="21"/>
      <c r="K1000" s="21"/>
      <c r="L1000" s="59"/>
      <c r="M1000" s="60"/>
      <c r="N1000" s="21"/>
      <c r="O1000" s="59"/>
      <c r="P1000" s="21"/>
      <c r="Q1000" s="59"/>
      <c r="R1000" s="21"/>
      <c r="S1000" s="21"/>
      <c r="T1000" s="59"/>
      <c r="U1000" s="60">
        <f t="shared" si="138"/>
        <v>0</v>
      </c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>
        <v>167444705</v>
      </c>
      <c r="AN1000" s="60">
        <f t="shared" si="145"/>
        <v>167444705</v>
      </c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>
        <v>102264050</v>
      </c>
      <c r="AZ1000" s="60"/>
      <c r="BA1000" s="60">
        <f>VLOOKUP(B1000,[2]Hoja3!J$3:K$674,2,0)</f>
        <v>66896464</v>
      </c>
      <c r="BB1000" s="60"/>
      <c r="BC1000" s="61">
        <f t="shared" si="139"/>
        <v>336605219</v>
      </c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>
        <v>20452810</v>
      </c>
      <c r="BO1000" s="60"/>
      <c r="BP1000" s="61">
        <v>357058029</v>
      </c>
      <c r="BQ1000" s="61"/>
      <c r="BR1000" s="61"/>
      <c r="BS1000" s="61"/>
      <c r="BT1000" s="61"/>
      <c r="BU1000" s="61"/>
      <c r="BV1000" s="61"/>
      <c r="BW1000" s="61"/>
      <c r="BX1000" s="61"/>
      <c r="BY1000" s="61"/>
      <c r="BZ1000" s="61"/>
      <c r="CA1000" s="61"/>
      <c r="CB1000" s="61"/>
      <c r="CC1000" s="61">
        <v>20452810</v>
      </c>
      <c r="CD1000" s="61"/>
      <c r="CE1000" s="61"/>
      <c r="CF1000" s="61"/>
      <c r="CG1000" s="61">
        <f t="shared" si="140"/>
        <v>377510839</v>
      </c>
      <c r="CH1000" s="62">
        <f>VLOOKUP(B1000,[1]RPTNCT049_ConsultaSaldosContabl!I$4:K$7987,3,0)</f>
        <v>143169670</v>
      </c>
      <c r="CI1000" s="62">
        <f t="shared" si="141"/>
        <v>234341169</v>
      </c>
      <c r="CJ1000" s="63">
        <f t="shared" si="142"/>
        <v>377510839</v>
      </c>
      <c r="CK1000" s="64">
        <f t="shared" si="143"/>
        <v>0</v>
      </c>
      <c r="CL1000" s="16"/>
      <c r="CM1000" s="16"/>
      <c r="CN1000" s="16"/>
    </row>
    <row r="1001" spans="1:96" ht="15" customHeight="1" x14ac:dyDescent="0.2">
      <c r="A1001" s="1">
        <v>8000249776</v>
      </c>
      <c r="B1001" s="1">
        <v>800024977</v>
      </c>
      <c r="C1001" s="9">
        <v>218652786</v>
      </c>
      <c r="D1001" s="10" t="s">
        <v>747</v>
      </c>
      <c r="E1001" s="45" t="s">
        <v>1767</v>
      </c>
      <c r="F1001" s="21"/>
      <c r="G1001" s="59"/>
      <c r="H1001" s="21"/>
      <c r="I1001" s="59"/>
      <c r="J1001" s="21"/>
      <c r="K1001" s="21"/>
      <c r="L1001" s="59"/>
      <c r="M1001" s="60"/>
      <c r="N1001" s="21"/>
      <c r="O1001" s="59"/>
      <c r="P1001" s="21"/>
      <c r="Q1001" s="59"/>
      <c r="R1001" s="21"/>
      <c r="S1001" s="21"/>
      <c r="T1001" s="59"/>
      <c r="U1001" s="60">
        <f t="shared" si="138"/>
        <v>0</v>
      </c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>
        <v>106014191</v>
      </c>
      <c r="AN1001" s="60">
        <f t="shared" si="145"/>
        <v>106014191</v>
      </c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>
        <v>140064555</v>
      </c>
      <c r="AZ1001" s="60"/>
      <c r="BA1001" s="60">
        <f>VLOOKUP(B1001,[2]Hoja3!J$3:K$674,2,0)</f>
        <v>173024594</v>
      </c>
      <c r="BB1001" s="60"/>
      <c r="BC1001" s="61">
        <f t="shared" si="139"/>
        <v>419103340</v>
      </c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>
        <v>28012911</v>
      </c>
      <c r="BO1001" s="60"/>
      <c r="BP1001" s="61">
        <v>447116251</v>
      </c>
      <c r="BQ1001" s="61"/>
      <c r="BR1001" s="61"/>
      <c r="BS1001" s="61"/>
      <c r="BT1001" s="61"/>
      <c r="BU1001" s="61"/>
      <c r="BV1001" s="61"/>
      <c r="BW1001" s="61"/>
      <c r="BX1001" s="61"/>
      <c r="BY1001" s="61"/>
      <c r="BZ1001" s="61"/>
      <c r="CA1001" s="61"/>
      <c r="CB1001" s="61"/>
      <c r="CC1001" s="61">
        <v>28012911</v>
      </c>
      <c r="CD1001" s="61"/>
      <c r="CE1001" s="61"/>
      <c r="CF1001" s="61"/>
      <c r="CG1001" s="61">
        <f t="shared" si="140"/>
        <v>475129162</v>
      </c>
      <c r="CH1001" s="62">
        <f>VLOOKUP(B1001,[1]RPTNCT049_ConsultaSaldosContabl!I$4:K$7987,3,0)</f>
        <v>196090377</v>
      </c>
      <c r="CI1001" s="62">
        <f t="shared" si="141"/>
        <v>279038785</v>
      </c>
      <c r="CJ1001" s="63">
        <f t="shared" si="142"/>
        <v>475129162</v>
      </c>
      <c r="CK1001" s="64">
        <f t="shared" si="143"/>
        <v>0</v>
      </c>
      <c r="CL1001" s="16"/>
      <c r="CM1001" s="16"/>
      <c r="CN1001" s="16"/>
    </row>
    <row r="1002" spans="1:96" ht="15" customHeight="1" x14ac:dyDescent="0.2">
      <c r="A1002" s="1">
        <v>8000991511</v>
      </c>
      <c r="B1002" s="1">
        <v>800099151</v>
      </c>
      <c r="C1002" s="9">
        <v>218852788</v>
      </c>
      <c r="D1002" s="10" t="s">
        <v>748</v>
      </c>
      <c r="E1002" s="45" t="s">
        <v>1768</v>
      </c>
      <c r="F1002" s="21"/>
      <c r="G1002" s="59"/>
      <c r="H1002" s="21"/>
      <c r="I1002" s="59"/>
      <c r="J1002" s="21"/>
      <c r="K1002" s="21"/>
      <c r="L1002" s="59"/>
      <c r="M1002" s="60"/>
      <c r="N1002" s="21"/>
      <c r="O1002" s="59"/>
      <c r="P1002" s="21"/>
      <c r="Q1002" s="59"/>
      <c r="R1002" s="21"/>
      <c r="S1002" s="21"/>
      <c r="T1002" s="59"/>
      <c r="U1002" s="60">
        <f t="shared" si="138"/>
        <v>0</v>
      </c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>
        <v>128455862</v>
      </c>
      <c r="AN1002" s="60">
        <f t="shared" si="145"/>
        <v>128455862</v>
      </c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>
        <v>63917180</v>
      </c>
      <c r="AZ1002" s="60"/>
      <c r="BA1002" s="60"/>
      <c r="BB1002" s="60"/>
      <c r="BC1002" s="61">
        <f t="shared" si="139"/>
        <v>192373042</v>
      </c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>
        <v>12783436</v>
      </c>
      <c r="BO1002" s="60"/>
      <c r="BP1002" s="61">
        <v>205156478</v>
      </c>
      <c r="BQ1002" s="61"/>
      <c r="BR1002" s="61"/>
      <c r="BS1002" s="61"/>
      <c r="BT1002" s="61"/>
      <c r="BU1002" s="61"/>
      <c r="BV1002" s="61"/>
      <c r="BW1002" s="61"/>
      <c r="BX1002" s="61"/>
      <c r="BY1002" s="61"/>
      <c r="BZ1002" s="61"/>
      <c r="CA1002" s="61"/>
      <c r="CB1002" s="61"/>
      <c r="CC1002" s="61">
        <v>12783436</v>
      </c>
      <c r="CD1002" s="61"/>
      <c r="CE1002" s="61"/>
      <c r="CF1002" s="61"/>
      <c r="CG1002" s="61">
        <f t="shared" si="140"/>
        <v>217939914</v>
      </c>
      <c r="CH1002" s="62">
        <f>VLOOKUP(B1002,[1]RPTNCT049_ConsultaSaldosContabl!I$4:K$7987,3,0)</f>
        <v>89484052</v>
      </c>
      <c r="CI1002" s="62">
        <f t="shared" si="141"/>
        <v>128455862</v>
      </c>
      <c r="CJ1002" s="63">
        <f t="shared" si="142"/>
        <v>217939914</v>
      </c>
      <c r="CK1002" s="64">
        <f t="shared" si="143"/>
        <v>0</v>
      </c>
      <c r="CL1002" s="16"/>
      <c r="CM1002" s="16"/>
      <c r="CN1002" s="16"/>
    </row>
    <row r="1003" spans="1:96" ht="15" customHeight="1" x14ac:dyDescent="0.2">
      <c r="A1003" s="1">
        <v>8320002194</v>
      </c>
      <c r="B1003" s="1">
        <v>832000219</v>
      </c>
      <c r="C1003" s="9">
        <v>216697666</v>
      </c>
      <c r="D1003" s="10" t="s">
        <v>996</v>
      </c>
      <c r="E1003" s="45" t="s">
        <v>2053</v>
      </c>
      <c r="F1003" s="21"/>
      <c r="G1003" s="59"/>
      <c r="H1003" s="21"/>
      <c r="I1003" s="59"/>
      <c r="J1003" s="21"/>
      <c r="K1003" s="21"/>
      <c r="L1003" s="59"/>
      <c r="M1003" s="60"/>
      <c r="N1003" s="21"/>
      <c r="O1003" s="59"/>
      <c r="P1003" s="21"/>
      <c r="Q1003" s="59"/>
      <c r="R1003" s="21"/>
      <c r="S1003" s="21"/>
      <c r="T1003" s="59"/>
      <c r="U1003" s="60">
        <f t="shared" si="138"/>
        <v>0</v>
      </c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1">
        <f t="shared" si="139"/>
        <v>0</v>
      </c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>
        <v>0</v>
      </c>
      <c r="BO1003" s="60"/>
      <c r="BP1003" s="60">
        <v>0</v>
      </c>
      <c r="BQ1003" s="61"/>
      <c r="BR1003" s="61"/>
      <c r="BS1003" s="61"/>
      <c r="BT1003" s="61"/>
      <c r="BU1003" s="61"/>
      <c r="BV1003" s="61"/>
      <c r="BW1003" s="61"/>
      <c r="BX1003" s="61"/>
      <c r="BY1003" s="61"/>
      <c r="BZ1003" s="61"/>
      <c r="CA1003" s="61"/>
      <c r="CB1003" s="61"/>
      <c r="CC1003" s="61">
        <v>0</v>
      </c>
      <c r="CD1003" s="61"/>
      <c r="CE1003" s="61"/>
      <c r="CF1003" s="61"/>
      <c r="CG1003" s="61">
        <f t="shared" si="140"/>
        <v>0</v>
      </c>
      <c r="CH1003" s="62"/>
      <c r="CI1003" s="62">
        <f t="shared" si="141"/>
        <v>0</v>
      </c>
      <c r="CJ1003" s="63">
        <f t="shared" si="142"/>
        <v>0</v>
      </c>
      <c r="CK1003" s="64">
        <f t="shared" si="143"/>
        <v>0</v>
      </c>
      <c r="CL1003" s="16"/>
      <c r="CM1003" s="8"/>
      <c r="CN1003" s="8"/>
      <c r="CO1003" s="8"/>
      <c r="CP1003" s="8"/>
      <c r="CQ1003" s="8"/>
      <c r="CR1003" s="8"/>
    </row>
    <row r="1004" spans="1:96" ht="15" customHeight="1" x14ac:dyDescent="0.2">
      <c r="A1004" s="1">
        <v>8909842957</v>
      </c>
      <c r="B1004" s="1">
        <v>890984295</v>
      </c>
      <c r="C1004" s="9">
        <v>219005790</v>
      </c>
      <c r="D1004" s="10" t="s">
        <v>145</v>
      </c>
      <c r="E1004" s="45" t="s">
        <v>1174</v>
      </c>
      <c r="F1004" s="21"/>
      <c r="G1004" s="59"/>
      <c r="H1004" s="21"/>
      <c r="I1004" s="59"/>
      <c r="J1004" s="21"/>
      <c r="K1004" s="21"/>
      <c r="L1004" s="59"/>
      <c r="M1004" s="60"/>
      <c r="N1004" s="21"/>
      <c r="O1004" s="59"/>
      <c r="P1004" s="21"/>
      <c r="Q1004" s="59"/>
      <c r="R1004" s="21"/>
      <c r="S1004" s="21"/>
      <c r="T1004" s="59"/>
      <c r="U1004" s="60">
        <f t="shared" si="138"/>
        <v>0</v>
      </c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>
        <f>VLOOKUP(B1004,[2]Hoja3!J$3:K$674,2,0)</f>
        <v>503450070</v>
      </c>
      <c r="BB1004" s="60"/>
      <c r="BC1004" s="61">
        <f t="shared" si="139"/>
        <v>503450070</v>
      </c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>
        <v>71324287</v>
      </c>
      <c r="BO1004" s="60"/>
      <c r="BP1004" s="61">
        <v>574774357</v>
      </c>
      <c r="BQ1004" s="61"/>
      <c r="BR1004" s="61"/>
      <c r="BS1004" s="61"/>
      <c r="BT1004" s="61"/>
      <c r="BU1004" s="61"/>
      <c r="BV1004" s="61"/>
      <c r="BW1004" s="61"/>
      <c r="BX1004" s="61"/>
      <c r="BY1004" s="61"/>
      <c r="BZ1004" s="61"/>
      <c r="CA1004" s="61"/>
      <c r="CB1004" s="61"/>
      <c r="CC1004" s="61">
        <v>71324287</v>
      </c>
      <c r="CD1004" s="61">
        <v>356621435</v>
      </c>
      <c r="CE1004" s="61"/>
      <c r="CF1004" s="61"/>
      <c r="CG1004" s="61">
        <f t="shared" si="140"/>
        <v>1002720079</v>
      </c>
      <c r="CH1004" s="62">
        <f>VLOOKUP(B1004,[1]RPTNCT049_ConsultaSaldosContabl!I$4:K$7987,3,0)</f>
        <v>499270009</v>
      </c>
      <c r="CI1004" s="62">
        <f t="shared" si="141"/>
        <v>503450070</v>
      </c>
      <c r="CJ1004" s="63">
        <f t="shared" si="142"/>
        <v>1002720079</v>
      </c>
      <c r="CK1004" s="64">
        <f t="shared" si="143"/>
        <v>0</v>
      </c>
      <c r="CL1004" s="16"/>
      <c r="CM1004" s="16"/>
      <c r="CN1004" s="16"/>
    </row>
    <row r="1005" spans="1:96" ht="15" customHeight="1" x14ac:dyDescent="0.2">
      <c r="A1005" s="1">
        <v>8911802111</v>
      </c>
      <c r="B1005" s="1">
        <v>891180211</v>
      </c>
      <c r="C1005" s="9">
        <v>219141791</v>
      </c>
      <c r="D1005" s="10" t="s">
        <v>622</v>
      </c>
      <c r="E1005" s="45" t="s">
        <v>1641</v>
      </c>
      <c r="F1005" s="21"/>
      <c r="G1005" s="59"/>
      <c r="H1005" s="21"/>
      <c r="I1005" s="59"/>
      <c r="J1005" s="21"/>
      <c r="K1005" s="21"/>
      <c r="L1005" s="59"/>
      <c r="M1005" s="60"/>
      <c r="N1005" s="21"/>
      <c r="O1005" s="59"/>
      <c r="P1005" s="21"/>
      <c r="Q1005" s="59"/>
      <c r="R1005" s="21"/>
      <c r="S1005" s="21"/>
      <c r="T1005" s="59"/>
      <c r="U1005" s="60">
        <f t="shared" si="138"/>
        <v>0</v>
      </c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>
        <v>149445880</v>
      </c>
      <c r="AZ1005" s="60"/>
      <c r="BA1005" s="60">
        <f>VLOOKUP(B1005,[2]Hoja3!J$3:K$674,2,0)</f>
        <v>327530639</v>
      </c>
      <c r="BB1005" s="60"/>
      <c r="BC1005" s="61">
        <f t="shared" si="139"/>
        <v>476976519</v>
      </c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>
        <v>29889176</v>
      </c>
      <c r="BO1005" s="60"/>
      <c r="BP1005" s="61">
        <v>506865695</v>
      </c>
      <c r="BQ1005" s="61"/>
      <c r="BR1005" s="61"/>
      <c r="BS1005" s="61"/>
      <c r="BT1005" s="61"/>
      <c r="BU1005" s="61"/>
      <c r="BV1005" s="61"/>
      <c r="BW1005" s="61"/>
      <c r="BX1005" s="61"/>
      <c r="BY1005" s="61"/>
      <c r="BZ1005" s="61"/>
      <c r="CA1005" s="61"/>
      <c r="CB1005" s="61"/>
      <c r="CC1005" s="61">
        <v>29889176</v>
      </c>
      <c r="CD1005" s="61"/>
      <c r="CE1005" s="61"/>
      <c r="CF1005" s="61"/>
      <c r="CG1005" s="61">
        <f t="shared" si="140"/>
        <v>536754871</v>
      </c>
      <c r="CH1005" s="62">
        <f>VLOOKUP(B1005,[1]RPTNCT049_ConsultaSaldosContabl!I$4:K$7987,3,0)</f>
        <v>209224232</v>
      </c>
      <c r="CI1005" s="62">
        <f t="shared" si="141"/>
        <v>327530639</v>
      </c>
      <c r="CJ1005" s="63">
        <f t="shared" si="142"/>
        <v>536754871</v>
      </c>
      <c r="CK1005" s="64">
        <f t="shared" si="143"/>
        <v>0</v>
      </c>
      <c r="CL1005" s="16"/>
      <c r="CM1005" s="16"/>
      <c r="CN1005" s="16"/>
    </row>
    <row r="1006" spans="1:96" ht="15" customHeight="1" x14ac:dyDescent="0.2">
      <c r="A1006" s="1">
        <v>8909825834</v>
      </c>
      <c r="B1006" s="1">
        <v>890982583</v>
      </c>
      <c r="C1006" s="9">
        <v>219205792</v>
      </c>
      <c r="D1006" s="10" t="s">
        <v>146</v>
      </c>
      <c r="E1006" s="45" t="s">
        <v>1175</v>
      </c>
      <c r="F1006" s="21"/>
      <c r="G1006" s="59"/>
      <c r="H1006" s="21"/>
      <c r="I1006" s="59"/>
      <c r="J1006" s="21"/>
      <c r="K1006" s="21"/>
      <c r="L1006" s="59"/>
      <c r="M1006" s="60"/>
      <c r="N1006" s="21"/>
      <c r="O1006" s="59"/>
      <c r="P1006" s="21"/>
      <c r="Q1006" s="59"/>
      <c r="R1006" s="21"/>
      <c r="S1006" s="21"/>
      <c r="T1006" s="59"/>
      <c r="U1006" s="60">
        <f t="shared" si="138"/>
        <v>0</v>
      </c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>
        <v>40635275</v>
      </c>
      <c r="AZ1006" s="60"/>
      <c r="BA1006" s="60">
        <f>VLOOKUP(B1006,[2]Hoja3!J$3:K$674,2,0)</f>
        <v>78243604</v>
      </c>
      <c r="BB1006" s="60"/>
      <c r="BC1006" s="61">
        <f t="shared" si="139"/>
        <v>118878879</v>
      </c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>
        <v>8127055</v>
      </c>
      <c r="BO1006" s="60"/>
      <c r="BP1006" s="61">
        <v>127005934</v>
      </c>
      <c r="BQ1006" s="61"/>
      <c r="BR1006" s="61"/>
      <c r="BS1006" s="61"/>
      <c r="BT1006" s="61"/>
      <c r="BU1006" s="61"/>
      <c r="BV1006" s="61"/>
      <c r="BW1006" s="61"/>
      <c r="BX1006" s="61"/>
      <c r="BY1006" s="61"/>
      <c r="BZ1006" s="61"/>
      <c r="CA1006" s="61"/>
      <c r="CB1006" s="61"/>
      <c r="CC1006" s="61">
        <v>8127055</v>
      </c>
      <c r="CD1006" s="61"/>
      <c r="CE1006" s="61"/>
      <c r="CF1006" s="61"/>
      <c r="CG1006" s="61">
        <f t="shared" si="140"/>
        <v>135132989</v>
      </c>
      <c r="CH1006" s="62">
        <f>VLOOKUP(B1006,[1]RPTNCT049_ConsultaSaldosContabl!I$4:K$7987,3,0)</f>
        <v>56889385</v>
      </c>
      <c r="CI1006" s="62">
        <f t="shared" si="141"/>
        <v>78243604</v>
      </c>
      <c r="CJ1006" s="63">
        <f t="shared" si="142"/>
        <v>135132989</v>
      </c>
      <c r="CK1006" s="64">
        <f t="shared" si="143"/>
        <v>0</v>
      </c>
      <c r="CL1006" s="16"/>
      <c r="CM1006" s="16"/>
      <c r="CN1006" s="16"/>
    </row>
    <row r="1007" spans="1:96" ht="15" customHeight="1" x14ac:dyDescent="0.2">
      <c r="A1007" s="1">
        <v>8918561313</v>
      </c>
      <c r="B1007" s="1">
        <v>891856131</v>
      </c>
      <c r="C1007" s="9">
        <v>219015790</v>
      </c>
      <c r="D1007" s="10" t="s">
        <v>318</v>
      </c>
      <c r="E1007" s="45" t="s">
        <v>1350</v>
      </c>
      <c r="F1007" s="21"/>
      <c r="G1007" s="59"/>
      <c r="H1007" s="21"/>
      <c r="I1007" s="59"/>
      <c r="J1007" s="21"/>
      <c r="K1007" s="21"/>
      <c r="L1007" s="59"/>
      <c r="M1007" s="60"/>
      <c r="N1007" s="21"/>
      <c r="O1007" s="59"/>
      <c r="P1007" s="21"/>
      <c r="Q1007" s="59"/>
      <c r="R1007" s="21"/>
      <c r="S1007" s="21"/>
      <c r="T1007" s="59"/>
      <c r="U1007" s="60">
        <f t="shared" si="138"/>
        <v>0</v>
      </c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>
        <v>39232170</v>
      </c>
      <c r="AZ1007" s="60"/>
      <c r="BA1007" s="60">
        <f>VLOOKUP(B1007,[2]Hoja3!J$3:K$674,2,0)</f>
        <v>93473423</v>
      </c>
      <c r="BB1007" s="60"/>
      <c r="BC1007" s="61">
        <f t="shared" si="139"/>
        <v>132705593</v>
      </c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>
        <v>7846434</v>
      </c>
      <c r="BO1007" s="60"/>
      <c r="BP1007" s="61">
        <v>140552027</v>
      </c>
      <c r="BQ1007" s="61"/>
      <c r="BR1007" s="61"/>
      <c r="BS1007" s="61"/>
      <c r="BT1007" s="61"/>
      <c r="BU1007" s="61"/>
      <c r="BV1007" s="61"/>
      <c r="BW1007" s="61"/>
      <c r="BX1007" s="61"/>
      <c r="BY1007" s="61"/>
      <c r="BZ1007" s="61"/>
      <c r="CA1007" s="61"/>
      <c r="CB1007" s="61"/>
      <c r="CC1007" s="61">
        <v>7846434</v>
      </c>
      <c r="CD1007" s="61"/>
      <c r="CE1007" s="61"/>
      <c r="CF1007" s="61"/>
      <c r="CG1007" s="61">
        <f t="shared" si="140"/>
        <v>148398461</v>
      </c>
      <c r="CH1007" s="62">
        <f>VLOOKUP(B1007,[1]RPTNCT049_ConsultaSaldosContabl!I$4:K$7987,3,0)</f>
        <v>54925038</v>
      </c>
      <c r="CI1007" s="62">
        <f t="shared" si="141"/>
        <v>93473423</v>
      </c>
      <c r="CJ1007" s="63">
        <f t="shared" si="142"/>
        <v>148398461</v>
      </c>
      <c r="CK1007" s="64">
        <f t="shared" si="143"/>
        <v>0</v>
      </c>
      <c r="CL1007" s="16"/>
      <c r="CM1007" s="8"/>
      <c r="CN1007" s="8"/>
      <c r="CO1007" s="8"/>
      <c r="CP1007" s="8"/>
      <c r="CQ1007" s="8"/>
      <c r="CR1007" s="8"/>
    </row>
    <row r="1008" spans="1:96" ht="15" customHeight="1" x14ac:dyDescent="0.2">
      <c r="A1008" s="1">
        <v>8000128737</v>
      </c>
      <c r="B1008" s="1">
        <v>800012873</v>
      </c>
      <c r="C1008" s="9">
        <v>211085410</v>
      </c>
      <c r="D1008" s="10" t="s">
        <v>971</v>
      </c>
      <c r="E1008" s="45" t="s">
        <v>2030</v>
      </c>
      <c r="F1008" s="21"/>
      <c r="G1008" s="59"/>
      <c r="H1008" s="21"/>
      <c r="I1008" s="59"/>
      <c r="J1008" s="21"/>
      <c r="K1008" s="21"/>
      <c r="L1008" s="59"/>
      <c r="M1008" s="60"/>
      <c r="N1008" s="21"/>
      <c r="O1008" s="59"/>
      <c r="P1008" s="21"/>
      <c r="Q1008" s="59"/>
      <c r="R1008" s="21"/>
      <c r="S1008" s="21"/>
      <c r="T1008" s="59"/>
      <c r="U1008" s="60">
        <f t="shared" si="138"/>
        <v>0</v>
      </c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>
        <v>295189394</v>
      </c>
      <c r="AN1008" s="60">
        <f t="shared" ref="AN1008:AN1013" si="146">SUBTOTAL(9,AC1008:AM1008)</f>
        <v>295189394</v>
      </c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>
        <v>149933090</v>
      </c>
      <c r="AZ1008" s="60"/>
      <c r="BA1008" s="60">
        <f>VLOOKUP(B1008,[2]Hoja3!J$3:K$674,2,0)</f>
        <v>97520742</v>
      </c>
      <c r="BB1008" s="60"/>
      <c r="BC1008" s="61">
        <f t="shared" si="139"/>
        <v>542643226</v>
      </c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>
        <v>29986618</v>
      </c>
      <c r="BO1008" s="60"/>
      <c r="BP1008" s="61">
        <v>572629844</v>
      </c>
      <c r="BQ1008" s="61"/>
      <c r="BR1008" s="61"/>
      <c r="BS1008" s="61"/>
      <c r="BT1008" s="61"/>
      <c r="BU1008" s="61"/>
      <c r="BV1008" s="61"/>
      <c r="BW1008" s="61"/>
      <c r="BX1008" s="61"/>
      <c r="BY1008" s="61"/>
      <c r="BZ1008" s="61"/>
      <c r="CA1008" s="61"/>
      <c r="CB1008" s="61"/>
      <c r="CC1008" s="61">
        <v>29986618</v>
      </c>
      <c r="CD1008" s="61"/>
      <c r="CE1008" s="61"/>
      <c r="CF1008" s="61"/>
      <c r="CG1008" s="61">
        <f t="shared" si="140"/>
        <v>602616462</v>
      </c>
      <c r="CH1008" s="62">
        <f>VLOOKUP(B1008,[1]RPTNCT049_ConsultaSaldosContabl!I$4:K$7987,3,0)</f>
        <v>209906326</v>
      </c>
      <c r="CI1008" s="62">
        <f t="shared" si="141"/>
        <v>392710136</v>
      </c>
      <c r="CJ1008" s="63">
        <f t="shared" si="142"/>
        <v>602616462</v>
      </c>
      <c r="CK1008" s="64">
        <f t="shared" si="143"/>
        <v>0</v>
      </c>
      <c r="CL1008" s="16"/>
      <c r="CM1008" s="16"/>
      <c r="CN1008" s="16"/>
    </row>
    <row r="1009" spans="1:96" ht="15" customHeight="1" x14ac:dyDescent="0.2">
      <c r="A1009" s="1">
        <v>8999994819</v>
      </c>
      <c r="B1009" s="1">
        <v>899999481</v>
      </c>
      <c r="C1009" s="9">
        <v>219325793</v>
      </c>
      <c r="D1009" s="10" t="s">
        <v>546</v>
      </c>
      <c r="E1009" s="45" t="s">
        <v>2071</v>
      </c>
      <c r="F1009" s="21"/>
      <c r="G1009" s="59"/>
      <c r="H1009" s="21"/>
      <c r="I1009" s="59"/>
      <c r="J1009" s="21"/>
      <c r="K1009" s="21"/>
      <c r="L1009" s="59"/>
      <c r="M1009" s="60"/>
      <c r="N1009" s="21"/>
      <c r="O1009" s="59"/>
      <c r="P1009" s="21"/>
      <c r="Q1009" s="59"/>
      <c r="R1009" s="21"/>
      <c r="S1009" s="21"/>
      <c r="T1009" s="59"/>
      <c r="U1009" s="60">
        <f t="shared" si="138"/>
        <v>0</v>
      </c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>
        <v>149009676</v>
      </c>
      <c r="AN1009" s="60">
        <f t="shared" si="146"/>
        <v>149009676</v>
      </c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1">
        <f t="shared" si="139"/>
        <v>149009676</v>
      </c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>
        <v>10315178</v>
      </c>
      <c r="BO1009" s="60"/>
      <c r="BP1009" s="61">
        <v>159324854</v>
      </c>
      <c r="BQ1009" s="61"/>
      <c r="BR1009" s="61"/>
      <c r="BS1009" s="61"/>
      <c r="BT1009" s="61"/>
      <c r="BU1009" s="61"/>
      <c r="BV1009" s="61"/>
      <c r="BW1009" s="61"/>
      <c r="BX1009" s="61"/>
      <c r="BY1009" s="61"/>
      <c r="BZ1009" s="61"/>
      <c r="CA1009" s="61"/>
      <c r="CB1009" s="61"/>
      <c r="CC1009" s="61">
        <v>10315178</v>
      </c>
      <c r="CD1009" s="61">
        <v>51575890</v>
      </c>
      <c r="CE1009" s="61"/>
      <c r="CF1009" s="61"/>
      <c r="CG1009" s="61">
        <f t="shared" si="140"/>
        <v>221215922</v>
      </c>
      <c r="CH1009" s="62">
        <f>VLOOKUP(B1009,[1]RPTNCT049_ConsultaSaldosContabl!I$4:K$7987,3,0)</f>
        <v>72206246</v>
      </c>
      <c r="CI1009" s="62">
        <f t="shared" si="141"/>
        <v>149009676</v>
      </c>
      <c r="CJ1009" s="63">
        <f t="shared" si="142"/>
        <v>221215922</v>
      </c>
      <c r="CK1009" s="64">
        <f t="shared" si="143"/>
        <v>0</v>
      </c>
      <c r="CL1009" s="16"/>
      <c r="CM1009" s="16"/>
      <c r="CN1009" s="16"/>
    </row>
    <row r="1010" spans="1:96" ht="15" customHeight="1" x14ac:dyDescent="0.2">
      <c r="A1010" s="1">
        <v>8911801270</v>
      </c>
      <c r="B1010" s="1">
        <v>891180127</v>
      </c>
      <c r="C1010" s="9">
        <v>219941799</v>
      </c>
      <c r="D1010" s="10" t="s">
        <v>624</v>
      </c>
      <c r="E1010" s="45" t="s">
        <v>1643</v>
      </c>
      <c r="F1010" s="21"/>
      <c r="G1010" s="59"/>
      <c r="H1010" s="21"/>
      <c r="I1010" s="59"/>
      <c r="J1010" s="21"/>
      <c r="K1010" s="21"/>
      <c r="L1010" s="59"/>
      <c r="M1010" s="60"/>
      <c r="N1010" s="21"/>
      <c r="O1010" s="59"/>
      <c r="P1010" s="21"/>
      <c r="Q1010" s="59"/>
      <c r="R1010" s="21"/>
      <c r="S1010" s="21"/>
      <c r="T1010" s="59"/>
      <c r="U1010" s="60">
        <f t="shared" si="138"/>
        <v>0</v>
      </c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>
        <v>124633834</v>
      </c>
      <c r="AN1010" s="60">
        <f t="shared" si="146"/>
        <v>124633834</v>
      </c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>
        <v>102120990</v>
      </c>
      <c r="AZ1010" s="60"/>
      <c r="BA1010" s="60">
        <f>VLOOKUP(B1010,[2]Hoja3!J$3:K$674,2,0)</f>
        <v>75132539</v>
      </c>
      <c r="BB1010" s="60"/>
      <c r="BC1010" s="61">
        <f t="shared" si="139"/>
        <v>301887363</v>
      </c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>
        <v>20424198</v>
      </c>
      <c r="BO1010" s="60"/>
      <c r="BP1010" s="61">
        <v>322311561</v>
      </c>
      <c r="BQ1010" s="61"/>
      <c r="BR1010" s="61"/>
      <c r="BS1010" s="61"/>
      <c r="BT1010" s="61"/>
      <c r="BU1010" s="61"/>
      <c r="BV1010" s="61"/>
      <c r="BW1010" s="61"/>
      <c r="BX1010" s="61"/>
      <c r="BY1010" s="61"/>
      <c r="BZ1010" s="61"/>
      <c r="CA1010" s="61"/>
      <c r="CB1010" s="61"/>
      <c r="CC1010" s="61">
        <v>20424198</v>
      </c>
      <c r="CD1010" s="61"/>
      <c r="CE1010" s="61"/>
      <c r="CF1010" s="61"/>
      <c r="CG1010" s="61">
        <f t="shared" si="140"/>
        <v>342735759</v>
      </c>
      <c r="CH1010" s="62">
        <f>VLOOKUP(B1010,[1]RPTNCT049_ConsultaSaldosContabl!I$4:K$7987,3,0)</f>
        <v>142969386</v>
      </c>
      <c r="CI1010" s="62">
        <f t="shared" si="141"/>
        <v>199766373</v>
      </c>
      <c r="CJ1010" s="63">
        <f t="shared" si="142"/>
        <v>342735759</v>
      </c>
      <c r="CK1010" s="64">
        <f t="shared" si="143"/>
        <v>0</v>
      </c>
      <c r="CL1010" s="16"/>
      <c r="CM1010" s="16"/>
      <c r="CN1010" s="16"/>
    </row>
    <row r="1011" spans="1:96" ht="15" customHeight="1" x14ac:dyDescent="0.2">
      <c r="A1011" s="1">
        <v>8000045746</v>
      </c>
      <c r="B1011" s="1">
        <v>800004574</v>
      </c>
      <c r="C1011" s="9">
        <v>219725797</v>
      </c>
      <c r="D1011" s="10" t="s">
        <v>547</v>
      </c>
      <c r="E1011" s="45" t="s">
        <v>1553</v>
      </c>
      <c r="F1011" s="21"/>
      <c r="G1011" s="59"/>
      <c r="H1011" s="21"/>
      <c r="I1011" s="59"/>
      <c r="J1011" s="21"/>
      <c r="K1011" s="21"/>
      <c r="L1011" s="59"/>
      <c r="M1011" s="60"/>
      <c r="N1011" s="21"/>
      <c r="O1011" s="59"/>
      <c r="P1011" s="21"/>
      <c r="Q1011" s="59"/>
      <c r="R1011" s="21"/>
      <c r="S1011" s="21"/>
      <c r="T1011" s="59"/>
      <c r="U1011" s="60">
        <f t="shared" si="138"/>
        <v>0</v>
      </c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>
        <v>128238445</v>
      </c>
      <c r="AN1011" s="60">
        <f t="shared" si="146"/>
        <v>128238445</v>
      </c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1">
        <f t="shared" si="139"/>
        <v>128238445</v>
      </c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>
        <v>0</v>
      </c>
      <c r="BO1011" s="60"/>
      <c r="BP1011" s="61">
        <v>128238445</v>
      </c>
      <c r="BQ1011" s="61"/>
      <c r="BR1011" s="61"/>
      <c r="BS1011" s="61"/>
      <c r="BT1011" s="61"/>
      <c r="BU1011" s="61"/>
      <c r="BV1011" s="61"/>
      <c r="BW1011" s="61"/>
      <c r="BX1011" s="61"/>
      <c r="BY1011" s="61"/>
      <c r="BZ1011" s="61"/>
      <c r="CA1011" s="61"/>
      <c r="CB1011" s="61"/>
      <c r="CC1011" s="61">
        <v>0</v>
      </c>
      <c r="CD1011" s="61"/>
      <c r="CE1011" s="61"/>
      <c r="CF1011" s="61"/>
      <c r="CG1011" s="61">
        <f t="shared" si="140"/>
        <v>128238445</v>
      </c>
      <c r="CH1011" s="62"/>
      <c r="CI1011" s="62">
        <f t="shared" si="141"/>
        <v>128238445</v>
      </c>
      <c r="CJ1011" s="63">
        <f t="shared" si="142"/>
        <v>128238445</v>
      </c>
      <c r="CK1011" s="64">
        <f t="shared" si="143"/>
        <v>0</v>
      </c>
      <c r="CL1011" s="16"/>
      <c r="CM1011" s="16"/>
      <c r="CN1011" s="16"/>
    </row>
    <row r="1012" spans="1:96" ht="15" customHeight="1" x14ac:dyDescent="0.2">
      <c r="A1012" s="1">
        <v>8917800578</v>
      </c>
      <c r="B1012" s="1">
        <v>891780057</v>
      </c>
      <c r="C1012" s="9">
        <v>219847798</v>
      </c>
      <c r="D1012" s="10" t="s">
        <v>663</v>
      </c>
      <c r="E1012" s="45" t="s">
        <v>1683</v>
      </c>
      <c r="F1012" s="21"/>
      <c r="G1012" s="59"/>
      <c r="H1012" s="21"/>
      <c r="I1012" s="59"/>
      <c r="J1012" s="21"/>
      <c r="K1012" s="21"/>
      <c r="L1012" s="59"/>
      <c r="M1012" s="60"/>
      <c r="N1012" s="21"/>
      <c r="O1012" s="59"/>
      <c r="P1012" s="21"/>
      <c r="Q1012" s="59"/>
      <c r="R1012" s="21"/>
      <c r="S1012" s="21"/>
      <c r="T1012" s="59"/>
      <c r="U1012" s="60">
        <f t="shared" si="138"/>
        <v>0</v>
      </c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>
        <v>235706388</v>
      </c>
      <c r="AN1012" s="60">
        <f t="shared" si="146"/>
        <v>235706388</v>
      </c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>
        <f>VLOOKUP(B1012,[2]Hoja3!J$3:K$674,2,0)</f>
        <v>56337824</v>
      </c>
      <c r="BB1012" s="60"/>
      <c r="BC1012" s="61">
        <f t="shared" si="139"/>
        <v>292044212</v>
      </c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>
        <v>0</v>
      </c>
      <c r="BO1012" s="60"/>
      <c r="BP1012" s="61">
        <v>292044212</v>
      </c>
      <c r="BQ1012" s="61"/>
      <c r="BR1012" s="61"/>
      <c r="BS1012" s="61"/>
      <c r="BT1012" s="61"/>
      <c r="BU1012" s="61"/>
      <c r="BV1012" s="61"/>
      <c r="BW1012" s="61"/>
      <c r="BX1012" s="61"/>
      <c r="BY1012" s="61"/>
      <c r="BZ1012" s="61"/>
      <c r="CA1012" s="61"/>
      <c r="CB1012" s="61"/>
      <c r="CC1012" s="61">
        <v>0</v>
      </c>
      <c r="CD1012" s="61"/>
      <c r="CE1012" s="61"/>
      <c r="CF1012" s="61"/>
      <c r="CG1012" s="61">
        <f t="shared" si="140"/>
        <v>292044212</v>
      </c>
      <c r="CH1012" s="62"/>
      <c r="CI1012" s="62">
        <f t="shared" si="141"/>
        <v>292044212</v>
      </c>
      <c r="CJ1012" s="63">
        <f t="shared" si="142"/>
        <v>292044212</v>
      </c>
      <c r="CK1012" s="64">
        <f t="shared" si="143"/>
        <v>0</v>
      </c>
      <c r="CL1012" s="16"/>
      <c r="CM1012" s="16"/>
      <c r="CN1012" s="16"/>
    </row>
    <row r="1013" spans="1:96" ht="15" customHeight="1" x14ac:dyDescent="0.2">
      <c r="A1013" s="1">
        <v>8000951742</v>
      </c>
      <c r="B1013" s="1">
        <v>800095174</v>
      </c>
      <c r="C1013" s="9">
        <v>219925799</v>
      </c>
      <c r="D1013" s="10" t="s">
        <v>548</v>
      </c>
      <c r="E1013" s="45" t="s">
        <v>1571</v>
      </c>
      <c r="F1013" s="21"/>
      <c r="G1013" s="59"/>
      <c r="H1013" s="21"/>
      <c r="I1013" s="59"/>
      <c r="J1013" s="21"/>
      <c r="K1013" s="21"/>
      <c r="L1013" s="59"/>
      <c r="M1013" s="60"/>
      <c r="N1013" s="21"/>
      <c r="O1013" s="59"/>
      <c r="P1013" s="21"/>
      <c r="Q1013" s="59"/>
      <c r="R1013" s="21"/>
      <c r="S1013" s="21"/>
      <c r="T1013" s="59"/>
      <c r="U1013" s="60">
        <f t="shared" si="138"/>
        <v>0</v>
      </c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>
        <v>260422278</v>
      </c>
      <c r="AN1013" s="60">
        <f t="shared" si="146"/>
        <v>260422278</v>
      </c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>
        <v>88190855</v>
      </c>
      <c r="AZ1013" s="60"/>
      <c r="BA1013" s="60"/>
      <c r="BB1013" s="60"/>
      <c r="BC1013" s="61">
        <f t="shared" si="139"/>
        <v>348613133</v>
      </c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>
        <v>17638171</v>
      </c>
      <c r="BO1013" s="60"/>
      <c r="BP1013" s="61">
        <v>366251304</v>
      </c>
      <c r="BQ1013" s="61"/>
      <c r="BR1013" s="61"/>
      <c r="BS1013" s="61"/>
      <c r="BT1013" s="61"/>
      <c r="BU1013" s="61"/>
      <c r="BV1013" s="61"/>
      <c r="BW1013" s="61"/>
      <c r="BX1013" s="61"/>
      <c r="BY1013" s="61"/>
      <c r="BZ1013" s="61"/>
      <c r="CA1013" s="61"/>
      <c r="CB1013" s="61"/>
      <c r="CC1013" s="61">
        <v>17638171</v>
      </c>
      <c r="CD1013" s="61"/>
      <c r="CE1013" s="61"/>
      <c r="CF1013" s="61"/>
      <c r="CG1013" s="61">
        <f t="shared" si="140"/>
        <v>383889475</v>
      </c>
      <c r="CH1013" s="62">
        <f>VLOOKUP(B1013,[1]RPTNCT049_ConsultaSaldosContabl!I$4:K$7987,3,0)</f>
        <v>123467197</v>
      </c>
      <c r="CI1013" s="62">
        <f t="shared" si="141"/>
        <v>260422278</v>
      </c>
      <c r="CJ1013" s="63">
        <f t="shared" si="142"/>
        <v>383889475</v>
      </c>
      <c r="CK1013" s="64">
        <f t="shared" si="143"/>
        <v>0</v>
      </c>
      <c r="CL1013" s="16"/>
      <c r="CM1013" s="16"/>
      <c r="CN1013" s="16"/>
    </row>
    <row r="1014" spans="1:96" ht="15" customHeight="1" x14ac:dyDescent="0.2">
      <c r="A1014" s="1">
        <v>8000197099</v>
      </c>
      <c r="B1014" s="1">
        <v>800019709</v>
      </c>
      <c r="C1014" s="9">
        <v>219815798</v>
      </c>
      <c r="D1014" s="10" t="s">
        <v>319</v>
      </c>
      <c r="E1014" s="45" t="s">
        <v>1351</v>
      </c>
      <c r="F1014" s="21"/>
      <c r="G1014" s="59"/>
      <c r="H1014" s="21"/>
      <c r="I1014" s="59"/>
      <c r="J1014" s="21"/>
      <c r="K1014" s="21"/>
      <c r="L1014" s="59"/>
      <c r="M1014" s="60"/>
      <c r="N1014" s="21"/>
      <c r="O1014" s="59"/>
      <c r="P1014" s="21"/>
      <c r="Q1014" s="59"/>
      <c r="R1014" s="21"/>
      <c r="S1014" s="21"/>
      <c r="T1014" s="59"/>
      <c r="U1014" s="60">
        <f t="shared" si="138"/>
        <v>0</v>
      </c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>
        <v>26169150</v>
      </c>
      <c r="AZ1014" s="60"/>
      <c r="BA1014" s="60">
        <f>VLOOKUP(B1014,[2]Hoja3!J$3:K$674,2,0)</f>
        <v>45231927</v>
      </c>
      <c r="BB1014" s="60"/>
      <c r="BC1014" s="61">
        <f t="shared" si="139"/>
        <v>71401077</v>
      </c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>
        <v>5233830</v>
      </c>
      <c r="BO1014" s="60"/>
      <c r="BP1014" s="61">
        <v>76634907</v>
      </c>
      <c r="BQ1014" s="61"/>
      <c r="BR1014" s="61"/>
      <c r="BS1014" s="61"/>
      <c r="BT1014" s="61"/>
      <c r="BU1014" s="61"/>
      <c r="BV1014" s="61"/>
      <c r="BW1014" s="61"/>
      <c r="BX1014" s="61"/>
      <c r="BY1014" s="61"/>
      <c r="BZ1014" s="61"/>
      <c r="CA1014" s="61"/>
      <c r="CB1014" s="61"/>
      <c r="CC1014" s="61">
        <v>5233830</v>
      </c>
      <c r="CD1014" s="61"/>
      <c r="CE1014" s="61"/>
      <c r="CF1014" s="61"/>
      <c r="CG1014" s="61">
        <f t="shared" si="140"/>
        <v>81868737</v>
      </c>
      <c r="CH1014" s="62">
        <f>VLOOKUP(B1014,[1]RPTNCT049_ConsultaSaldosContabl!I$4:K$7987,3,0)</f>
        <v>36636810</v>
      </c>
      <c r="CI1014" s="62">
        <f t="shared" si="141"/>
        <v>45231927</v>
      </c>
      <c r="CJ1014" s="63">
        <f t="shared" si="142"/>
        <v>81868737</v>
      </c>
      <c r="CK1014" s="64">
        <f t="shared" si="143"/>
        <v>0</v>
      </c>
      <c r="CL1014" s="16"/>
      <c r="CM1014" s="8"/>
      <c r="CN1014" s="8"/>
      <c r="CO1014" s="8"/>
      <c r="CP1014" s="8"/>
      <c r="CQ1014" s="8"/>
      <c r="CR1014" s="8"/>
    </row>
    <row r="1015" spans="1:96" ht="15" customHeight="1" x14ac:dyDescent="0.2">
      <c r="A1015" s="1">
        <v>8000170229</v>
      </c>
      <c r="B1015" s="1">
        <v>800017022</v>
      </c>
      <c r="C1015" s="9">
        <v>210054800</v>
      </c>
      <c r="D1015" s="10" t="s">
        <v>785</v>
      </c>
      <c r="E1015" s="45" t="s">
        <v>1801</v>
      </c>
      <c r="F1015" s="21"/>
      <c r="G1015" s="59"/>
      <c r="H1015" s="21"/>
      <c r="I1015" s="59"/>
      <c r="J1015" s="21"/>
      <c r="K1015" s="21"/>
      <c r="L1015" s="59"/>
      <c r="M1015" s="60"/>
      <c r="N1015" s="21"/>
      <c r="O1015" s="59"/>
      <c r="P1015" s="21"/>
      <c r="Q1015" s="59"/>
      <c r="R1015" s="21"/>
      <c r="S1015" s="21"/>
      <c r="T1015" s="59"/>
      <c r="U1015" s="60">
        <f t="shared" si="138"/>
        <v>0</v>
      </c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>
        <v>159544890</v>
      </c>
      <c r="AZ1015" s="60"/>
      <c r="BA1015" s="60">
        <f>VLOOKUP(B1015,[2]Hoja3!J$3:K$674,2,0)</f>
        <v>188411305</v>
      </c>
      <c r="BB1015" s="60"/>
      <c r="BC1015" s="61">
        <f t="shared" si="139"/>
        <v>347956195</v>
      </c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>
        <v>31908978</v>
      </c>
      <c r="BO1015" s="60"/>
      <c r="BP1015" s="61">
        <v>379865173</v>
      </c>
      <c r="BQ1015" s="61"/>
      <c r="BR1015" s="61"/>
      <c r="BS1015" s="61"/>
      <c r="BT1015" s="61"/>
      <c r="BU1015" s="61"/>
      <c r="BV1015" s="61"/>
      <c r="BW1015" s="61"/>
      <c r="BX1015" s="61"/>
      <c r="BY1015" s="61"/>
      <c r="BZ1015" s="61"/>
      <c r="CA1015" s="61"/>
      <c r="CB1015" s="61"/>
      <c r="CC1015" s="61">
        <v>31908978</v>
      </c>
      <c r="CD1015" s="61"/>
      <c r="CE1015" s="61"/>
      <c r="CF1015" s="61"/>
      <c r="CG1015" s="61">
        <f t="shared" si="140"/>
        <v>411774151</v>
      </c>
      <c r="CH1015" s="62">
        <f>VLOOKUP(B1015,[1]RPTNCT049_ConsultaSaldosContabl!I$4:K$7987,3,0)</f>
        <v>223362846</v>
      </c>
      <c r="CI1015" s="62">
        <f t="shared" si="141"/>
        <v>188411305</v>
      </c>
      <c r="CJ1015" s="63">
        <f t="shared" si="142"/>
        <v>411774151</v>
      </c>
      <c r="CK1015" s="64">
        <f t="shared" si="143"/>
        <v>0</v>
      </c>
      <c r="CL1015" s="16"/>
      <c r="CM1015" s="16"/>
      <c r="CN1015" s="16"/>
    </row>
    <row r="1016" spans="1:96" ht="15" customHeight="1" x14ac:dyDescent="0.2">
      <c r="A1016" s="1">
        <v>8911801819</v>
      </c>
      <c r="B1016" s="1">
        <v>891180181</v>
      </c>
      <c r="C1016" s="9">
        <v>210141801</v>
      </c>
      <c r="D1016" s="10" t="s">
        <v>625</v>
      </c>
      <c r="E1016" s="45" t="s">
        <v>1644</v>
      </c>
      <c r="F1016" s="21"/>
      <c r="G1016" s="59"/>
      <c r="H1016" s="21"/>
      <c r="I1016" s="59"/>
      <c r="J1016" s="21"/>
      <c r="K1016" s="21"/>
      <c r="L1016" s="59"/>
      <c r="M1016" s="60"/>
      <c r="N1016" s="21"/>
      <c r="O1016" s="59"/>
      <c r="P1016" s="21"/>
      <c r="Q1016" s="59"/>
      <c r="R1016" s="21"/>
      <c r="S1016" s="21"/>
      <c r="T1016" s="59"/>
      <c r="U1016" s="60">
        <f t="shared" si="138"/>
        <v>0</v>
      </c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>
        <v>56953040</v>
      </c>
      <c r="AZ1016" s="60"/>
      <c r="BA1016" s="60">
        <f>VLOOKUP(B1016,[2]Hoja3!J$3:K$674,2,0)</f>
        <v>108422345</v>
      </c>
      <c r="BB1016" s="60"/>
      <c r="BC1016" s="61">
        <f t="shared" si="139"/>
        <v>165375385</v>
      </c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>
        <v>11390608</v>
      </c>
      <c r="BO1016" s="60"/>
      <c r="BP1016" s="61">
        <v>176765993</v>
      </c>
      <c r="BQ1016" s="61"/>
      <c r="BR1016" s="61"/>
      <c r="BS1016" s="61"/>
      <c r="BT1016" s="61"/>
      <c r="BU1016" s="61"/>
      <c r="BV1016" s="61"/>
      <c r="BW1016" s="61"/>
      <c r="BX1016" s="61"/>
      <c r="BY1016" s="61"/>
      <c r="BZ1016" s="61"/>
      <c r="CA1016" s="61"/>
      <c r="CB1016" s="61"/>
      <c r="CC1016" s="61">
        <v>11390608</v>
      </c>
      <c r="CD1016" s="61"/>
      <c r="CE1016" s="61"/>
      <c r="CF1016" s="61"/>
      <c r="CG1016" s="61">
        <f t="shared" si="140"/>
        <v>188156601</v>
      </c>
      <c r="CH1016" s="62">
        <f>VLOOKUP(B1016,[1]RPTNCT049_ConsultaSaldosContabl!I$4:K$7987,3,0)</f>
        <v>79734256</v>
      </c>
      <c r="CI1016" s="62">
        <f t="shared" si="141"/>
        <v>108422345</v>
      </c>
      <c r="CJ1016" s="63">
        <f t="shared" si="142"/>
        <v>188156601</v>
      </c>
      <c r="CK1016" s="64">
        <f t="shared" si="143"/>
        <v>0</v>
      </c>
      <c r="CL1016" s="16"/>
      <c r="CM1016" s="16"/>
      <c r="CN1016" s="16"/>
    </row>
    <row r="1017" spans="1:96" ht="15" customHeight="1" x14ac:dyDescent="0.2">
      <c r="A1017" s="1">
        <v>8000971766</v>
      </c>
      <c r="B1017" s="1">
        <v>800097176</v>
      </c>
      <c r="C1017" s="9">
        <v>219741797</v>
      </c>
      <c r="D1017" s="10" t="s">
        <v>623</v>
      </c>
      <c r="E1017" s="45" t="s">
        <v>1642</v>
      </c>
      <c r="F1017" s="21"/>
      <c r="G1017" s="59"/>
      <c r="H1017" s="21"/>
      <c r="I1017" s="59"/>
      <c r="J1017" s="21"/>
      <c r="K1017" s="21"/>
      <c r="L1017" s="59"/>
      <c r="M1017" s="60"/>
      <c r="N1017" s="21"/>
      <c r="O1017" s="59"/>
      <c r="P1017" s="21"/>
      <c r="Q1017" s="59"/>
      <c r="R1017" s="21"/>
      <c r="S1017" s="21"/>
      <c r="T1017" s="59"/>
      <c r="U1017" s="60">
        <f t="shared" si="138"/>
        <v>0</v>
      </c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>
        <v>64844045</v>
      </c>
      <c r="AZ1017" s="60"/>
      <c r="BA1017" s="60">
        <f>VLOOKUP(B1017,[2]Hoja3!J$3:K$674,2,0)</f>
        <v>163657290</v>
      </c>
      <c r="BB1017" s="60"/>
      <c r="BC1017" s="61">
        <f t="shared" si="139"/>
        <v>228501335</v>
      </c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>
        <v>12968809</v>
      </c>
      <c r="BO1017" s="60"/>
      <c r="BP1017" s="61">
        <v>241470144</v>
      </c>
      <c r="BQ1017" s="61"/>
      <c r="BR1017" s="61"/>
      <c r="BS1017" s="61"/>
      <c r="BT1017" s="61"/>
      <c r="BU1017" s="61"/>
      <c r="BV1017" s="61"/>
      <c r="BW1017" s="61"/>
      <c r="BX1017" s="61"/>
      <c r="BY1017" s="61"/>
      <c r="BZ1017" s="61"/>
      <c r="CA1017" s="61"/>
      <c r="CB1017" s="61"/>
      <c r="CC1017" s="61">
        <v>12968809</v>
      </c>
      <c r="CD1017" s="61"/>
      <c r="CE1017" s="61"/>
      <c r="CF1017" s="61"/>
      <c r="CG1017" s="61">
        <f t="shared" si="140"/>
        <v>254438953</v>
      </c>
      <c r="CH1017" s="62">
        <f>VLOOKUP(B1017,[1]RPTNCT049_ConsultaSaldosContabl!I$4:K$7987,3,0)</f>
        <v>90781663</v>
      </c>
      <c r="CI1017" s="62">
        <f t="shared" si="141"/>
        <v>163657290</v>
      </c>
      <c r="CJ1017" s="63">
        <f t="shared" si="142"/>
        <v>254438953</v>
      </c>
      <c r="CK1017" s="64">
        <f t="shared" si="143"/>
        <v>0</v>
      </c>
      <c r="CL1017" s="16"/>
      <c r="CM1017" s="16"/>
      <c r="CN1017" s="16"/>
    </row>
    <row r="1018" spans="1:96" ht="15" customHeight="1" x14ac:dyDescent="0.2">
      <c r="A1018" s="1">
        <v>8000186895</v>
      </c>
      <c r="B1018" s="1">
        <v>800018689</v>
      </c>
      <c r="C1018" s="9">
        <v>210525805</v>
      </c>
      <c r="D1018" s="10" t="s">
        <v>549</v>
      </c>
      <c r="E1018" s="45" t="s">
        <v>1572</v>
      </c>
      <c r="F1018" s="21"/>
      <c r="G1018" s="59"/>
      <c r="H1018" s="21"/>
      <c r="I1018" s="59"/>
      <c r="J1018" s="21"/>
      <c r="K1018" s="21"/>
      <c r="L1018" s="59"/>
      <c r="M1018" s="60"/>
      <c r="N1018" s="21"/>
      <c r="O1018" s="59"/>
      <c r="P1018" s="21"/>
      <c r="Q1018" s="59"/>
      <c r="R1018" s="21"/>
      <c r="S1018" s="21"/>
      <c r="T1018" s="59"/>
      <c r="U1018" s="60">
        <f t="shared" si="138"/>
        <v>0</v>
      </c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>
        <v>69052154</v>
      </c>
      <c r="AN1018" s="60">
        <f>SUBTOTAL(9,AC1018:AM1018)</f>
        <v>69052154</v>
      </c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>
        <v>28066965</v>
      </c>
      <c r="AZ1018" s="60"/>
      <c r="BA1018" s="60"/>
      <c r="BB1018" s="60"/>
      <c r="BC1018" s="61">
        <f t="shared" si="139"/>
        <v>97119119</v>
      </c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>
        <v>5613393</v>
      </c>
      <c r="BO1018" s="60"/>
      <c r="BP1018" s="61">
        <v>102732512</v>
      </c>
      <c r="BQ1018" s="61"/>
      <c r="BR1018" s="61"/>
      <c r="BS1018" s="61"/>
      <c r="BT1018" s="61"/>
      <c r="BU1018" s="61"/>
      <c r="BV1018" s="61"/>
      <c r="BW1018" s="61"/>
      <c r="BX1018" s="61"/>
      <c r="BY1018" s="61"/>
      <c r="BZ1018" s="61"/>
      <c r="CA1018" s="61"/>
      <c r="CB1018" s="61"/>
      <c r="CC1018" s="61">
        <v>5613393</v>
      </c>
      <c r="CD1018" s="61"/>
      <c r="CE1018" s="61"/>
      <c r="CF1018" s="61"/>
      <c r="CG1018" s="61">
        <f t="shared" si="140"/>
        <v>108345905</v>
      </c>
      <c r="CH1018" s="62">
        <f>VLOOKUP(B1018,[1]RPTNCT049_ConsultaSaldosContabl!I$4:K$7987,3,0)</f>
        <v>39293751</v>
      </c>
      <c r="CI1018" s="62">
        <f t="shared" si="141"/>
        <v>69052154</v>
      </c>
      <c r="CJ1018" s="63">
        <f t="shared" si="142"/>
        <v>108345905</v>
      </c>
      <c r="CK1018" s="64">
        <f t="shared" si="143"/>
        <v>0</v>
      </c>
      <c r="CL1018" s="16"/>
      <c r="CM1018" s="16"/>
      <c r="CN1018" s="16"/>
    </row>
    <row r="1019" spans="1:96" ht="15" customHeight="1" x14ac:dyDescent="0.2">
      <c r="A1019" s="1">
        <v>8918008603</v>
      </c>
      <c r="B1019" s="1">
        <v>891800860</v>
      </c>
      <c r="C1019" s="9">
        <v>210415804</v>
      </c>
      <c r="D1019" s="10" t="s">
        <v>320</v>
      </c>
      <c r="E1019" s="45" t="s">
        <v>1352</v>
      </c>
      <c r="F1019" s="21"/>
      <c r="G1019" s="59"/>
      <c r="H1019" s="21"/>
      <c r="I1019" s="59"/>
      <c r="J1019" s="21"/>
      <c r="K1019" s="21"/>
      <c r="L1019" s="59"/>
      <c r="M1019" s="60"/>
      <c r="N1019" s="21"/>
      <c r="O1019" s="59"/>
      <c r="P1019" s="21"/>
      <c r="Q1019" s="59"/>
      <c r="R1019" s="21"/>
      <c r="S1019" s="21"/>
      <c r="T1019" s="59"/>
      <c r="U1019" s="60">
        <f t="shared" si="138"/>
        <v>0</v>
      </c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>
        <v>64150170</v>
      </c>
      <c r="AZ1019" s="60"/>
      <c r="BA1019" s="60">
        <f>VLOOKUP(B1019,[2]Hoja3!J$3:K$674,2,0)</f>
        <v>130482277</v>
      </c>
      <c r="BB1019" s="60"/>
      <c r="BC1019" s="61">
        <f t="shared" si="139"/>
        <v>194632447</v>
      </c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>
        <v>12830034</v>
      </c>
      <c r="BO1019" s="60"/>
      <c r="BP1019" s="61">
        <v>207462481</v>
      </c>
      <c r="BQ1019" s="61"/>
      <c r="BR1019" s="61"/>
      <c r="BS1019" s="61"/>
      <c r="BT1019" s="61"/>
      <c r="BU1019" s="61"/>
      <c r="BV1019" s="61"/>
      <c r="BW1019" s="61"/>
      <c r="BX1019" s="61"/>
      <c r="BY1019" s="61"/>
      <c r="BZ1019" s="61"/>
      <c r="CA1019" s="61"/>
      <c r="CB1019" s="61"/>
      <c r="CC1019" s="61">
        <v>12830034</v>
      </c>
      <c r="CD1019" s="61"/>
      <c r="CE1019" s="61"/>
      <c r="CF1019" s="61"/>
      <c r="CG1019" s="61">
        <f t="shared" si="140"/>
        <v>220292515</v>
      </c>
      <c r="CH1019" s="62">
        <f>VLOOKUP(B1019,[1]RPTNCT049_ConsultaSaldosContabl!I$4:K$7987,3,0)</f>
        <v>89810238</v>
      </c>
      <c r="CI1019" s="62">
        <f t="shared" si="141"/>
        <v>130482277</v>
      </c>
      <c r="CJ1019" s="63">
        <f t="shared" si="142"/>
        <v>220292515</v>
      </c>
      <c r="CK1019" s="64">
        <f t="shared" si="143"/>
        <v>0</v>
      </c>
      <c r="CL1019" s="16"/>
      <c r="CM1019" s="8"/>
      <c r="CN1019" s="8"/>
      <c r="CO1019" s="8"/>
      <c r="CP1019" s="8"/>
      <c r="CQ1019" s="8"/>
      <c r="CR1019" s="8"/>
    </row>
    <row r="1020" spans="1:96" ht="15" customHeight="1" x14ac:dyDescent="0.2">
      <c r="A1020" s="1">
        <v>8918553616</v>
      </c>
      <c r="B1020" s="1">
        <v>891855361</v>
      </c>
      <c r="C1020" s="9">
        <v>210615806</v>
      </c>
      <c r="D1020" s="10" t="s">
        <v>321</v>
      </c>
      <c r="E1020" s="45" t="s">
        <v>1353</v>
      </c>
      <c r="F1020" s="21"/>
      <c r="G1020" s="59"/>
      <c r="H1020" s="21"/>
      <c r="I1020" s="59"/>
      <c r="J1020" s="21"/>
      <c r="K1020" s="21"/>
      <c r="L1020" s="59"/>
      <c r="M1020" s="60"/>
      <c r="N1020" s="21"/>
      <c r="O1020" s="59"/>
      <c r="P1020" s="21"/>
      <c r="Q1020" s="59"/>
      <c r="R1020" s="21"/>
      <c r="S1020" s="21"/>
      <c r="T1020" s="59"/>
      <c r="U1020" s="60">
        <f t="shared" si="138"/>
        <v>0</v>
      </c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>
        <v>156399121</v>
      </c>
      <c r="AN1020" s="60">
        <f>SUBTOTAL(9,AC1020:AM1020)</f>
        <v>156399121</v>
      </c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>
        <v>73500020</v>
      </c>
      <c r="AZ1020" s="60"/>
      <c r="BA1020" s="60">
        <f>VLOOKUP(B1020,[2]Hoja3!J$3:K$674,2,0)</f>
        <v>10294882</v>
      </c>
      <c r="BB1020" s="60"/>
      <c r="BC1020" s="61">
        <f t="shared" si="139"/>
        <v>240194023</v>
      </c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>
        <v>14700004</v>
      </c>
      <c r="BO1020" s="60"/>
      <c r="BP1020" s="61">
        <v>254894027</v>
      </c>
      <c r="BQ1020" s="61"/>
      <c r="BR1020" s="61"/>
      <c r="BS1020" s="61"/>
      <c r="BT1020" s="61"/>
      <c r="BU1020" s="61"/>
      <c r="BV1020" s="61"/>
      <c r="BW1020" s="61"/>
      <c r="BX1020" s="61"/>
      <c r="BY1020" s="61"/>
      <c r="BZ1020" s="61"/>
      <c r="CA1020" s="61"/>
      <c r="CB1020" s="61"/>
      <c r="CC1020" s="61">
        <v>14700004</v>
      </c>
      <c r="CD1020" s="61"/>
      <c r="CE1020" s="61"/>
      <c r="CF1020" s="61"/>
      <c r="CG1020" s="61">
        <f t="shared" si="140"/>
        <v>269594031</v>
      </c>
      <c r="CH1020" s="62">
        <f>VLOOKUP(B1020,[1]RPTNCT049_ConsultaSaldosContabl!I$4:K$7987,3,0)</f>
        <v>102900028</v>
      </c>
      <c r="CI1020" s="62">
        <f t="shared" si="141"/>
        <v>166694003</v>
      </c>
      <c r="CJ1020" s="63">
        <f t="shared" si="142"/>
        <v>269594031</v>
      </c>
      <c r="CK1020" s="64">
        <f t="shared" si="143"/>
        <v>0</v>
      </c>
      <c r="CL1020" s="16"/>
      <c r="CM1020" s="8"/>
      <c r="CN1020" s="8"/>
      <c r="CO1020" s="8"/>
      <c r="CP1020" s="8"/>
      <c r="CQ1020" s="8"/>
      <c r="CR1020" s="8"/>
    </row>
    <row r="1021" spans="1:96" ht="15" customHeight="1" x14ac:dyDescent="0.2">
      <c r="A1021" s="1">
        <v>8000947826</v>
      </c>
      <c r="B1021" s="1">
        <v>800094782</v>
      </c>
      <c r="C1021" s="9">
        <v>210725807</v>
      </c>
      <c r="D1021" s="10" t="s">
        <v>550</v>
      </c>
      <c r="E1021" s="45" t="s">
        <v>1573</v>
      </c>
      <c r="F1021" s="21"/>
      <c r="G1021" s="59"/>
      <c r="H1021" s="21"/>
      <c r="I1021" s="59"/>
      <c r="J1021" s="21"/>
      <c r="K1021" s="21"/>
      <c r="L1021" s="59"/>
      <c r="M1021" s="60"/>
      <c r="N1021" s="21"/>
      <c r="O1021" s="59"/>
      <c r="P1021" s="21"/>
      <c r="Q1021" s="59"/>
      <c r="R1021" s="21"/>
      <c r="S1021" s="21"/>
      <c r="T1021" s="59"/>
      <c r="U1021" s="60">
        <f t="shared" si="138"/>
        <v>0</v>
      </c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>
        <v>40410970</v>
      </c>
      <c r="AN1021" s="60">
        <f>SUBTOTAL(9,AC1021:AM1021)</f>
        <v>40410970</v>
      </c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>
        <v>17031565</v>
      </c>
      <c r="AZ1021" s="60"/>
      <c r="BA1021" s="60"/>
      <c r="BB1021" s="60"/>
      <c r="BC1021" s="61">
        <f t="shared" si="139"/>
        <v>57442535</v>
      </c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>
        <v>3406313</v>
      </c>
      <c r="BO1021" s="60"/>
      <c r="BP1021" s="61">
        <v>60848848</v>
      </c>
      <c r="BQ1021" s="61"/>
      <c r="BR1021" s="61"/>
      <c r="BS1021" s="61"/>
      <c r="BT1021" s="61"/>
      <c r="BU1021" s="61"/>
      <c r="BV1021" s="61"/>
      <c r="BW1021" s="61"/>
      <c r="BX1021" s="61"/>
      <c r="BY1021" s="61"/>
      <c r="BZ1021" s="61"/>
      <c r="CA1021" s="61"/>
      <c r="CB1021" s="61"/>
      <c r="CC1021" s="61">
        <v>3406313</v>
      </c>
      <c r="CD1021" s="61"/>
      <c r="CE1021" s="61"/>
      <c r="CF1021" s="61"/>
      <c r="CG1021" s="61">
        <f t="shared" si="140"/>
        <v>64255161</v>
      </c>
      <c r="CH1021" s="62">
        <f>VLOOKUP(B1021,[1]RPTNCT049_ConsultaSaldosContabl!I$4:K$7987,3,0)</f>
        <v>23844191</v>
      </c>
      <c r="CI1021" s="62">
        <f t="shared" si="141"/>
        <v>40410970</v>
      </c>
      <c r="CJ1021" s="63">
        <f t="shared" si="142"/>
        <v>64255161</v>
      </c>
      <c r="CK1021" s="64">
        <f t="shared" si="143"/>
        <v>0</v>
      </c>
      <c r="CL1021" s="16"/>
      <c r="CM1021" s="16"/>
      <c r="CN1021" s="16"/>
    </row>
    <row r="1022" spans="1:96" ht="15" customHeight="1" x14ac:dyDescent="0.2">
      <c r="A1022" s="1">
        <v>8000706824</v>
      </c>
      <c r="B1022" s="1">
        <v>800070682</v>
      </c>
      <c r="C1022" s="9">
        <v>211054810</v>
      </c>
      <c r="D1022" s="10" t="s">
        <v>786</v>
      </c>
      <c r="E1022" s="45" t="s">
        <v>1802</v>
      </c>
      <c r="F1022" s="21"/>
      <c r="G1022" s="59"/>
      <c r="H1022" s="21"/>
      <c r="I1022" s="59"/>
      <c r="J1022" s="21"/>
      <c r="K1022" s="21"/>
      <c r="L1022" s="59"/>
      <c r="M1022" s="60"/>
      <c r="N1022" s="21"/>
      <c r="O1022" s="59"/>
      <c r="P1022" s="21"/>
      <c r="Q1022" s="59"/>
      <c r="R1022" s="21"/>
      <c r="S1022" s="21"/>
      <c r="T1022" s="59"/>
      <c r="U1022" s="60">
        <f t="shared" si="138"/>
        <v>0</v>
      </c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>
        <v>99803649</v>
      </c>
      <c r="AN1022" s="60">
        <f>SUBTOTAL(9,AC1022:AM1022)</f>
        <v>99803649</v>
      </c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>
        <v>527586935</v>
      </c>
      <c r="AZ1022" s="60"/>
      <c r="BA1022" s="60">
        <f>VLOOKUP(B1022,[2]Hoja3!J$3:K$674,2,0)</f>
        <v>458290083</v>
      </c>
      <c r="BB1022" s="60"/>
      <c r="BC1022" s="61">
        <f t="shared" si="139"/>
        <v>1085680667</v>
      </c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>
        <v>105517387</v>
      </c>
      <c r="BO1022" s="60"/>
      <c r="BP1022" s="61">
        <v>1191198054</v>
      </c>
      <c r="BQ1022" s="61"/>
      <c r="BR1022" s="61"/>
      <c r="BS1022" s="61"/>
      <c r="BT1022" s="61"/>
      <c r="BU1022" s="61"/>
      <c r="BV1022" s="61"/>
      <c r="BW1022" s="61"/>
      <c r="BX1022" s="61"/>
      <c r="BY1022" s="61"/>
      <c r="BZ1022" s="61"/>
      <c r="CA1022" s="61"/>
      <c r="CB1022" s="61"/>
      <c r="CC1022" s="61">
        <v>105517387</v>
      </c>
      <c r="CD1022" s="61"/>
      <c r="CE1022" s="61"/>
      <c r="CF1022" s="61"/>
      <c r="CG1022" s="61">
        <f t="shared" si="140"/>
        <v>1296715441</v>
      </c>
      <c r="CH1022" s="62">
        <f>VLOOKUP(B1022,[1]RPTNCT049_ConsultaSaldosContabl!I$4:K$7987,3,0)</f>
        <v>738621709</v>
      </c>
      <c r="CI1022" s="62">
        <f t="shared" si="141"/>
        <v>558093732</v>
      </c>
      <c r="CJ1022" s="63">
        <f t="shared" si="142"/>
        <v>1296715441</v>
      </c>
      <c r="CK1022" s="64">
        <f t="shared" si="143"/>
        <v>0</v>
      </c>
      <c r="CL1022" s="16"/>
      <c r="CM1022" s="16"/>
      <c r="CN1022" s="16"/>
    </row>
    <row r="1023" spans="1:96" ht="15" customHeight="1" x14ac:dyDescent="0.2">
      <c r="A1023" s="1">
        <v>8000968070</v>
      </c>
      <c r="B1023" s="1">
        <v>800096807</v>
      </c>
      <c r="C1023" s="9">
        <v>210723807</v>
      </c>
      <c r="D1023" s="10" t="s">
        <v>458</v>
      </c>
      <c r="E1023" s="45" t="s">
        <v>1485</v>
      </c>
      <c r="F1023" s="21"/>
      <c r="G1023" s="59"/>
      <c r="H1023" s="21"/>
      <c r="I1023" s="59"/>
      <c r="J1023" s="21"/>
      <c r="K1023" s="21"/>
      <c r="L1023" s="59"/>
      <c r="M1023" s="60"/>
      <c r="N1023" s="21"/>
      <c r="O1023" s="59"/>
      <c r="P1023" s="21"/>
      <c r="Q1023" s="59"/>
      <c r="R1023" s="21"/>
      <c r="S1023" s="21"/>
      <c r="T1023" s="59"/>
      <c r="U1023" s="60">
        <f t="shared" si="138"/>
        <v>0</v>
      </c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>
        <v>1456419024</v>
      </c>
      <c r="AN1023" s="60">
        <f>SUBTOTAL(9,AC1023:AM1023)</f>
        <v>1456419024</v>
      </c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1">
        <f t="shared" si="139"/>
        <v>1456419024</v>
      </c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>
        <v>254929232</v>
      </c>
      <c r="BO1023" s="60"/>
      <c r="BP1023" s="61">
        <v>1711348256</v>
      </c>
      <c r="BQ1023" s="61"/>
      <c r="BR1023" s="61"/>
      <c r="BS1023" s="61"/>
      <c r="BT1023" s="61"/>
      <c r="BU1023" s="61"/>
      <c r="BV1023" s="61"/>
      <c r="BW1023" s="61"/>
      <c r="BX1023" s="61"/>
      <c r="BY1023" s="61"/>
      <c r="BZ1023" s="61"/>
      <c r="CA1023" s="61"/>
      <c r="CB1023" s="61"/>
      <c r="CC1023" s="61">
        <v>254929232</v>
      </c>
      <c r="CD1023" s="61">
        <v>1274646160</v>
      </c>
      <c r="CE1023" s="61">
        <v>220529593</v>
      </c>
      <c r="CF1023" s="61"/>
      <c r="CG1023" s="61">
        <f t="shared" si="140"/>
        <v>3461453241</v>
      </c>
      <c r="CH1023" s="62">
        <f>VLOOKUP(B1023,[1]RPTNCT049_ConsultaSaldosContabl!I$4:K$7987,3,0)</f>
        <v>1784504624</v>
      </c>
      <c r="CI1023" s="62">
        <f t="shared" si="141"/>
        <v>1676948617</v>
      </c>
      <c r="CJ1023" s="63">
        <f t="shared" si="142"/>
        <v>3461453241</v>
      </c>
      <c r="CK1023" s="64">
        <f t="shared" si="143"/>
        <v>0</v>
      </c>
      <c r="CL1023" s="16"/>
      <c r="CM1023" s="16"/>
      <c r="CN1023" s="16"/>
    </row>
    <row r="1024" spans="1:96" ht="15" customHeight="1" x14ac:dyDescent="0.2">
      <c r="A1024" s="1">
        <v>8911801826</v>
      </c>
      <c r="B1024" s="1">
        <v>891180182</v>
      </c>
      <c r="C1024" s="9">
        <v>210741807</v>
      </c>
      <c r="D1024" s="10" t="s">
        <v>626</v>
      </c>
      <c r="E1024" s="45" t="s">
        <v>1645</v>
      </c>
      <c r="F1024" s="21"/>
      <c r="G1024" s="59"/>
      <c r="H1024" s="21"/>
      <c r="I1024" s="59"/>
      <c r="J1024" s="21"/>
      <c r="K1024" s="21"/>
      <c r="L1024" s="59"/>
      <c r="M1024" s="60"/>
      <c r="N1024" s="21"/>
      <c r="O1024" s="59"/>
      <c r="P1024" s="21"/>
      <c r="Q1024" s="59"/>
      <c r="R1024" s="21"/>
      <c r="S1024" s="21"/>
      <c r="T1024" s="59"/>
      <c r="U1024" s="60">
        <f t="shared" si="138"/>
        <v>0</v>
      </c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>
        <v>132247300</v>
      </c>
      <c r="AZ1024" s="60"/>
      <c r="BA1024" s="60">
        <f>VLOOKUP(B1024,[2]Hoja3!J$3:K$674,2,0)</f>
        <v>326867162</v>
      </c>
      <c r="BB1024" s="60"/>
      <c r="BC1024" s="61">
        <f t="shared" si="139"/>
        <v>459114462</v>
      </c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>
        <v>26449460</v>
      </c>
      <c r="BO1024" s="60"/>
      <c r="BP1024" s="61">
        <v>485563922</v>
      </c>
      <c r="BQ1024" s="61"/>
      <c r="BR1024" s="61"/>
      <c r="BS1024" s="61"/>
      <c r="BT1024" s="61"/>
      <c r="BU1024" s="61"/>
      <c r="BV1024" s="61"/>
      <c r="BW1024" s="61"/>
      <c r="BX1024" s="61"/>
      <c r="BY1024" s="61"/>
      <c r="BZ1024" s="61"/>
      <c r="CA1024" s="61"/>
      <c r="CB1024" s="61"/>
      <c r="CC1024" s="61">
        <v>26449460</v>
      </c>
      <c r="CD1024" s="61"/>
      <c r="CE1024" s="61"/>
      <c r="CF1024" s="61"/>
      <c r="CG1024" s="61">
        <f t="shared" si="140"/>
        <v>512013382</v>
      </c>
      <c r="CH1024" s="62">
        <f>VLOOKUP(B1024,[1]RPTNCT049_ConsultaSaldosContabl!I$4:K$7987,3,0)</f>
        <v>185146220</v>
      </c>
      <c r="CI1024" s="62">
        <f t="shared" si="141"/>
        <v>326867162</v>
      </c>
      <c r="CJ1024" s="63">
        <f t="shared" si="142"/>
        <v>512013382</v>
      </c>
      <c r="CK1024" s="64">
        <f t="shared" si="143"/>
        <v>0</v>
      </c>
      <c r="CL1024" s="16"/>
      <c r="CM1024" s="16"/>
      <c r="CN1024" s="16"/>
    </row>
    <row r="1025" spans="1:96" ht="15" customHeight="1" x14ac:dyDescent="0.2">
      <c r="A1025" s="1">
        <v>8915007425</v>
      </c>
      <c r="B1025" s="1">
        <v>891500742</v>
      </c>
      <c r="C1025" s="9">
        <v>210719807</v>
      </c>
      <c r="D1025" s="10" t="s">
        <v>408</v>
      </c>
      <c r="E1025" s="45" t="s">
        <v>1430</v>
      </c>
      <c r="F1025" s="21"/>
      <c r="G1025" s="59"/>
      <c r="H1025" s="21"/>
      <c r="I1025" s="59"/>
      <c r="J1025" s="21"/>
      <c r="K1025" s="21"/>
      <c r="L1025" s="59"/>
      <c r="M1025" s="60"/>
      <c r="N1025" s="21"/>
      <c r="O1025" s="59"/>
      <c r="P1025" s="21"/>
      <c r="Q1025" s="59"/>
      <c r="R1025" s="21"/>
      <c r="S1025" s="21"/>
      <c r="T1025" s="59"/>
      <c r="U1025" s="60">
        <f t="shared" si="138"/>
        <v>0</v>
      </c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>
        <f>VLOOKUP(B1025,[2]Hoja3!J$3:K$674,2,0)</f>
        <v>412627379</v>
      </c>
      <c r="BB1025" s="60"/>
      <c r="BC1025" s="61">
        <f t="shared" si="139"/>
        <v>412627379</v>
      </c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>
        <v>0</v>
      </c>
      <c r="BO1025" s="60"/>
      <c r="BP1025" s="61">
        <v>412627379</v>
      </c>
      <c r="BQ1025" s="61"/>
      <c r="BR1025" s="61"/>
      <c r="BS1025" s="61"/>
      <c r="BT1025" s="61"/>
      <c r="BU1025" s="61"/>
      <c r="BV1025" s="61"/>
      <c r="BW1025" s="61"/>
      <c r="BX1025" s="61"/>
      <c r="BY1025" s="61"/>
      <c r="BZ1025" s="61"/>
      <c r="CA1025" s="61"/>
      <c r="CB1025" s="61"/>
      <c r="CC1025" s="61">
        <v>0</v>
      </c>
      <c r="CD1025" s="61"/>
      <c r="CE1025" s="61"/>
      <c r="CF1025" s="61"/>
      <c r="CG1025" s="61">
        <f t="shared" si="140"/>
        <v>412627379</v>
      </c>
      <c r="CH1025" s="62"/>
      <c r="CI1025" s="62">
        <f t="shared" si="141"/>
        <v>412627379</v>
      </c>
      <c r="CJ1025" s="63">
        <f t="shared" si="142"/>
        <v>412627379</v>
      </c>
      <c r="CK1025" s="64">
        <f t="shared" si="143"/>
        <v>0</v>
      </c>
      <c r="CL1025" s="16"/>
      <c r="CM1025" s="16"/>
      <c r="CN1025" s="16"/>
    </row>
    <row r="1026" spans="1:96" ht="15" customHeight="1" x14ac:dyDescent="0.2">
      <c r="A1026" s="1">
        <v>8000511671</v>
      </c>
      <c r="B1026" s="1">
        <v>800051167</v>
      </c>
      <c r="C1026" s="9">
        <v>210919809</v>
      </c>
      <c r="D1026" s="10" t="s">
        <v>409</v>
      </c>
      <c r="E1026" s="45" t="s">
        <v>1437</v>
      </c>
      <c r="F1026" s="21"/>
      <c r="G1026" s="59"/>
      <c r="H1026" s="21"/>
      <c r="I1026" s="59"/>
      <c r="J1026" s="21"/>
      <c r="K1026" s="21"/>
      <c r="L1026" s="59"/>
      <c r="M1026" s="60"/>
      <c r="N1026" s="21"/>
      <c r="O1026" s="59"/>
      <c r="P1026" s="21"/>
      <c r="Q1026" s="59"/>
      <c r="R1026" s="21"/>
      <c r="S1026" s="21"/>
      <c r="T1026" s="59"/>
      <c r="U1026" s="60">
        <f t="shared" si="138"/>
        <v>0</v>
      </c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>
        <f>VLOOKUP(B1026,[2]Hoja3!J$3:K$674,2,0)</f>
        <v>339158512</v>
      </c>
      <c r="BB1026" s="60"/>
      <c r="BC1026" s="61">
        <f t="shared" si="139"/>
        <v>339158512</v>
      </c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>
        <v>0</v>
      </c>
      <c r="BO1026" s="60"/>
      <c r="BP1026" s="61">
        <v>339158512</v>
      </c>
      <c r="BQ1026" s="61"/>
      <c r="BR1026" s="61"/>
      <c r="BS1026" s="61"/>
      <c r="BT1026" s="61"/>
      <c r="BU1026" s="61"/>
      <c r="BV1026" s="61"/>
      <c r="BW1026" s="61"/>
      <c r="BX1026" s="61"/>
      <c r="BY1026" s="61"/>
      <c r="BZ1026" s="61"/>
      <c r="CA1026" s="61"/>
      <c r="CB1026" s="61"/>
      <c r="CC1026" s="61">
        <v>0</v>
      </c>
      <c r="CD1026" s="61"/>
      <c r="CE1026" s="61"/>
      <c r="CF1026" s="61"/>
      <c r="CG1026" s="61">
        <f t="shared" si="140"/>
        <v>339158512</v>
      </c>
      <c r="CH1026" s="62"/>
      <c r="CI1026" s="62">
        <f t="shared" si="141"/>
        <v>339158512</v>
      </c>
      <c r="CJ1026" s="63">
        <f t="shared" si="142"/>
        <v>339158512</v>
      </c>
      <c r="CK1026" s="64">
        <f t="shared" si="143"/>
        <v>0</v>
      </c>
      <c r="CL1026" s="16"/>
      <c r="CM1026" s="16"/>
      <c r="CN1026" s="16"/>
    </row>
    <row r="1027" spans="1:96" ht="15" customHeight="1" x14ac:dyDescent="0.2">
      <c r="A1027" s="1">
        <v>8000284361</v>
      </c>
      <c r="B1027" s="1">
        <v>800028436</v>
      </c>
      <c r="C1027" s="9">
        <v>210815808</v>
      </c>
      <c r="D1027" s="10" t="s">
        <v>322</v>
      </c>
      <c r="E1027" s="45" t="s">
        <v>1354</v>
      </c>
      <c r="F1027" s="21"/>
      <c r="G1027" s="59"/>
      <c r="H1027" s="21"/>
      <c r="I1027" s="59"/>
      <c r="J1027" s="21"/>
      <c r="K1027" s="21"/>
      <c r="L1027" s="59"/>
      <c r="M1027" s="60"/>
      <c r="N1027" s="21"/>
      <c r="O1027" s="59"/>
      <c r="P1027" s="21"/>
      <c r="Q1027" s="59"/>
      <c r="R1027" s="21"/>
      <c r="S1027" s="21"/>
      <c r="T1027" s="59"/>
      <c r="U1027" s="60">
        <f t="shared" ref="U1027:U1090" si="147">SUM(M1027:T1027)</f>
        <v>0</v>
      </c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>
        <v>39691467</v>
      </c>
      <c r="AN1027" s="60">
        <f>SUBTOTAL(9,AC1027:AM1027)</f>
        <v>39691467</v>
      </c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>
        <v>20080355</v>
      </c>
      <c r="AZ1027" s="60"/>
      <c r="BA1027" s="60"/>
      <c r="BB1027" s="60"/>
      <c r="BC1027" s="61">
        <f t="shared" si="139"/>
        <v>59771822</v>
      </c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>
        <v>4016071</v>
      </c>
      <c r="BO1027" s="60"/>
      <c r="BP1027" s="61">
        <v>63787893</v>
      </c>
      <c r="BQ1027" s="61"/>
      <c r="BR1027" s="61"/>
      <c r="BS1027" s="61"/>
      <c r="BT1027" s="61"/>
      <c r="BU1027" s="61"/>
      <c r="BV1027" s="61"/>
      <c r="BW1027" s="61"/>
      <c r="BX1027" s="61"/>
      <c r="BY1027" s="61"/>
      <c r="BZ1027" s="61"/>
      <c r="CA1027" s="61"/>
      <c r="CB1027" s="61"/>
      <c r="CC1027" s="61">
        <v>4016071</v>
      </c>
      <c r="CD1027" s="61"/>
      <c r="CE1027" s="61"/>
      <c r="CF1027" s="61"/>
      <c r="CG1027" s="61">
        <f t="shared" si="140"/>
        <v>67803964</v>
      </c>
      <c r="CH1027" s="62">
        <f>VLOOKUP(B1027,[1]RPTNCT049_ConsultaSaldosContabl!I$4:K$7987,3,0)</f>
        <v>28112497</v>
      </c>
      <c r="CI1027" s="62">
        <f t="shared" si="141"/>
        <v>39691467</v>
      </c>
      <c r="CJ1027" s="63">
        <f t="shared" si="142"/>
        <v>67803964</v>
      </c>
      <c r="CK1027" s="64">
        <f t="shared" si="143"/>
        <v>0</v>
      </c>
      <c r="CL1027" s="16"/>
      <c r="CM1027" s="8"/>
      <c r="CN1027" s="8"/>
      <c r="CO1027" s="8"/>
      <c r="CP1027" s="8"/>
      <c r="CQ1027" s="8"/>
      <c r="CR1027" s="8"/>
    </row>
    <row r="1028" spans="1:96" ht="15" customHeight="1" x14ac:dyDescent="0.2">
      <c r="A1028" s="1">
        <v>8000991876</v>
      </c>
      <c r="B1028" s="1">
        <v>800099187</v>
      </c>
      <c r="C1028" s="9">
        <v>211015810</v>
      </c>
      <c r="D1028" s="10" t="s">
        <v>323</v>
      </c>
      <c r="E1028" s="45" t="s">
        <v>1355</v>
      </c>
      <c r="F1028" s="21"/>
      <c r="G1028" s="59"/>
      <c r="H1028" s="21"/>
      <c r="I1028" s="59"/>
      <c r="J1028" s="21"/>
      <c r="K1028" s="21"/>
      <c r="L1028" s="59"/>
      <c r="M1028" s="60"/>
      <c r="N1028" s="21"/>
      <c r="O1028" s="59"/>
      <c r="P1028" s="21"/>
      <c r="Q1028" s="59"/>
      <c r="R1028" s="21"/>
      <c r="S1028" s="21"/>
      <c r="T1028" s="59"/>
      <c r="U1028" s="60">
        <f t="shared" si="147"/>
        <v>0</v>
      </c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>
        <f>VLOOKUP(B1028,[2]Hoja3!J$3:K$674,2,0)</f>
        <v>52747027</v>
      </c>
      <c r="BB1028" s="60"/>
      <c r="BC1028" s="61">
        <f t="shared" ref="BC1028:BC1091" si="148">SUM(AN1028:BA1028)-BB1028</f>
        <v>52747027</v>
      </c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>
        <v>0</v>
      </c>
      <c r="BO1028" s="60"/>
      <c r="BP1028" s="61">
        <v>52747027</v>
      </c>
      <c r="BQ1028" s="61"/>
      <c r="BR1028" s="61"/>
      <c r="BS1028" s="61"/>
      <c r="BT1028" s="61"/>
      <c r="BU1028" s="61"/>
      <c r="BV1028" s="61"/>
      <c r="BW1028" s="61"/>
      <c r="BX1028" s="61"/>
      <c r="BY1028" s="61"/>
      <c r="BZ1028" s="61"/>
      <c r="CA1028" s="61"/>
      <c r="CB1028" s="61"/>
      <c r="CC1028" s="61">
        <v>0</v>
      </c>
      <c r="CD1028" s="61"/>
      <c r="CE1028" s="61"/>
      <c r="CF1028" s="61"/>
      <c r="CG1028" s="61">
        <f t="shared" ref="CG1028:CG1091" si="149">SUM(BP1028:CF1028)</f>
        <v>52747027</v>
      </c>
      <c r="CH1028" s="62"/>
      <c r="CI1028" s="62">
        <f t="shared" ref="CI1028:CI1091" si="150">+AM1028+BA1028-BB1028+BO1028+CE1028+CF1028</f>
        <v>52747027</v>
      </c>
      <c r="CJ1028" s="63">
        <f t="shared" ref="CJ1028:CJ1091" si="151">+CH1028+CI1028</f>
        <v>52747027</v>
      </c>
      <c r="CK1028" s="64">
        <f t="shared" ref="CK1028:CK1091" si="152">+CG1028-CJ1028</f>
        <v>0</v>
      </c>
      <c r="CL1028" s="16"/>
      <c r="CM1028" s="8"/>
      <c r="CN1028" s="8"/>
      <c r="CO1028" s="8"/>
      <c r="CP1028" s="8"/>
      <c r="CQ1028" s="8"/>
      <c r="CR1028" s="8"/>
    </row>
    <row r="1029" spans="1:96" ht="15" customHeight="1" x14ac:dyDescent="0.2">
      <c r="A1029" s="1">
        <v>8002552139</v>
      </c>
      <c r="B1029" s="1">
        <v>800255213</v>
      </c>
      <c r="C1029" s="9">
        <v>211013810</v>
      </c>
      <c r="D1029" s="10" t="s">
        <v>212</v>
      </c>
      <c r="E1029" s="45" t="s">
        <v>1247</v>
      </c>
      <c r="F1029" s="21"/>
      <c r="G1029" s="59"/>
      <c r="H1029" s="21"/>
      <c r="I1029" s="59"/>
      <c r="J1029" s="21"/>
      <c r="K1029" s="21"/>
      <c r="L1029" s="59"/>
      <c r="M1029" s="60"/>
      <c r="N1029" s="21"/>
      <c r="O1029" s="59"/>
      <c r="P1029" s="21"/>
      <c r="Q1029" s="59"/>
      <c r="R1029" s="21"/>
      <c r="S1029" s="21"/>
      <c r="T1029" s="59"/>
      <c r="U1029" s="60">
        <f t="shared" si="147"/>
        <v>0</v>
      </c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>
        <v>58725304</v>
      </c>
      <c r="AN1029" s="60">
        <f>SUBTOTAL(9,AC1029:AM1029)</f>
        <v>58725304</v>
      </c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>
        <f>VLOOKUP(B1029,[2]Hoja3!J$3:K$674,2,0)</f>
        <v>183667868</v>
      </c>
      <c r="BB1029" s="60"/>
      <c r="BC1029" s="61">
        <f t="shared" si="148"/>
        <v>242393172</v>
      </c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>
        <v>0</v>
      </c>
      <c r="BO1029" s="60"/>
      <c r="BP1029" s="61">
        <v>242393172</v>
      </c>
      <c r="BQ1029" s="61"/>
      <c r="BR1029" s="61"/>
      <c r="BS1029" s="61"/>
      <c r="BT1029" s="61"/>
      <c r="BU1029" s="61"/>
      <c r="BV1029" s="61"/>
      <c r="BW1029" s="61"/>
      <c r="BX1029" s="61"/>
      <c r="BY1029" s="61"/>
      <c r="BZ1029" s="61"/>
      <c r="CA1029" s="61"/>
      <c r="CB1029" s="61"/>
      <c r="CC1029" s="61">
        <v>453986015</v>
      </c>
      <c r="CD1029" s="61"/>
      <c r="CE1029" s="61"/>
      <c r="CF1029" s="61"/>
      <c r="CG1029" s="61">
        <f t="shared" si="149"/>
        <v>696379187</v>
      </c>
      <c r="CH1029" s="62">
        <f>VLOOKUP(B1029,[1]RPTNCT049_ConsultaSaldosContabl!I$4:K$7987,3,0)</f>
        <v>453986015</v>
      </c>
      <c r="CI1029" s="62">
        <f t="shared" si="150"/>
        <v>242393172</v>
      </c>
      <c r="CJ1029" s="63">
        <f t="shared" si="151"/>
        <v>696379187</v>
      </c>
      <c r="CK1029" s="64">
        <f t="shared" si="152"/>
        <v>0</v>
      </c>
      <c r="CL1029" s="16"/>
      <c r="CM1029" s="8"/>
      <c r="CN1029" s="8"/>
      <c r="CO1029" s="8"/>
      <c r="CP1029" s="8"/>
      <c r="CQ1029" s="8"/>
      <c r="CR1029" s="8"/>
    </row>
    <row r="1030" spans="1:96" ht="15" customHeight="1" x14ac:dyDescent="0.2">
      <c r="A1030" s="1">
        <v>8909807817</v>
      </c>
      <c r="B1030" s="1">
        <v>890980781</v>
      </c>
      <c r="C1030" s="9">
        <v>210905809</v>
      </c>
      <c r="D1030" s="10" t="s">
        <v>147</v>
      </c>
      <c r="E1030" s="45" t="s">
        <v>1176</v>
      </c>
      <c r="F1030" s="21"/>
      <c r="G1030" s="59"/>
      <c r="H1030" s="21"/>
      <c r="I1030" s="59"/>
      <c r="J1030" s="21"/>
      <c r="K1030" s="21"/>
      <c r="L1030" s="59"/>
      <c r="M1030" s="60"/>
      <c r="N1030" s="21"/>
      <c r="O1030" s="59"/>
      <c r="P1030" s="21"/>
      <c r="Q1030" s="59"/>
      <c r="R1030" s="21"/>
      <c r="S1030" s="21"/>
      <c r="T1030" s="59"/>
      <c r="U1030" s="60">
        <f t="shared" si="147"/>
        <v>0</v>
      </c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>
        <v>40306580</v>
      </c>
      <c r="AN1030" s="60">
        <f>SUBTOTAL(9,AC1030:AM1030)</f>
        <v>40306580</v>
      </c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>
        <v>60841130</v>
      </c>
      <c r="AZ1030" s="60"/>
      <c r="BA1030" s="60">
        <f>VLOOKUP(B1030,[2]Hoja3!J$3:K$674,2,0)</f>
        <v>80758620</v>
      </c>
      <c r="BB1030" s="60"/>
      <c r="BC1030" s="61">
        <f t="shared" si="148"/>
        <v>181906330</v>
      </c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>
        <v>12168226</v>
      </c>
      <c r="BO1030" s="60"/>
      <c r="BP1030" s="61">
        <v>194074556</v>
      </c>
      <c r="BQ1030" s="61"/>
      <c r="BR1030" s="61"/>
      <c r="BS1030" s="61"/>
      <c r="BT1030" s="61"/>
      <c r="BU1030" s="61"/>
      <c r="BV1030" s="61"/>
      <c r="BW1030" s="61"/>
      <c r="BX1030" s="61"/>
      <c r="BY1030" s="61"/>
      <c r="BZ1030" s="61"/>
      <c r="CA1030" s="61"/>
      <c r="CB1030" s="61"/>
      <c r="CC1030" s="61">
        <v>12168226</v>
      </c>
      <c r="CD1030" s="61"/>
      <c r="CE1030" s="61"/>
      <c r="CF1030" s="61"/>
      <c r="CG1030" s="61">
        <f t="shared" si="149"/>
        <v>206242782</v>
      </c>
      <c r="CH1030" s="62">
        <f>VLOOKUP(B1030,[1]RPTNCT049_ConsultaSaldosContabl!I$4:K$7987,3,0)</f>
        <v>85177582</v>
      </c>
      <c r="CI1030" s="62">
        <f t="shared" si="150"/>
        <v>121065200</v>
      </c>
      <c r="CJ1030" s="63">
        <f t="shared" si="151"/>
        <v>206242782</v>
      </c>
      <c r="CK1030" s="64">
        <f t="shared" si="152"/>
        <v>0</v>
      </c>
      <c r="CL1030" s="16"/>
      <c r="CM1030" s="16"/>
      <c r="CN1030" s="16"/>
    </row>
    <row r="1031" spans="1:96" ht="15" customHeight="1" x14ac:dyDescent="0.2">
      <c r="A1031" s="1">
        <v>8000996426</v>
      </c>
      <c r="B1031" s="1">
        <v>800099642</v>
      </c>
      <c r="C1031" s="9">
        <v>211415814</v>
      </c>
      <c r="D1031" s="10" t="s">
        <v>324</v>
      </c>
      <c r="E1031" s="45" t="s">
        <v>1354</v>
      </c>
      <c r="F1031" s="21"/>
      <c r="G1031" s="59"/>
      <c r="H1031" s="21"/>
      <c r="I1031" s="59"/>
      <c r="J1031" s="21"/>
      <c r="K1031" s="21"/>
      <c r="L1031" s="59"/>
      <c r="M1031" s="60"/>
      <c r="N1031" s="21"/>
      <c r="O1031" s="59"/>
      <c r="P1031" s="21"/>
      <c r="Q1031" s="59"/>
      <c r="R1031" s="21"/>
      <c r="S1031" s="21"/>
      <c r="T1031" s="59"/>
      <c r="U1031" s="60">
        <f t="shared" si="147"/>
        <v>0</v>
      </c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>
        <v>78060280</v>
      </c>
      <c r="AZ1031" s="60"/>
      <c r="BA1031" s="60">
        <f>VLOOKUP(B1031,[2]Hoja3!J$3:K$674,2,0)</f>
        <v>166919017</v>
      </c>
      <c r="BB1031" s="60"/>
      <c r="BC1031" s="61">
        <f t="shared" si="148"/>
        <v>244979297</v>
      </c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>
        <v>15612056</v>
      </c>
      <c r="BO1031" s="60"/>
      <c r="BP1031" s="61">
        <v>260591353</v>
      </c>
      <c r="BQ1031" s="61"/>
      <c r="BR1031" s="61"/>
      <c r="BS1031" s="61"/>
      <c r="BT1031" s="61"/>
      <c r="BU1031" s="61"/>
      <c r="BV1031" s="61"/>
      <c r="BW1031" s="61"/>
      <c r="BX1031" s="61"/>
      <c r="BY1031" s="61"/>
      <c r="BZ1031" s="61"/>
      <c r="CA1031" s="61"/>
      <c r="CB1031" s="61"/>
      <c r="CC1031" s="61">
        <v>15612056</v>
      </c>
      <c r="CD1031" s="61"/>
      <c r="CE1031" s="61"/>
      <c r="CF1031" s="61"/>
      <c r="CG1031" s="61">
        <f t="shared" si="149"/>
        <v>276203409</v>
      </c>
      <c r="CH1031" s="62">
        <f>VLOOKUP(B1031,[1]RPTNCT049_ConsultaSaldosContabl!I$4:K$7987,3,0)</f>
        <v>109284392</v>
      </c>
      <c r="CI1031" s="62">
        <f t="shared" si="150"/>
        <v>166919017</v>
      </c>
      <c r="CJ1031" s="63">
        <f t="shared" si="151"/>
        <v>276203409</v>
      </c>
      <c r="CK1031" s="64">
        <f t="shared" si="152"/>
        <v>0</v>
      </c>
      <c r="CL1031" s="16"/>
      <c r="CM1031" s="8"/>
      <c r="CN1031" s="8"/>
      <c r="CO1031" s="8"/>
      <c r="CP1031" s="8"/>
      <c r="CQ1031" s="8"/>
      <c r="CR1031" s="8"/>
    </row>
    <row r="1032" spans="1:96" ht="15" customHeight="1" x14ac:dyDescent="0.2">
      <c r="A1032" s="1">
        <v>8000934391</v>
      </c>
      <c r="B1032" s="1">
        <v>800093439</v>
      </c>
      <c r="C1032" s="9">
        <v>211525815</v>
      </c>
      <c r="D1032" s="10" t="s">
        <v>551</v>
      </c>
      <c r="E1032" s="45" t="s">
        <v>1574</v>
      </c>
      <c r="F1032" s="21"/>
      <c r="G1032" s="59"/>
      <c r="H1032" s="21"/>
      <c r="I1032" s="59"/>
      <c r="J1032" s="21"/>
      <c r="K1032" s="21"/>
      <c r="L1032" s="59"/>
      <c r="M1032" s="60"/>
      <c r="N1032" s="21"/>
      <c r="O1032" s="59"/>
      <c r="P1032" s="21"/>
      <c r="Q1032" s="59"/>
      <c r="R1032" s="21"/>
      <c r="S1032" s="21"/>
      <c r="T1032" s="59"/>
      <c r="U1032" s="60">
        <f t="shared" si="147"/>
        <v>0</v>
      </c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>
        <v>174624199</v>
      </c>
      <c r="AN1032" s="60">
        <f>SUBTOTAL(9,AC1032:AM1032)</f>
        <v>174624199</v>
      </c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>
        <v>95453485</v>
      </c>
      <c r="AZ1032" s="60"/>
      <c r="BA1032" s="60"/>
      <c r="BB1032" s="60"/>
      <c r="BC1032" s="61">
        <f t="shared" si="148"/>
        <v>270077684</v>
      </c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>
        <v>19090697</v>
      </c>
      <c r="BO1032" s="60"/>
      <c r="BP1032" s="61">
        <v>289168381</v>
      </c>
      <c r="BQ1032" s="61"/>
      <c r="BR1032" s="61"/>
      <c r="BS1032" s="61"/>
      <c r="BT1032" s="61"/>
      <c r="BU1032" s="61"/>
      <c r="BV1032" s="61"/>
      <c r="BW1032" s="61"/>
      <c r="BX1032" s="61"/>
      <c r="BY1032" s="61"/>
      <c r="BZ1032" s="61"/>
      <c r="CA1032" s="61"/>
      <c r="CB1032" s="61"/>
      <c r="CC1032" s="61">
        <v>19090697</v>
      </c>
      <c r="CD1032" s="61"/>
      <c r="CE1032" s="61"/>
      <c r="CF1032" s="61"/>
      <c r="CG1032" s="61">
        <f t="shared" si="149"/>
        <v>308259078</v>
      </c>
      <c r="CH1032" s="62">
        <f>VLOOKUP(B1032,[1]RPTNCT049_ConsultaSaldosContabl!I$4:K$7987,3,0)</f>
        <v>133634879</v>
      </c>
      <c r="CI1032" s="62">
        <f t="shared" si="150"/>
        <v>174624199</v>
      </c>
      <c r="CJ1032" s="63">
        <f t="shared" si="151"/>
        <v>308259078</v>
      </c>
      <c r="CK1032" s="64">
        <f t="shared" si="152"/>
        <v>0</v>
      </c>
      <c r="CL1032" s="16"/>
      <c r="CM1032" s="16"/>
      <c r="CN1032" s="16"/>
    </row>
    <row r="1033" spans="1:96" ht="15" customHeight="1" x14ac:dyDescent="0.2">
      <c r="A1033" s="1">
        <v>8999994288</v>
      </c>
      <c r="B1033" s="1">
        <v>899999428</v>
      </c>
      <c r="C1033" s="9">
        <v>211725817</v>
      </c>
      <c r="D1033" s="10" t="s">
        <v>552</v>
      </c>
      <c r="E1033" s="45" t="s">
        <v>1575</v>
      </c>
      <c r="F1033" s="21"/>
      <c r="G1033" s="59"/>
      <c r="H1033" s="21"/>
      <c r="I1033" s="59"/>
      <c r="J1033" s="21"/>
      <c r="K1033" s="21"/>
      <c r="L1033" s="59"/>
      <c r="M1033" s="60"/>
      <c r="N1033" s="21"/>
      <c r="O1033" s="59"/>
      <c r="P1033" s="21"/>
      <c r="Q1033" s="59"/>
      <c r="R1033" s="21"/>
      <c r="S1033" s="21"/>
      <c r="T1033" s="59"/>
      <c r="U1033" s="60">
        <f t="shared" si="147"/>
        <v>0</v>
      </c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>
        <v>598352250</v>
      </c>
      <c r="AN1033" s="60">
        <f>SUBTOTAL(9,AC1033:AM1033)</f>
        <v>598352250</v>
      </c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>
        <v>182348785</v>
      </c>
      <c r="AZ1033" s="60"/>
      <c r="BA1033" s="60"/>
      <c r="BB1033" s="60"/>
      <c r="BC1033" s="61">
        <f t="shared" si="148"/>
        <v>780701035</v>
      </c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>
        <v>36469757</v>
      </c>
      <c r="BO1033" s="60"/>
      <c r="BP1033" s="61">
        <v>817170792</v>
      </c>
      <c r="BQ1033" s="61"/>
      <c r="BR1033" s="61"/>
      <c r="BS1033" s="61"/>
      <c r="BT1033" s="61"/>
      <c r="BU1033" s="61"/>
      <c r="BV1033" s="61"/>
      <c r="BW1033" s="61"/>
      <c r="BX1033" s="61"/>
      <c r="BY1033" s="61"/>
      <c r="BZ1033" s="61"/>
      <c r="CA1033" s="61"/>
      <c r="CB1033" s="61"/>
      <c r="CC1033" s="61">
        <v>36469757</v>
      </c>
      <c r="CD1033" s="61"/>
      <c r="CE1033" s="61"/>
      <c r="CF1033" s="61"/>
      <c r="CG1033" s="61">
        <f t="shared" si="149"/>
        <v>853640549</v>
      </c>
      <c r="CH1033" s="62">
        <f>VLOOKUP(B1033,[1]RPTNCT049_ConsultaSaldosContabl!I$4:K$7987,3,0)</f>
        <v>255288299</v>
      </c>
      <c r="CI1033" s="62">
        <f t="shared" si="150"/>
        <v>598352250</v>
      </c>
      <c r="CJ1033" s="63">
        <f t="shared" si="151"/>
        <v>853640549</v>
      </c>
      <c r="CK1033" s="64">
        <f t="shared" si="152"/>
        <v>0</v>
      </c>
      <c r="CL1033" s="16"/>
      <c r="CM1033" s="16"/>
      <c r="CN1033" s="16"/>
    </row>
    <row r="1034" spans="1:96" ht="15" customHeight="1" x14ac:dyDescent="0.2">
      <c r="A1034" s="1">
        <v>8000622559</v>
      </c>
      <c r="B1034" s="1">
        <v>800062255</v>
      </c>
      <c r="C1034" s="9">
        <v>211615816</v>
      </c>
      <c r="D1034" s="10" t="s">
        <v>325</v>
      </c>
      <c r="E1034" s="45" t="s">
        <v>1356</v>
      </c>
      <c r="F1034" s="21"/>
      <c r="G1034" s="59"/>
      <c r="H1034" s="21"/>
      <c r="I1034" s="59"/>
      <c r="J1034" s="21"/>
      <c r="K1034" s="21"/>
      <c r="L1034" s="59"/>
      <c r="M1034" s="60"/>
      <c r="N1034" s="21"/>
      <c r="O1034" s="59"/>
      <c r="P1034" s="21"/>
      <c r="Q1034" s="59"/>
      <c r="R1034" s="21"/>
      <c r="S1034" s="21"/>
      <c r="T1034" s="59"/>
      <c r="U1034" s="60">
        <f t="shared" si="147"/>
        <v>0</v>
      </c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>
        <v>38725305</v>
      </c>
      <c r="AZ1034" s="60"/>
      <c r="BA1034" s="60">
        <f>VLOOKUP(B1034,[2]Hoja3!J$3:K$674,2,0)</f>
        <v>76433862</v>
      </c>
      <c r="BB1034" s="60"/>
      <c r="BC1034" s="61">
        <f t="shared" si="148"/>
        <v>115159167</v>
      </c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>
        <v>7745061</v>
      </c>
      <c r="BO1034" s="60"/>
      <c r="BP1034" s="61">
        <v>122904228</v>
      </c>
      <c r="BQ1034" s="61"/>
      <c r="BR1034" s="61"/>
      <c r="BS1034" s="61"/>
      <c r="BT1034" s="61"/>
      <c r="BU1034" s="61"/>
      <c r="BV1034" s="61"/>
      <c r="BW1034" s="61"/>
      <c r="BX1034" s="61"/>
      <c r="BY1034" s="61"/>
      <c r="BZ1034" s="61"/>
      <c r="CA1034" s="61"/>
      <c r="CB1034" s="61"/>
      <c r="CC1034" s="61">
        <v>7745061</v>
      </c>
      <c r="CD1034" s="61"/>
      <c r="CE1034" s="61"/>
      <c r="CF1034" s="61"/>
      <c r="CG1034" s="61">
        <f t="shared" si="149"/>
        <v>130649289</v>
      </c>
      <c r="CH1034" s="62">
        <f>VLOOKUP(B1034,[1]RPTNCT049_ConsultaSaldosContabl!I$4:K$7987,3,0)</f>
        <v>54215427</v>
      </c>
      <c r="CI1034" s="62">
        <f t="shared" si="150"/>
        <v>76433862</v>
      </c>
      <c r="CJ1034" s="63">
        <f t="shared" si="151"/>
        <v>130649289</v>
      </c>
      <c r="CK1034" s="64">
        <f t="shared" si="152"/>
        <v>0</v>
      </c>
      <c r="CL1034" s="16"/>
      <c r="CM1034" s="8"/>
      <c r="CN1034" s="8"/>
      <c r="CO1034" s="8"/>
      <c r="CP1034" s="8"/>
      <c r="CQ1034" s="8"/>
      <c r="CR1034" s="8"/>
    </row>
    <row r="1035" spans="1:96" ht="15" customHeight="1" x14ac:dyDescent="0.2">
      <c r="A1035" s="1">
        <v>8909813675</v>
      </c>
      <c r="B1035" s="1">
        <v>890981367</v>
      </c>
      <c r="C1035" s="9">
        <v>211905819</v>
      </c>
      <c r="D1035" s="10" t="s">
        <v>148</v>
      </c>
      <c r="E1035" s="45" t="s">
        <v>1177</v>
      </c>
      <c r="F1035" s="21"/>
      <c r="G1035" s="59"/>
      <c r="H1035" s="21"/>
      <c r="I1035" s="59"/>
      <c r="J1035" s="21"/>
      <c r="K1035" s="21"/>
      <c r="L1035" s="59"/>
      <c r="M1035" s="60"/>
      <c r="N1035" s="21"/>
      <c r="O1035" s="59"/>
      <c r="P1035" s="21"/>
      <c r="Q1035" s="59"/>
      <c r="R1035" s="21"/>
      <c r="S1035" s="21"/>
      <c r="T1035" s="59"/>
      <c r="U1035" s="60">
        <f t="shared" si="147"/>
        <v>0</v>
      </c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>
        <v>47427420</v>
      </c>
      <c r="AZ1035" s="60"/>
      <c r="BA1035" s="60">
        <f>VLOOKUP(B1035,[2]Hoja3!J$3:K$674,2,0)</f>
        <v>95982757</v>
      </c>
      <c r="BB1035" s="60"/>
      <c r="BC1035" s="61">
        <f t="shared" si="148"/>
        <v>143410177</v>
      </c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>
        <v>9485484</v>
      </c>
      <c r="BO1035" s="60"/>
      <c r="BP1035" s="61">
        <v>152895661</v>
      </c>
      <c r="BQ1035" s="61"/>
      <c r="BR1035" s="61"/>
      <c r="BS1035" s="61"/>
      <c r="BT1035" s="61"/>
      <c r="BU1035" s="61"/>
      <c r="BV1035" s="61"/>
      <c r="BW1035" s="61"/>
      <c r="BX1035" s="61"/>
      <c r="BY1035" s="61"/>
      <c r="BZ1035" s="61"/>
      <c r="CA1035" s="61"/>
      <c r="CB1035" s="61"/>
      <c r="CC1035" s="61">
        <v>9485484</v>
      </c>
      <c r="CD1035" s="61"/>
      <c r="CE1035" s="61"/>
      <c r="CF1035" s="61"/>
      <c r="CG1035" s="61">
        <f t="shared" si="149"/>
        <v>162381145</v>
      </c>
      <c r="CH1035" s="62">
        <f>VLOOKUP(B1035,[1]RPTNCT049_ConsultaSaldosContabl!I$4:K$7987,3,0)</f>
        <v>66398388</v>
      </c>
      <c r="CI1035" s="62">
        <f t="shared" si="150"/>
        <v>95982757</v>
      </c>
      <c r="CJ1035" s="63">
        <f t="shared" si="151"/>
        <v>162381145</v>
      </c>
      <c r="CK1035" s="64">
        <f t="shared" si="152"/>
        <v>0</v>
      </c>
      <c r="CL1035" s="16"/>
      <c r="CM1035" s="16"/>
      <c r="CN1035" s="16"/>
    </row>
    <row r="1036" spans="1:96" ht="15" customHeight="1" x14ac:dyDescent="0.2">
      <c r="A1036" s="1">
        <v>8905013620</v>
      </c>
      <c r="B1036" s="1">
        <v>890501362</v>
      </c>
      <c r="C1036" s="9">
        <v>212054820</v>
      </c>
      <c r="D1036" s="10" t="s">
        <v>787</v>
      </c>
      <c r="E1036" s="45" t="s">
        <v>1803</v>
      </c>
      <c r="F1036" s="21"/>
      <c r="G1036" s="59"/>
      <c r="H1036" s="21"/>
      <c r="I1036" s="59"/>
      <c r="J1036" s="21"/>
      <c r="K1036" s="21"/>
      <c r="L1036" s="59"/>
      <c r="M1036" s="60"/>
      <c r="N1036" s="21"/>
      <c r="O1036" s="59"/>
      <c r="P1036" s="21"/>
      <c r="Q1036" s="59"/>
      <c r="R1036" s="21"/>
      <c r="S1036" s="21"/>
      <c r="T1036" s="59"/>
      <c r="U1036" s="60">
        <f t="shared" si="147"/>
        <v>0</v>
      </c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>
        <v>131794520</v>
      </c>
      <c r="AZ1036" s="60"/>
      <c r="BA1036" s="60">
        <f>VLOOKUP(B1036,[2]Hoja3!J$3:K$674,2,0)</f>
        <v>273082180</v>
      </c>
      <c r="BB1036" s="60"/>
      <c r="BC1036" s="61">
        <f t="shared" si="148"/>
        <v>404876700</v>
      </c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>
        <v>26358904</v>
      </c>
      <c r="BO1036" s="60"/>
      <c r="BP1036" s="61">
        <v>431235604</v>
      </c>
      <c r="BQ1036" s="61"/>
      <c r="BR1036" s="61"/>
      <c r="BS1036" s="61"/>
      <c r="BT1036" s="61"/>
      <c r="BU1036" s="61"/>
      <c r="BV1036" s="61"/>
      <c r="BW1036" s="61"/>
      <c r="BX1036" s="61"/>
      <c r="BY1036" s="61"/>
      <c r="BZ1036" s="61"/>
      <c r="CA1036" s="61"/>
      <c r="CB1036" s="61"/>
      <c r="CC1036" s="61">
        <v>26358904</v>
      </c>
      <c r="CD1036" s="61"/>
      <c r="CE1036" s="61"/>
      <c r="CF1036" s="61"/>
      <c r="CG1036" s="61">
        <f t="shared" si="149"/>
        <v>457594508</v>
      </c>
      <c r="CH1036" s="62">
        <f>VLOOKUP(B1036,[1]RPTNCT049_ConsultaSaldosContabl!I$4:K$7987,3,0)</f>
        <v>184512328</v>
      </c>
      <c r="CI1036" s="62">
        <f t="shared" si="150"/>
        <v>273082180</v>
      </c>
      <c r="CJ1036" s="63">
        <f t="shared" si="151"/>
        <v>457594508</v>
      </c>
      <c r="CK1036" s="64">
        <f t="shared" si="152"/>
        <v>0</v>
      </c>
      <c r="CL1036" s="16"/>
      <c r="CM1036" s="8"/>
      <c r="CN1036" s="8"/>
      <c r="CO1036" s="8"/>
      <c r="CP1036" s="8"/>
      <c r="CQ1036" s="8"/>
      <c r="CR1036" s="8"/>
    </row>
    <row r="1037" spans="1:96" ht="15" customHeight="1" x14ac:dyDescent="0.2">
      <c r="A1037" s="1">
        <v>8922008397</v>
      </c>
      <c r="B1037" s="1">
        <v>892200839</v>
      </c>
      <c r="C1037" s="9">
        <v>212070820</v>
      </c>
      <c r="D1037" s="10" t="s">
        <v>910</v>
      </c>
      <c r="E1037" s="45" t="s">
        <v>1926</v>
      </c>
      <c r="F1037" s="21"/>
      <c r="G1037" s="59"/>
      <c r="H1037" s="21"/>
      <c r="I1037" s="59"/>
      <c r="J1037" s="21"/>
      <c r="K1037" s="21"/>
      <c r="L1037" s="59"/>
      <c r="M1037" s="60"/>
      <c r="N1037" s="21"/>
      <c r="O1037" s="59"/>
      <c r="P1037" s="21"/>
      <c r="Q1037" s="59"/>
      <c r="R1037" s="21"/>
      <c r="S1037" s="21"/>
      <c r="T1037" s="59"/>
      <c r="U1037" s="60">
        <f t="shared" si="147"/>
        <v>0</v>
      </c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>
        <v>24755854</v>
      </c>
      <c r="AN1037" s="60">
        <f>SUBTOTAL(9,AC1037:AM1037)</f>
        <v>24755854</v>
      </c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>
        <v>232946955</v>
      </c>
      <c r="AZ1037" s="60"/>
      <c r="BA1037" s="60">
        <f>VLOOKUP(B1037,[2]Hoja3!J$3:K$674,2,0)</f>
        <v>460456134</v>
      </c>
      <c r="BB1037" s="60"/>
      <c r="BC1037" s="61">
        <f t="shared" si="148"/>
        <v>718158943</v>
      </c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>
        <v>46589391</v>
      </c>
      <c r="BO1037" s="60"/>
      <c r="BP1037" s="61">
        <v>764748334</v>
      </c>
      <c r="BQ1037" s="61"/>
      <c r="BR1037" s="61"/>
      <c r="BS1037" s="61"/>
      <c r="BT1037" s="61"/>
      <c r="BU1037" s="61"/>
      <c r="BV1037" s="61"/>
      <c r="BW1037" s="61"/>
      <c r="BX1037" s="61"/>
      <c r="BY1037" s="61"/>
      <c r="BZ1037" s="61"/>
      <c r="CA1037" s="61"/>
      <c r="CB1037" s="61"/>
      <c r="CC1037" s="61">
        <v>46589391</v>
      </c>
      <c r="CD1037" s="61"/>
      <c r="CE1037" s="61"/>
      <c r="CF1037" s="61"/>
      <c r="CG1037" s="61">
        <f t="shared" si="149"/>
        <v>811337725</v>
      </c>
      <c r="CH1037" s="62">
        <f>VLOOKUP(B1037,[1]RPTNCT049_ConsultaSaldosContabl!I$4:K$7987,3,0)</f>
        <v>326125737</v>
      </c>
      <c r="CI1037" s="62">
        <f t="shared" si="150"/>
        <v>485211988</v>
      </c>
      <c r="CJ1037" s="63">
        <f t="shared" si="151"/>
        <v>811337725</v>
      </c>
      <c r="CK1037" s="64">
        <f t="shared" si="152"/>
        <v>0</v>
      </c>
      <c r="CL1037" s="16"/>
      <c r="CM1037" s="16"/>
      <c r="CN1037" s="16"/>
    </row>
    <row r="1038" spans="1:96" ht="15" customHeight="1" x14ac:dyDescent="0.2">
      <c r="A1038" s="1">
        <v>8001007514</v>
      </c>
      <c r="B1038" s="1">
        <v>800100751</v>
      </c>
      <c r="C1038" s="9">
        <v>212370823</v>
      </c>
      <c r="D1038" s="10" t="s">
        <v>911</v>
      </c>
      <c r="E1038" s="45" t="s">
        <v>1927</v>
      </c>
      <c r="F1038" s="21"/>
      <c r="G1038" s="59"/>
      <c r="H1038" s="21"/>
      <c r="I1038" s="59"/>
      <c r="J1038" s="21"/>
      <c r="K1038" s="21"/>
      <c r="L1038" s="59"/>
      <c r="M1038" s="60"/>
      <c r="N1038" s="21"/>
      <c r="O1038" s="59"/>
      <c r="P1038" s="21"/>
      <c r="Q1038" s="59"/>
      <c r="R1038" s="21"/>
      <c r="S1038" s="21"/>
      <c r="T1038" s="59"/>
      <c r="U1038" s="60">
        <f t="shared" si="147"/>
        <v>0</v>
      </c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>
        <v>44568000</v>
      </c>
      <c r="AN1038" s="60">
        <f>SUBTOTAL(9,AC1038:AM1038)</f>
        <v>44568000</v>
      </c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>
        <f>VLOOKUP(B1038,[2]Hoja3!J$3:K$674,2,0)</f>
        <v>355870404</v>
      </c>
      <c r="BB1038" s="60"/>
      <c r="BC1038" s="61">
        <f t="shared" si="148"/>
        <v>400438404</v>
      </c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>
        <v>38252845</v>
      </c>
      <c r="BO1038" s="60"/>
      <c r="BP1038" s="61">
        <v>438691249</v>
      </c>
      <c r="BQ1038" s="61"/>
      <c r="BR1038" s="61"/>
      <c r="BS1038" s="61"/>
      <c r="BT1038" s="61"/>
      <c r="BU1038" s="61"/>
      <c r="BV1038" s="61"/>
      <c r="BW1038" s="61"/>
      <c r="BX1038" s="61"/>
      <c r="BY1038" s="61"/>
      <c r="BZ1038" s="61"/>
      <c r="CA1038" s="61"/>
      <c r="CB1038" s="61"/>
      <c r="CC1038" s="61">
        <v>38252845</v>
      </c>
      <c r="CD1038" s="61">
        <v>191264225</v>
      </c>
      <c r="CE1038" s="61"/>
      <c r="CF1038" s="61"/>
      <c r="CG1038" s="61">
        <f t="shared" si="149"/>
        <v>668208319</v>
      </c>
      <c r="CH1038" s="62">
        <f>VLOOKUP(B1038,[1]RPTNCT049_ConsultaSaldosContabl!I$4:K$7987,3,0)</f>
        <v>267769915</v>
      </c>
      <c r="CI1038" s="62">
        <f t="shared" si="150"/>
        <v>400438404</v>
      </c>
      <c r="CJ1038" s="63">
        <f t="shared" si="151"/>
        <v>668208319</v>
      </c>
      <c r="CK1038" s="64">
        <f t="shared" si="152"/>
        <v>0</v>
      </c>
      <c r="CL1038" s="16"/>
      <c r="CM1038" s="16"/>
      <c r="CN1038" s="16"/>
    </row>
    <row r="1039" spans="1:96" ht="15" customHeight="1" x14ac:dyDescent="0.2">
      <c r="A1039" s="1">
        <v>8902055818</v>
      </c>
      <c r="B1039" s="1">
        <v>890205581</v>
      </c>
      <c r="C1039" s="9">
        <v>212068820</v>
      </c>
      <c r="D1039" s="10" t="s">
        <v>885</v>
      </c>
      <c r="E1039" s="45" t="s">
        <v>1898</v>
      </c>
      <c r="F1039" s="21"/>
      <c r="G1039" s="59"/>
      <c r="H1039" s="21"/>
      <c r="I1039" s="59"/>
      <c r="J1039" s="21"/>
      <c r="K1039" s="21"/>
      <c r="L1039" s="59"/>
      <c r="M1039" s="60"/>
      <c r="N1039" s="21"/>
      <c r="O1039" s="59"/>
      <c r="P1039" s="21"/>
      <c r="Q1039" s="59"/>
      <c r="R1039" s="21"/>
      <c r="S1039" s="21"/>
      <c r="T1039" s="59"/>
      <c r="U1039" s="60">
        <f t="shared" si="147"/>
        <v>0</v>
      </c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>
        <v>78581023</v>
      </c>
      <c r="AN1039" s="60">
        <f>SUBTOTAL(9,AC1039:AM1039)</f>
        <v>78581023</v>
      </c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>
        <v>36955715</v>
      </c>
      <c r="AZ1039" s="60"/>
      <c r="BA1039" s="60">
        <f>VLOOKUP(B1039,[2]Hoja3!J$3:K$674,2,0)</f>
        <v>27277882</v>
      </c>
      <c r="BB1039" s="60"/>
      <c r="BC1039" s="61">
        <f t="shared" si="148"/>
        <v>142814620</v>
      </c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>
        <v>7391143</v>
      </c>
      <c r="BO1039" s="60"/>
      <c r="BP1039" s="61">
        <v>150205763</v>
      </c>
      <c r="BQ1039" s="61"/>
      <c r="BR1039" s="61"/>
      <c r="BS1039" s="61"/>
      <c r="BT1039" s="61"/>
      <c r="BU1039" s="61"/>
      <c r="BV1039" s="61"/>
      <c r="BW1039" s="61"/>
      <c r="BX1039" s="61"/>
      <c r="BY1039" s="61"/>
      <c r="BZ1039" s="61"/>
      <c r="CA1039" s="61"/>
      <c r="CB1039" s="61"/>
      <c r="CC1039" s="61">
        <v>7391143</v>
      </c>
      <c r="CD1039" s="61"/>
      <c r="CE1039" s="61"/>
      <c r="CF1039" s="61"/>
      <c r="CG1039" s="61">
        <f t="shared" si="149"/>
        <v>157596906</v>
      </c>
      <c r="CH1039" s="62">
        <f>VLOOKUP(B1039,[1]RPTNCT049_ConsultaSaldosContabl!I$4:K$7987,3,0)</f>
        <v>51738001</v>
      </c>
      <c r="CI1039" s="62">
        <f t="shared" si="150"/>
        <v>105858905</v>
      </c>
      <c r="CJ1039" s="63">
        <f t="shared" si="151"/>
        <v>157596906</v>
      </c>
      <c r="CK1039" s="64">
        <f t="shared" si="152"/>
        <v>0</v>
      </c>
      <c r="CL1039" s="16"/>
      <c r="CM1039" s="16"/>
      <c r="CN1039" s="16"/>
    </row>
    <row r="1040" spans="1:96" ht="15" customHeight="1" x14ac:dyDescent="0.2">
      <c r="A1040" s="1">
        <v>8918566251</v>
      </c>
      <c r="B1040" s="1">
        <v>891856625</v>
      </c>
      <c r="C1040" s="9">
        <v>212015820</v>
      </c>
      <c r="D1040" s="10" t="s">
        <v>326</v>
      </c>
      <c r="E1040" s="45" t="s">
        <v>1357</v>
      </c>
      <c r="F1040" s="21"/>
      <c r="G1040" s="59"/>
      <c r="H1040" s="21"/>
      <c r="I1040" s="59"/>
      <c r="J1040" s="21"/>
      <c r="K1040" s="21"/>
      <c r="L1040" s="59"/>
      <c r="M1040" s="60"/>
      <c r="N1040" s="21"/>
      <c r="O1040" s="59"/>
      <c r="P1040" s="21"/>
      <c r="Q1040" s="59"/>
      <c r="R1040" s="21"/>
      <c r="S1040" s="21"/>
      <c r="T1040" s="59"/>
      <c r="U1040" s="60">
        <f t="shared" si="147"/>
        <v>0</v>
      </c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>
        <v>27093615</v>
      </c>
      <c r="AZ1040" s="60"/>
      <c r="BA1040" s="60">
        <f>VLOOKUP(B1040,[2]Hoja3!J$3:K$674,2,0)</f>
        <v>56720917</v>
      </c>
      <c r="BB1040" s="60"/>
      <c r="BC1040" s="61">
        <f t="shared" si="148"/>
        <v>83814532</v>
      </c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>
        <v>5418723</v>
      </c>
      <c r="BO1040" s="60"/>
      <c r="BP1040" s="61">
        <v>89233255</v>
      </c>
      <c r="BQ1040" s="61"/>
      <c r="BR1040" s="61"/>
      <c r="BS1040" s="61"/>
      <c r="BT1040" s="61"/>
      <c r="BU1040" s="61"/>
      <c r="BV1040" s="61"/>
      <c r="BW1040" s="61"/>
      <c r="BX1040" s="61"/>
      <c r="BY1040" s="61"/>
      <c r="BZ1040" s="61"/>
      <c r="CA1040" s="61"/>
      <c r="CB1040" s="61"/>
      <c r="CC1040" s="61">
        <v>5418723</v>
      </c>
      <c r="CD1040" s="61"/>
      <c r="CE1040" s="61"/>
      <c r="CF1040" s="61"/>
      <c r="CG1040" s="61">
        <f t="shared" si="149"/>
        <v>94651978</v>
      </c>
      <c r="CH1040" s="62">
        <f>VLOOKUP(B1040,[1]RPTNCT049_ConsultaSaldosContabl!I$4:K$7987,3,0)</f>
        <v>37931061</v>
      </c>
      <c r="CI1040" s="62">
        <f t="shared" si="150"/>
        <v>56720917</v>
      </c>
      <c r="CJ1040" s="63">
        <f t="shared" si="151"/>
        <v>94651978</v>
      </c>
      <c r="CK1040" s="64">
        <f t="shared" si="152"/>
        <v>0</v>
      </c>
      <c r="CL1040" s="16"/>
      <c r="CM1040" s="8"/>
      <c r="CN1040" s="8"/>
      <c r="CO1040" s="8"/>
      <c r="CP1040" s="8"/>
      <c r="CQ1040" s="8"/>
      <c r="CR1040" s="8"/>
    </row>
    <row r="1041" spans="1:96" ht="15" customHeight="1" x14ac:dyDescent="0.2">
      <c r="A1041" s="1">
        <v>8000727158</v>
      </c>
      <c r="B1041" s="1">
        <v>800072715</v>
      </c>
      <c r="C1041" s="9">
        <v>212325823</v>
      </c>
      <c r="D1041" s="10" t="s">
        <v>553</v>
      </c>
      <c r="E1041" s="45" t="s">
        <v>1576</v>
      </c>
      <c r="F1041" s="21"/>
      <c r="G1041" s="59"/>
      <c r="H1041" s="21"/>
      <c r="I1041" s="59"/>
      <c r="J1041" s="21"/>
      <c r="K1041" s="21"/>
      <c r="L1041" s="59"/>
      <c r="M1041" s="60"/>
      <c r="N1041" s="21"/>
      <c r="O1041" s="59"/>
      <c r="P1041" s="21"/>
      <c r="Q1041" s="59"/>
      <c r="R1041" s="21"/>
      <c r="S1041" s="21"/>
      <c r="T1041" s="59"/>
      <c r="U1041" s="60">
        <f t="shared" si="147"/>
        <v>0</v>
      </c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>
        <v>65911408</v>
      </c>
      <c r="AN1041" s="60">
        <f>SUBTOTAL(9,AC1041:AM1041)</f>
        <v>65911408</v>
      </c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1">
        <f t="shared" si="148"/>
        <v>65911408</v>
      </c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>
        <v>0</v>
      </c>
      <c r="BO1041" s="60"/>
      <c r="BP1041" s="61">
        <v>65911408</v>
      </c>
      <c r="BQ1041" s="61"/>
      <c r="BR1041" s="61"/>
      <c r="BS1041" s="61"/>
      <c r="BT1041" s="61"/>
      <c r="BU1041" s="61"/>
      <c r="BV1041" s="61"/>
      <c r="BW1041" s="61"/>
      <c r="BX1041" s="61"/>
      <c r="BY1041" s="61"/>
      <c r="BZ1041" s="61"/>
      <c r="CA1041" s="61"/>
      <c r="CB1041" s="61"/>
      <c r="CC1041" s="61">
        <v>0</v>
      </c>
      <c r="CD1041" s="61"/>
      <c r="CE1041" s="61"/>
      <c r="CF1041" s="61"/>
      <c r="CG1041" s="61">
        <f t="shared" si="149"/>
        <v>65911408</v>
      </c>
      <c r="CH1041" s="62"/>
      <c r="CI1041" s="62">
        <f t="shared" si="150"/>
        <v>65911408</v>
      </c>
      <c r="CJ1041" s="63">
        <f t="shared" si="151"/>
        <v>65911408</v>
      </c>
      <c r="CK1041" s="64">
        <f t="shared" si="152"/>
        <v>0</v>
      </c>
      <c r="CL1041" s="16"/>
      <c r="CM1041" s="16"/>
      <c r="CN1041" s="16"/>
    </row>
    <row r="1042" spans="1:96" ht="15" customHeight="1" x14ac:dyDescent="0.2">
      <c r="A1042" s="1">
        <v>8915008874</v>
      </c>
      <c r="B1042" s="1">
        <v>891500887</v>
      </c>
      <c r="C1042" s="9">
        <v>212119821</v>
      </c>
      <c r="D1042" s="10" t="s">
        <v>410</v>
      </c>
      <c r="E1042" s="45" t="s">
        <v>1438</v>
      </c>
      <c r="F1042" s="21"/>
      <c r="G1042" s="59"/>
      <c r="H1042" s="21"/>
      <c r="I1042" s="59"/>
      <c r="J1042" s="21"/>
      <c r="K1042" s="21"/>
      <c r="L1042" s="59"/>
      <c r="M1042" s="60"/>
      <c r="N1042" s="21"/>
      <c r="O1042" s="59"/>
      <c r="P1042" s="21"/>
      <c r="Q1042" s="59"/>
      <c r="R1042" s="21"/>
      <c r="S1042" s="21"/>
      <c r="T1042" s="59"/>
      <c r="U1042" s="60">
        <f t="shared" si="147"/>
        <v>0</v>
      </c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>
        <v>330107665</v>
      </c>
      <c r="AZ1042" s="60"/>
      <c r="BA1042" s="60"/>
      <c r="BB1042" s="60"/>
      <c r="BC1042" s="61">
        <f t="shared" si="148"/>
        <v>330107665</v>
      </c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>
        <v>66021533</v>
      </c>
      <c r="BO1042" s="60"/>
      <c r="BP1042" s="61">
        <v>396129198</v>
      </c>
      <c r="BQ1042" s="61"/>
      <c r="BR1042" s="61"/>
      <c r="BS1042" s="61"/>
      <c r="BT1042" s="61"/>
      <c r="BU1042" s="61"/>
      <c r="BV1042" s="61"/>
      <c r="BW1042" s="61"/>
      <c r="BX1042" s="61"/>
      <c r="BY1042" s="61"/>
      <c r="BZ1042" s="61"/>
      <c r="CA1042" s="61"/>
      <c r="CB1042" s="61"/>
      <c r="CC1042" s="61">
        <v>66021533</v>
      </c>
      <c r="CD1042" s="61"/>
      <c r="CE1042" s="61"/>
      <c r="CF1042" s="61"/>
      <c r="CG1042" s="61">
        <f t="shared" si="149"/>
        <v>462150731</v>
      </c>
      <c r="CH1042" s="62">
        <f>VLOOKUP(B1042,[1]RPTNCT049_ConsultaSaldosContabl!I$4:K$7987,3,0)</f>
        <v>462150731</v>
      </c>
      <c r="CI1042" s="62">
        <f t="shared" si="150"/>
        <v>0</v>
      </c>
      <c r="CJ1042" s="63">
        <f t="shared" si="151"/>
        <v>462150731</v>
      </c>
      <c r="CK1042" s="64">
        <f t="shared" si="152"/>
        <v>0</v>
      </c>
      <c r="CL1042" s="16"/>
      <c r="CM1042" s="8"/>
      <c r="CN1042" s="8"/>
      <c r="CO1042" s="8"/>
      <c r="CP1042" s="8"/>
      <c r="CQ1042" s="8"/>
      <c r="CR1042" s="8"/>
    </row>
    <row r="1043" spans="1:96" ht="15" customHeight="1" x14ac:dyDescent="0.2">
      <c r="A1043" s="1">
        <v>8919009854</v>
      </c>
      <c r="B1043" s="1">
        <v>891900985</v>
      </c>
      <c r="C1043" s="9">
        <v>212376823</v>
      </c>
      <c r="D1043" s="10" t="s">
        <v>940</v>
      </c>
      <c r="E1043" s="45" t="s">
        <v>2000</v>
      </c>
      <c r="F1043" s="21"/>
      <c r="G1043" s="59"/>
      <c r="H1043" s="21"/>
      <c r="I1043" s="59"/>
      <c r="J1043" s="21"/>
      <c r="K1043" s="21"/>
      <c r="L1043" s="59"/>
      <c r="M1043" s="60"/>
      <c r="N1043" s="21"/>
      <c r="O1043" s="59"/>
      <c r="P1043" s="21"/>
      <c r="Q1043" s="59"/>
      <c r="R1043" s="21"/>
      <c r="S1043" s="21"/>
      <c r="T1043" s="59"/>
      <c r="U1043" s="60">
        <f t="shared" si="147"/>
        <v>0</v>
      </c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>
        <v>116189260</v>
      </c>
      <c r="AZ1043" s="60"/>
      <c r="BA1043" s="60">
        <f>VLOOKUP(B1043,[2]Hoja3!J$3:K$674,2,0)</f>
        <v>192125232</v>
      </c>
      <c r="BB1043" s="60"/>
      <c r="BC1043" s="61">
        <f t="shared" si="148"/>
        <v>308314492</v>
      </c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>
        <v>23237852</v>
      </c>
      <c r="BO1043" s="60"/>
      <c r="BP1043" s="61">
        <v>331552344</v>
      </c>
      <c r="BQ1043" s="61"/>
      <c r="BR1043" s="61"/>
      <c r="BS1043" s="61"/>
      <c r="BT1043" s="61"/>
      <c r="BU1043" s="61"/>
      <c r="BV1043" s="61"/>
      <c r="BW1043" s="61"/>
      <c r="BX1043" s="61"/>
      <c r="BY1043" s="61"/>
      <c r="BZ1043" s="61"/>
      <c r="CA1043" s="61"/>
      <c r="CB1043" s="61"/>
      <c r="CC1043" s="61">
        <v>23237852</v>
      </c>
      <c r="CD1043" s="61"/>
      <c r="CE1043" s="61"/>
      <c r="CF1043" s="61"/>
      <c r="CG1043" s="61">
        <f t="shared" si="149"/>
        <v>354790196</v>
      </c>
      <c r="CH1043" s="62">
        <f>VLOOKUP(B1043,[1]RPTNCT049_ConsultaSaldosContabl!I$4:K$7987,3,0)</f>
        <v>162664964</v>
      </c>
      <c r="CI1043" s="62">
        <f t="shared" si="150"/>
        <v>192125232</v>
      </c>
      <c r="CJ1043" s="63">
        <f t="shared" si="151"/>
        <v>354790196</v>
      </c>
      <c r="CK1043" s="64">
        <f t="shared" si="152"/>
        <v>0</v>
      </c>
      <c r="CL1043" s="16"/>
      <c r="CM1043" s="16"/>
      <c r="CN1043" s="16"/>
    </row>
    <row r="1044" spans="1:96" ht="15" customHeight="1" x14ac:dyDescent="0.2">
      <c r="A1044" s="1">
        <v>8000126350</v>
      </c>
      <c r="B1044" s="1">
        <v>800012635</v>
      </c>
      <c r="C1044" s="9">
        <v>212215822</v>
      </c>
      <c r="D1044" s="10" t="s">
        <v>327</v>
      </c>
      <c r="E1044" s="45" t="s">
        <v>1358</v>
      </c>
      <c r="F1044" s="21"/>
      <c r="G1044" s="59"/>
      <c r="H1044" s="21"/>
      <c r="I1044" s="59"/>
      <c r="J1044" s="21"/>
      <c r="K1044" s="21"/>
      <c r="L1044" s="59"/>
      <c r="M1044" s="60"/>
      <c r="N1044" s="21"/>
      <c r="O1044" s="59"/>
      <c r="P1044" s="21"/>
      <c r="Q1044" s="59"/>
      <c r="R1044" s="21"/>
      <c r="S1044" s="21"/>
      <c r="T1044" s="59"/>
      <c r="U1044" s="60">
        <f t="shared" si="147"/>
        <v>0</v>
      </c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>
        <v>53572525</v>
      </c>
      <c r="AZ1044" s="60"/>
      <c r="BA1044" s="60">
        <f>VLOOKUP(B1044,[2]Hoja3!J$3:K$674,2,0)</f>
        <v>81689489</v>
      </c>
      <c r="BB1044" s="60"/>
      <c r="BC1044" s="61">
        <f t="shared" si="148"/>
        <v>135262014</v>
      </c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>
        <v>10714505</v>
      </c>
      <c r="BO1044" s="60"/>
      <c r="BP1044" s="61">
        <v>145976519</v>
      </c>
      <c r="BQ1044" s="61"/>
      <c r="BR1044" s="61"/>
      <c r="BS1044" s="61"/>
      <c r="BT1044" s="61"/>
      <c r="BU1044" s="61"/>
      <c r="BV1044" s="61"/>
      <c r="BW1044" s="61"/>
      <c r="BX1044" s="61"/>
      <c r="BY1044" s="61"/>
      <c r="BZ1044" s="61"/>
      <c r="CA1044" s="61"/>
      <c r="CB1044" s="61"/>
      <c r="CC1044" s="61">
        <v>10714505</v>
      </c>
      <c r="CD1044" s="61"/>
      <c r="CE1044" s="61"/>
      <c r="CF1044" s="61"/>
      <c r="CG1044" s="61">
        <f t="shared" si="149"/>
        <v>156691024</v>
      </c>
      <c r="CH1044" s="62">
        <f>VLOOKUP(B1044,[1]RPTNCT049_ConsultaSaldosContabl!I$4:K$7987,3,0)</f>
        <v>75001535</v>
      </c>
      <c r="CI1044" s="62">
        <f t="shared" si="150"/>
        <v>81689489</v>
      </c>
      <c r="CJ1044" s="63">
        <f t="shared" si="151"/>
        <v>156691024</v>
      </c>
      <c r="CK1044" s="64">
        <f t="shared" si="152"/>
        <v>0</v>
      </c>
      <c r="CL1044" s="16"/>
      <c r="CM1044" s="8"/>
      <c r="CN1044" s="8"/>
      <c r="CO1044" s="8"/>
      <c r="CP1044" s="8"/>
      <c r="CQ1044" s="8"/>
      <c r="CR1044" s="8"/>
    </row>
    <row r="1045" spans="1:96" ht="15" customHeight="1" x14ac:dyDescent="0.2">
      <c r="A1045" s="1">
        <v>8000318745</v>
      </c>
      <c r="B1045" s="1">
        <v>800031874</v>
      </c>
      <c r="C1045" s="9">
        <v>212419824</v>
      </c>
      <c r="D1045" s="10" t="s">
        <v>411</v>
      </c>
      <c r="E1045" s="45" t="s">
        <v>1439</v>
      </c>
      <c r="F1045" s="21"/>
      <c r="G1045" s="59"/>
      <c r="H1045" s="21"/>
      <c r="I1045" s="59"/>
      <c r="J1045" s="21"/>
      <c r="K1045" s="21"/>
      <c r="L1045" s="59"/>
      <c r="M1045" s="60"/>
      <c r="N1045" s="21"/>
      <c r="O1045" s="59"/>
      <c r="P1045" s="21"/>
      <c r="Q1045" s="59"/>
      <c r="R1045" s="21"/>
      <c r="S1045" s="21"/>
      <c r="T1045" s="59"/>
      <c r="U1045" s="60">
        <f t="shared" si="147"/>
        <v>0</v>
      </c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>
        <v>119618536</v>
      </c>
      <c r="AN1045" s="60">
        <f>SUBTOTAL(9,AC1045:AM1045)</f>
        <v>119618536</v>
      </c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>
        <v>194306355</v>
      </c>
      <c r="AZ1045" s="60"/>
      <c r="BA1045" s="60">
        <f>VLOOKUP(B1045,[2]Hoja3!J$3:K$674,2,0)</f>
        <v>40490014</v>
      </c>
      <c r="BB1045" s="60"/>
      <c r="BC1045" s="61">
        <f t="shared" si="148"/>
        <v>354414905</v>
      </c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>
        <v>38861271</v>
      </c>
      <c r="BO1045" s="60"/>
      <c r="BP1045" s="61">
        <v>393276176</v>
      </c>
      <c r="BQ1045" s="61"/>
      <c r="BR1045" s="61"/>
      <c r="BS1045" s="61"/>
      <c r="BT1045" s="61"/>
      <c r="BU1045" s="61"/>
      <c r="BV1045" s="61"/>
      <c r="BW1045" s="61"/>
      <c r="BX1045" s="61"/>
      <c r="BY1045" s="61"/>
      <c r="BZ1045" s="61"/>
      <c r="CA1045" s="61"/>
      <c r="CB1045" s="61"/>
      <c r="CC1045" s="61">
        <v>38861271</v>
      </c>
      <c r="CD1045" s="61"/>
      <c r="CE1045" s="61"/>
      <c r="CF1045" s="61"/>
      <c r="CG1045" s="61">
        <f t="shared" si="149"/>
        <v>432137447</v>
      </c>
      <c r="CH1045" s="62">
        <f>VLOOKUP(B1045,[1]RPTNCT049_ConsultaSaldosContabl!I$4:K$7987,3,0)</f>
        <v>272028897</v>
      </c>
      <c r="CI1045" s="62">
        <f t="shared" si="150"/>
        <v>160108550</v>
      </c>
      <c r="CJ1045" s="63">
        <f t="shared" si="151"/>
        <v>432137447</v>
      </c>
      <c r="CK1045" s="64">
        <f t="shared" si="152"/>
        <v>0</v>
      </c>
      <c r="CL1045" s="16"/>
      <c r="CM1045" s="16"/>
      <c r="CN1045" s="16"/>
    </row>
    <row r="1046" spans="1:96" ht="15" customHeight="1" x14ac:dyDescent="0.2">
      <c r="A1046" s="1">
        <v>8918578616</v>
      </c>
      <c r="B1046" s="1">
        <v>891857861</v>
      </c>
      <c r="C1046" s="9">
        <v>213085430</v>
      </c>
      <c r="D1046" s="10" t="s">
        <v>972</v>
      </c>
      <c r="E1046" s="45" t="s">
        <v>2031</v>
      </c>
      <c r="F1046" s="21"/>
      <c r="G1046" s="59"/>
      <c r="H1046" s="21"/>
      <c r="I1046" s="59"/>
      <c r="J1046" s="21"/>
      <c r="K1046" s="21"/>
      <c r="L1046" s="59"/>
      <c r="M1046" s="60"/>
      <c r="N1046" s="21"/>
      <c r="O1046" s="59"/>
      <c r="P1046" s="21"/>
      <c r="Q1046" s="59"/>
      <c r="R1046" s="21"/>
      <c r="S1046" s="21"/>
      <c r="T1046" s="59"/>
      <c r="U1046" s="60">
        <f t="shared" si="147"/>
        <v>0</v>
      </c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>
        <v>231368957</v>
      </c>
      <c r="AN1046" s="60">
        <f>SUBTOTAL(9,AC1046:AM1046)</f>
        <v>231368957</v>
      </c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>
        <v>119462670</v>
      </c>
      <c r="AZ1046" s="60"/>
      <c r="BA1046" s="60">
        <f>VLOOKUP(B1046,[2]Hoja3!J$3:K$674,2,0)</f>
        <v>13510889</v>
      </c>
      <c r="BB1046" s="60"/>
      <c r="BC1046" s="61">
        <f t="shared" si="148"/>
        <v>364342516</v>
      </c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>
        <v>23892534</v>
      </c>
      <c r="BO1046" s="60"/>
      <c r="BP1046" s="61">
        <v>388235050</v>
      </c>
      <c r="BQ1046" s="61"/>
      <c r="BR1046" s="61"/>
      <c r="BS1046" s="61"/>
      <c r="BT1046" s="61"/>
      <c r="BU1046" s="61"/>
      <c r="BV1046" s="61"/>
      <c r="BW1046" s="61"/>
      <c r="BX1046" s="61"/>
      <c r="BY1046" s="61"/>
      <c r="BZ1046" s="61"/>
      <c r="CA1046" s="61"/>
      <c r="CB1046" s="61"/>
      <c r="CC1046" s="61">
        <v>23892534</v>
      </c>
      <c r="CD1046" s="61"/>
      <c r="CE1046" s="61"/>
      <c r="CF1046" s="61"/>
      <c r="CG1046" s="61">
        <f t="shared" si="149"/>
        <v>412127584</v>
      </c>
      <c r="CH1046" s="62">
        <f>VLOOKUP(B1046,[1]RPTNCT049_ConsultaSaldosContabl!I$4:K$7987,3,0)</f>
        <v>167247738</v>
      </c>
      <c r="CI1046" s="62">
        <f t="shared" si="150"/>
        <v>244879846</v>
      </c>
      <c r="CJ1046" s="63">
        <f t="shared" si="151"/>
        <v>412127584</v>
      </c>
      <c r="CK1046" s="64">
        <f t="shared" si="152"/>
        <v>0</v>
      </c>
      <c r="CL1046" s="16"/>
      <c r="CM1046" s="16"/>
      <c r="CN1046" s="16"/>
    </row>
    <row r="1047" spans="1:96" ht="15" customHeight="1" x14ac:dyDescent="0.2">
      <c r="A1047" s="1">
        <v>8919007643</v>
      </c>
      <c r="B1047" s="1">
        <v>891900764</v>
      </c>
      <c r="C1047" s="9">
        <v>212876828</v>
      </c>
      <c r="D1047" s="10" t="s">
        <v>941</v>
      </c>
      <c r="E1047" s="45" t="s">
        <v>2001</v>
      </c>
      <c r="F1047" s="21"/>
      <c r="G1047" s="59"/>
      <c r="H1047" s="21"/>
      <c r="I1047" s="59"/>
      <c r="J1047" s="21"/>
      <c r="K1047" s="21"/>
      <c r="L1047" s="59"/>
      <c r="M1047" s="60"/>
      <c r="N1047" s="21"/>
      <c r="O1047" s="59"/>
      <c r="P1047" s="21"/>
      <c r="Q1047" s="59"/>
      <c r="R1047" s="21"/>
      <c r="S1047" s="21"/>
      <c r="T1047" s="59"/>
      <c r="U1047" s="60">
        <f t="shared" si="147"/>
        <v>0</v>
      </c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>
        <v>118875605</v>
      </c>
      <c r="AZ1047" s="60"/>
      <c r="BA1047" s="60">
        <f>VLOOKUP(B1047,[2]Hoja3!J$3:K$674,2,0)</f>
        <v>251301432</v>
      </c>
      <c r="BB1047" s="60"/>
      <c r="BC1047" s="61">
        <f t="shared" si="148"/>
        <v>370177037</v>
      </c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>
        <v>23775121</v>
      </c>
      <c r="BO1047" s="60"/>
      <c r="BP1047" s="61">
        <v>393952158</v>
      </c>
      <c r="BQ1047" s="61"/>
      <c r="BR1047" s="61"/>
      <c r="BS1047" s="61"/>
      <c r="BT1047" s="61"/>
      <c r="BU1047" s="61"/>
      <c r="BV1047" s="61"/>
      <c r="BW1047" s="61"/>
      <c r="BX1047" s="61"/>
      <c r="BY1047" s="61"/>
      <c r="BZ1047" s="61"/>
      <c r="CA1047" s="61"/>
      <c r="CB1047" s="61"/>
      <c r="CC1047" s="61">
        <v>23775121</v>
      </c>
      <c r="CD1047" s="61"/>
      <c r="CE1047" s="61"/>
      <c r="CF1047" s="61"/>
      <c r="CG1047" s="61">
        <f t="shared" si="149"/>
        <v>417727279</v>
      </c>
      <c r="CH1047" s="62">
        <f>VLOOKUP(B1047,[1]RPTNCT049_ConsultaSaldosContabl!I$4:K$7987,3,0)</f>
        <v>166425847</v>
      </c>
      <c r="CI1047" s="62">
        <f t="shared" si="150"/>
        <v>251301432</v>
      </c>
      <c r="CJ1047" s="63">
        <f t="shared" si="151"/>
        <v>417727279</v>
      </c>
      <c r="CK1047" s="64">
        <f t="shared" si="152"/>
        <v>0</v>
      </c>
      <c r="CL1047" s="16"/>
      <c r="CM1047" s="16"/>
      <c r="CN1047" s="16"/>
    </row>
    <row r="1048" spans="1:96" ht="15" customHeight="1" x14ac:dyDescent="0.2">
      <c r="A1048" s="1">
        <v>8000535523</v>
      </c>
      <c r="B1048" s="1">
        <v>800053552</v>
      </c>
      <c r="C1048" s="9">
        <v>213208832</v>
      </c>
      <c r="D1048" s="10" t="s">
        <v>179</v>
      </c>
      <c r="E1048" s="45" t="s">
        <v>1208</v>
      </c>
      <c r="F1048" s="21"/>
      <c r="G1048" s="59"/>
      <c r="H1048" s="21"/>
      <c r="I1048" s="59"/>
      <c r="J1048" s="21"/>
      <c r="K1048" s="21"/>
      <c r="L1048" s="59"/>
      <c r="M1048" s="60"/>
      <c r="N1048" s="21"/>
      <c r="O1048" s="59"/>
      <c r="P1048" s="21"/>
      <c r="Q1048" s="59"/>
      <c r="R1048" s="21"/>
      <c r="S1048" s="21"/>
      <c r="T1048" s="59"/>
      <c r="U1048" s="60">
        <f t="shared" si="147"/>
        <v>0</v>
      </c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>
        <v>134110063</v>
      </c>
      <c r="AN1048" s="60">
        <f>SUBTOTAL(9,AC1048:AM1048)</f>
        <v>134110063</v>
      </c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>
        <v>70521760</v>
      </c>
      <c r="AZ1048" s="60"/>
      <c r="BA1048" s="60">
        <f>VLOOKUP(B1048,[2]Hoja3!J$3:K$674,2,0)</f>
        <v>40913866</v>
      </c>
      <c r="BB1048" s="60"/>
      <c r="BC1048" s="61">
        <f t="shared" si="148"/>
        <v>245545689</v>
      </c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>
        <v>14104352</v>
      </c>
      <c r="BO1048" s="60"/>
      <c r="BP1048" s="61">
        <v>259650041</v>
      </c>
      <c r="BQ1048" s="61"/>
      <c r="BR1048" s="61"/>
      <c r="BS1048" s="61"/>
      <c r="BT1048" s="61"/>
      <c r="BU1048" s="61"/>
      <c r="BV1048" s="61"/>
      <c r="BW1048" s="61"/>
      <c r="BX1048" s="61"/>
      <c r="BY1048" s="61"/>
      <c r="BZ1048" s="61"/>
      <c r="CA1048" s="61"/>
      <c r="CB1048" s="61"/>
      <c r="CC1048" s="61">
        <v>14104352</v>
      </c>
      <c r="CD1048" s="61"/>
      <c r="CE1048" s="61"/>
      <c r="CF1048" s="61"/>
      <c r="CG1048" s="61">
        <f t="shared" si="149"/>
        <v>273754393</v>
      </c>
      <c r="CH1048" s="62">
        <f>VLOOKUP(B1048,[1]RPTNCT049_ConsultaSaldosContabl!I$4:K$7987,3,0)</f>
        <v>98730464</v>
      </c>
      <c r="CI1048" s="62">
        <f t="shared" si="150"/>
        <v>175023929</v>
      </c>
      <c r="CJ1048" s="63">
        <f t="shared" si="151"/>
        <v>273754393</v>
      </c>
      <c r="CK1048" s="64">
        <f t="shared" si="152"/>
        <v>0</v>
      </c>
      <c r="CL1048" s="16"/>
      <c r="CM1048" s="16"/>
      <c r="CN1048" s="16"/>
    </row>
    <row r="1049" spans="1:96" ht="15" customHeight="1" x14ac:dyDescent="0.2">
      <c r="A1049" s="1">
        <v>9002201472</v>
      </c>
      <c r="B1049" s="1">
        <v>900220147</v>
      </c>
      <c r="C1049" s="9">
        <v>923271490</v>
      </c>
      <c r="D1049" s="10" t="s">
        <v>1001</v>
      </c>
      <c r="E1049" s="45" t="s">
        <v>2058</v>
      </c>
      <c r="F1049" s="21"/>
      <c r="G1049" s="59"/>
      <c r="H1049" s="21"/>
      <c r="I1049" s="59"/>
      <c r="J1049" s="21"/>
      <c r="K1049" s="21"/>
      <c r="L1049" s="59"/>
      <c r="M1049" s="60"/>
      <c r="N1049" s="21"/>
      <c r="O1049" s="59"/>
      <c r="P1049" s="21"/>
      <c r="Q1049" s="59"/>
      <c r="R1049" s="21"/>
      <c r="S1049" s="21"/>
      <c r="T1049" s="59"/>
      <c r="U1049" s="60">
        <f t="shared" si="147"/>
        <v>0</v>
      </c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>
        <v>622857365</v>
      </c>
      <c r="AZ1049" s="60"/>
      <c r="BA1049" s="60"/>
      <c r="BB1049" s="60"/>
      <c r="BC1049" s="61">
        <f t="shared" si="148"/>
        <v>622857365</v>
      </c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>
        <v>124571473</v>
      </c>
      <c r="BO1049" s="60"/>
      <c r="BP1049" s="61">
        <v>747428838</v>
      </c>
      <c r="BQ1049" s="61"/>
      <c r="BR1049" s="61"/>
      <c r="BS1049" s="61"/>
      <c r="BT1049" s="61"/>
      <c r="BU1049" s="61"/>
      <c r="BV1049" s="61"/>
      <c r="BW1049" s="61"/>
      <c r="BX1049" s="61"/>
      <c r="BY1049" s="61"/>
      <c r="BZ1049" s="61"/>
      <c r="CA1049" s="61"/>
      <c r="CB1049" s="61"/>
      <c r="CC1049" s="61">
        <v>124571473</v>
      </c>
      <c r="CD1049" s="61"/>
      <c r="CE1049" s="61">
        <v>771145475</v>
      </c>
      <c r="CF1049" s="61"/>
      <c r="CG1049" s="61">
        <f t="shared" si="149"/>
        <v>1643145786</v>
      </c>
      <c r="CH1049" s="62">
        <f>VLOOKUP(B1049,[1]RPTNCT049_ConsultaSaldosContabl!I$4:K$7987,3,0)</f>
        <v>872000311</v>
      </c>
      <c r="CI1049" s="62">
        <f t="shared" si="150"/>
        <v>771145475</v>
      </c>
      <c r="CJ1049" s="63">
        <f t="shared" si="151"/>
        <v>1643145786</v>
      </c>
      <c r="CK1049" s="64">
        <f t="shared" si="152"/>
        <v>0</v>
      </c>
      <c r="CL1049" s="16"/>
      <c r="CM1049" s="16"/>
      <c r="CN1049" s="16"/>
    </row>
    <row r="1050" spans="1:96" ht="15" customHeight="1" x14ac:dyDescent="0.2">
      <c r="A1050" s="1">
        <v>8919002721</v>
      </c>
      <c r="B1050" s="1">
        <v>891900272</v>
      </c>
      <c r="C1050" s="9">
        <v>213476834</v>
      </c>
      <c r="D1050" s="10" t="s">
        <v>2187</v>
      </c>
      <c r="E1050" s="47" t="s">
        <v>1064</v>
      </c>
      <c r="F1050" s="21"/>
      <c r="G1050" s="59"/>
      <c r="H1050" s="21"/>
      <c r="I1050" s="59">
        <f>4234936436+175888467</f>
        <v>4410824903</v>
      </c>
      <c r="J1050" s="21">
        <v>293140901</v>
      </c>
      <c r="K1050" s="21">
        <v>584373716</v>
      </c>
      <c r="L1050" s="59"/>
      <c r="M1050" s="61">
        <f>SUM(F1050:L1050)</f>
        <v>5288339520</v>
      </c>
      <c r="N1050" s="21"/>
      <c r="O1050" s="59"/>
      <c r="P1050" s="21"/>
      <c r="Q1050" s="59">
        <f>4093395787+79949303</f>
        <v>4173345090</v>
      </c>
      <c r="R1050" s="21">
        <v>293140901</v>
      </c>
      <c r="S1050" s="21">
        <f>291232815+293140901</f>
        <v>584373716</v>
      </c>
      <c r="T1050" s="59"/>
      <c r="U1050" s="60">
        <f t="shared" si="147"/>
        <v>10339199227</v>
      </c>
      <c r="V1050" s="60"/>
      <c r="W1050" s="60"/>
      <c r="X1050" s="60"/>
      <c r="Y1050" s="60">
        <v>4961198219</v>
      </c>
      <c r="Z1050" s="60">
        <v>256103915</v>
      </c>
      <c r="AA1050" s="60">
        <v>609629757</v>
      </c>
      <c r="AB1050" s="60"/>
      <c r="AC1050" s="60">
        <f t="shared" ref="AC1028:AC1091" si="153">SUM(U1050:AB1050)</f>
        <v>16166131118</v>
      </c>
      <c r="AD1050" s="60"/>
      <c r="AE1050" s="60"/>
      <c r="AF1050" s="60"/>
      <c r="AG1050" s="60"/>
      <c r="AH1050" s="60">
        <v>4262998629</v>
      </c>
      <c r="AI1050" s="60">
        <v>851900436</v>
      </c>
      <c r="AJ1050" s="60">
        <v>288198111</v>
      </c>
      <c r="AK1050" s="60">
        <v>726547182</v>
      </c>
      <c r="AL1050" s="60"/>
      <c r="AM1050" s="60">
        <v>2142519143</v>
      </c>
      <c r="AN1050" s="60">
        <f>SUBTOTAL(9,AC1050:AM1050)</f>
        <v>24438294619</v>
      </c>
      <c r="AO1050" s="60"/>
      <c r="AP1050" s="60"/>
      <c r="AQ1050" s="60">
        <v>702056415</v>
      </c>
      <c r="AR1050" s="60"/>
      <c r="AS1050" s="60"/>
      <c r="AT1050" s="60">
        <v>4262998629</v>
      </c>
      <c r="AU1050" s="60"/>
      <c r="AV1050" s="60">
        <v>288198111</v>
      </c>
      <c r="AW1050" s="60">
        <v>492076800</v>
      </c>
      <c r="AX1050" s="60"/>
      <c r="AY1050" s="60"/>
      <c r="AZ1050" s="60">
        <v>496722004</v>
      </c>
      <c r="BA1050" s="60">
        <f>VLOOKUP(B1050,[2]Hoja3!J$3:K$674,2,0)</f>
        <v>46523648</v>
      </c>
      <c r="BB1050" s="60"/>
      <c r="BC1050" s="61">
        <f t="shared" si="148"/>
        <v>30726870226</v>
      </c>
      <c r="BD1050" s="60"/>
      <c r="BE1050" s="60"/>
      <c r="BF1050" s="60">
        <v>140411283</v>
      </c>
      <c r="BG1050" s="60"/>
      <c r="BH1050" s="60"/>
      <c r="BI1050" s="60">
        <v>4194045302</v>
      </c>
      <c r="BJ1050" s="60">
        <v>124176795</v>
      </c>
      <c r="BK1050" s="60">
        <v>282400987</v>
      </c>
      <c r="BL1050" s="60">
        <v>707850837</v>
      </c>
      <c r="BM1050" s="60"/>
      <c r="BN1050" s="60"/>
      <c r="BO1050" s="60"/>
      <c r="BP1050" s="61">
        <v>36175755430</v>
      </c>
      <c r="BQ1050" s="61"/>
      <c r="BR1050" s="61"/>
      <c r="BS1050" s="61">
        <v>140411283</v>
      </c>
      <c r="BT1050" s="61"/>
      <c r="BU1050" s="61"/>
      <c r="BV1050" s="61"/>
      <c r="BW1050" s="61">
        <v>4193116809</v>
      </c>
      <c r="BX1050" s="61"/>
      <c r="BY1050" s="61">
        <v>1779405207</v>
      </c>
      <c r="BZ1050" s="61">
        <v>285569577</v>
      </c>
      <c r="CA1050" s="61">
        <v>753150952</v>
      </c>
      <c r="CB1050" s="61"/>
      <c r="CC1050" s="61"/>
      <c r="CD1050" s="61"/>
      <c r="CE1050" s="61"/>
      <c r="CF1050" s="61"/>
      <c r="CG1050" s="61">
        <f t="shared" si="149"/>
        <v>43327409258</v>
      </c>
      <c r="CH1050" s="62">
        <f>VLOOKUP(B1050,[1]RPTNCT049_ConsultaSaldosContabl!I$4:K$7987,3,0)</f>
        <v>41138366467</v>
      </c>
      <c r="CI1050" s="62">
        <f t="shared" si="150"/>
        <v>2189042791</v>
      </c>
      <c r="CJ1050" s="63">
        <f t="shared" si="151"/>
        <v>43327409258</v>
      </c>
      <c r="CK1050" s="64">
        <f t="shared" si="152"/>
        <v>0</v>
      </c>
      <c r="CL1050" s="16"/>
      <c r="CM1050" s="16"/>
      <c r="CN1050" s="16"/>
    </row>
    <row r="1051" spans="1:96" ht="15" customHeight="1" x14ac:dyDescent="0.2">
      <c r="A1051" s="1">
        <v>8912009162</v>
      </c>
      <c r="B1051" s="1">
        <v>891200916</v>
      </c>
      <c r="C1051" s="9">
        <v>213552835</v>
      </c>
      <c r="D1051" s="10" t="s">
        <v>2188</v>
      </c>
      <c r="E1051" s="47" t="s">
        <v>1052</v>
      </c>
      <c r="F1051" s="21"/>
      <c r="G1051" s="59"/>
      <c r="H1051" s="21"/>
      <c r="I1051" s="59">
        <f>5857593007+64321189</f>
        <v>5921914196</v>
      </c>
      <c r="J1051" s="21">
        <v>428824791</v>
      </c>
      <c r="K1051" s="21">
        <v>865799278</v>
      </c>
      <c r="L1051" s="59"/>
      <c r="M1051" s="61">
        <f>SUM(F1051:L1051)</f>
        <v>7216538265</v>
      </c>
      <c r="N1051" s="21"/>
      <c r="O1051" s="59"/>
      <c r="P1051" s="21"/>
      <c r="Q1051" s="59">
        <f>5895127977+29236904</f>
        <v>5924364881</v>
      </c>
      <c r="R1051" s="21">
        <v>429144842</v>
      </c>
      <c r="S1051" s="21">
        <f>436974487+429144842</f>
        <v>866119329</v>
      </c>
      <c r="T1051" s="59"/>
      <c r="U1051" s="60">
        <f t="shared" si="147"/>
        <v>14436167317</v>
      </c>
      <c r="V1051" s="60"/>
      <c r="W1051" s="60"/>
      <c r="X1051" s="60"/>
      <c r="Y1051" s="60">
        <v>8178102451</v>
      </c>
      <c r="Z1051" s="60">
        <v>355475353</v>
      </c>
      <c r="AA1051" s="60">
        <v>806042195</v>
      </c>
      <c r="AB1051" s="60"/>
      <c r="AC1051" s="60">
        <f t="shared" si="153"/>
        <v>23775787316</v>
      </c>
      <c r="AD1051" s="60"/>
      <c r="AE1051" s="60"/>
      <c r="AF1051" s="60"/>
      <c r="AG1051" s="60"/>
      <c r="AH1051" s="60">
        <v>5720691033</v>
      </c>
      <c r="AI1051" s="60">
        <v>555725631</v>
      </c>
      <c r="AJ1051" s="60">
        <v>407489292</v>
      </c>
      <c r="AK1051" s="60">
        <v>1030536206</v>
      </c>
      <c r="AL1051" s="60"/>
      <c r="AM1051" s="60">
        <v>3259084177</v>
      </c>
      <c r="AN1051" s="60">
        <f>SUBTOTAL(9,AC1051:AM1051)</f>
        <v>34749313655</v>
      </c>
      <c r="AO1051" s="60"/>
      <c r="AP1051" s="60"/>
      <c r="AQ1051" s="60">
        <v>1817489975</v>
      </c>
      <c r="AR1051" s="60"/>
      <c r="AS1051" s="60"/>
      <c r="AT1051" s="60">
        <v>5818540023</v>
      </c>
      <c r="AU1051" s="60">
        <v>1984000000</v>
      </c>
      <c r="AV1051" s="60">
        <v>407489292</v>
      </c>
      <c r="AW1051" s="60">
        <v>698586322</v>
      </c>
      <c r="AX1051" s="60"/>
      <c r="AY1051" s="60"/>
      <c r="AZ1051" s="60"/>
      <c r="BA1051" s="60"/>
      <c r="BB1051" s="60"/>
      <c r="BC1051" s="61">
        <f t="shared" si="148"/>
        <v>45475419267</v>
      </c>
      <c r="BD1051" s="60"/>
      <c r="BE1051" s="60"/>
      <c r="BF1051" s="60">
        <v>363497995</v>
      </c>
      <c r="BG1051" s="60"/>
      <c r="BH1051" s="60"/>
      <c r="BI1051" s="60">
        <v>5803244394</v>
      </c>
      <c r="BJ1051" s="60">
        <v>2492539796</v>
      </c>
      <c r="BK1051" s="60">
        <v>430738860</v>
      </c>
      <c r="BL1051" s="60">
        <v>1088480517</v>
      </c>
      <c r="BM1051" s="60"/>
      <c r="BN1051" s="60"/>
      <c r="BO1051" s="60"/>
      <c r="BP1051" s="61">
        <v>55653920829</v>
      </c>
      <c r="BQ1051" s="61"/>
      <c r="BR1051" s="61"/>
      <c r="BS1051" s="61">
        <v>363497995</v>
      </c>
      <c r="BT1051" s="61"/>
      <c r="BU1051" s="61"/>
      <c r="BV1051" s="61"/>
      <c r="BW1051" s="61">
        <v>5761281539</v>
      </c>
      <c r="BX1051" s="61">
        <v>2547539796</v>
      </c>
      <c r="BY1051" s="61">
        <v>2671089433</v>
      </c>
      <c r="BZ1051" s="61">
        <v>412702000</v>
      </c>
      <c r="CA1051" s="61">
        <v>1092642959</v>
      </c>
      <c r="CB1051" s="61"/>
      <c r="CC1051" s="61"/>
      <c r="CD1051" s="61"/>
      <c r="CE1051" s="61">
        <v>106425300</v>
      </c>
      <c r="CF1051" s="61"/>
      <c r="CG1051" s="61">
        <f t="shared" si="149"/>
        <v>68609099851</v>
      </c>
      <c r="CH1051" s="62">
        <f>VLOOKUP(B1051,[1]RPTNCT049_ConsultaSaldosContabl!I$4:K$7987,3,0)</f>
        <v>65243590374</v>
      </c>
      <c r="CI1051" s="62">
        <f t="shared" si="150"/>
        <v>3365509477</v>
      </c>
      <c r="CJ1051" s="63">
        <f t="shared" si="151"/>
        <v>68609099851</v>
      </c>
      <c r="CK1051" s="64">
        <f t="shared" si="152"/>
        <v>0</v>
      </c>
      <c r="CL1051" s="16"/>
      <c r="CM1051" s="16"/>
      <c r="CN1051" s="16"/>
    </row>
    <row r="1052" spans="1:96" ht="15" customHeight="1" x14ac:dyDescent="0.2">
      <c r="A1052" s="1">
        <v>8918008461</v>
      </c>
      <c r="B1052" s="1">
        <v>891800846</v>
      </c>
      <c r="C1052" s="9">
        <v>210115001</v>
      </c>
      <c r="D1052" s="10" t="s">
        <v>2189</v>
      </c>
      <c r="E1052" s="47" t="s">
        <v>1062</v>
      </c>
      <c r="F1052" s="21"/>
      <c r="G1052" s="59"/>
      <c r="H1052" s="21"/>
      <c r="I1052" s="59">
        <f>4147291741+118424968</f>
        <v>4265716709</v>
      </c>
      <c r="J1052" s="21">
        <v>232198560</v>
      </c>
      <c r="K1052" s="21">
        <v>459843908</v>
      </c>
      <c r="L1052" s="59"/>
      <c r="M1052" s="61">
        <f>SUM(F1052:L1052)</f>
        <v>4957759177</v>
      </c>
      <c r="N1052" s="21"/>
      <c r="O1052" s="59"/>
      <c r="P1052" s="21"/>
      <c r="Q1052" s="59">
        <f>3917743999+53829531</f>
        <v>3971573530</v>
      </c>
      <c r="R1052" s="21">
        <v>232198560</v>
      </c>
      <c r="S1052" s="21">
        <f>227645348+232198560</f>
        <v>459843908</v>
      </c>
      <c r="T1052" s="59"/>
      <c r="U1052" s="60">
        <f t="shared" si="147"/>
        <v>9621375175</v>
      </c>
      <c r="V1052" s="60"/>
      <c r="W1052" s="60"/>
      <c r="X1052" s="60"/>
      <c r="Y1052" s="60">
        <v>6210747951</v>
      </c>
      <c r="Z1052" s="60">
        <v>234751586</v>
      </c>
      <c r="AA1052" s="60">
        <v>531660791</v>
      </c>
      <c r="AB1052" s="60"/>
      <c r="AC1052" s="60">
        <f t="shared" si="153"/>
        <v>16598535503</v>
      </c>
      <c r="AD1052" s="60"/>
      <c r="AE1052" s="60"/>
      <c r="AF1052" s="60"/>
      <c r="AG1052" s="60"/>
      <c r="AH1052" s="60">
        <v>3477096877</v>
      </c>
      <c r="AI1052" s="60">
        <v>496290527</v>
      </c>
      <c r="AJ1052" s="60">
        <v>240260728</v>
      </c>
      <c r="AK1052" s="60">
        <v>605462928</v>
      </c>
      <c r="AL1052" s="60"/>
      <c r="AM1052" s="60">
        <v>1155568554</v>
      </c>
      <c r="AN1052" s="60">
        <f>SUBTOTAL(9,AC1052:AM1052)</f>
        <v>22573215117</v>
      </c>
      <c r="AO1052" s="60"/>
      <c r="AP1052" s="60"/>
      <c r="AQ1052" s="60">
        <v>505268405</v>
      </c>
      <c r="AR1052" s="60"/>
      <c r="AS1052" s="60"/>
      <c r="AT1052" s="60">
        <v>3477096877</v>
      </c>
      <c r="AU1052" s="60"/>
      <c r="AV1052" s="60">
        <v>240260728</v>
      </c>
      <c r="AW1052" s="60">
        <v>409982776</v>
      </c>
      <c r="AX1052" s="60"/>
      <c r="AY1052" s="60"/>
      <c r="AZ1052" s="60">
        <v>494772303</v>
      </c>
      <c r="BA1052" s="60">
        <f>VLOOKUP(B1052,[2]Hoja3!J$3:K$674,2,0)</f>
        <v>205010146</v>
      </c>
      <c r="BB1052" s="60"/>
      <c r="BC1052" s="61">
        <f t="shared" si="148"/>
        <v>27905606352</v>
      </c>
      <c r="BD1052" s="60"/>
      <c r="BE1052" s="60"/>
      <c r="BF1052" s="60">
        <v>101053681</v>
      </c>
      <c r="BG1052" s="60"/>
      <c r="BH1052" s="60"/>
      <c r="BI1052" s="60">
        <v>3723731629</v>
      </c>
      <c r="BJ1052" s="60">
        <v>192071744</v>
      </c>
      <c r="BK1052" s="60">
        <v>238726684</v>
      </c>
      <c r="BL1052" s="60">
        <v>620490668</v>
      </c>
      <c r="BM1052" s="60"/>
      <c r="BN1052" s="60"/>
      <c r="BO1052" s="60"/>
      <c r="BP1052" s="61">
        <v>32781680758</v>
      </c>
      <c r="BQ1052" s="61"/>
      <c r="BR1052" s="61"/>
      <c r="BS1052" s="61">
        <v>101053681</v>
      </c>
      <c r="BT1052" s="61"/>
      <c r="BU1052" s="61"/>
      <c r="BV1052" s="61"/>
      <c r="BW1052" s="61">
        <v>3806262956</v>
      </c>
      <c r="BX1052" s="61"/>
      <c r="BY1052" s="61">
        <v>1636077544</v>
      </c>
      <c r="BZ1052" s="61">
        <v>238757117</v>
      </c>
      <c r="CA1052" s="61">
        <v>630774391</v>
      </c>
      <c r="CB1052" s="61"/>
      <c r="CC1052" s="61"/>
      <c r="CD1052" s="61"/>
      <c r="CE1052" s="61"/>
      <c r="CF1052" s="61"/>
      <c r="CG1052" s="61">
        <f t="shared" si="149"/>
        <v>39194606447</v>
      </c>
      <c r="CH1052" s="62">
        <f>VLOOKUP(B1052,[1]RPTNCT049_ConsultaSaldosContabl!I$4:K$7987,3,0)</f>
        <v>37834027747</v>
      </c>
      <c r="CI1052" s="62">
        <f t="shared" si="150"/>
        <v>1360578700</v>
      </c>
      <c r="CJ1052" s="63">
        <f t="shared" si="151"/>
        <v>39194606447</v>
      </c>
      <c r="CK1052" s="64">
        <f t="shared" si="152"/>
        <v>0</v>
      </c>
      <c r="CL1052" s="16"/>
      <c r="CM1052" s="16"/>
      <c r="CN1052" s="16"/>
    </row>
    <row r="1053" spans="1:96" ht="15" customHeight="1" x14ac:dyDescent="0.2">
      <c r="A1053" s="1">
        <v>8000996393</v>
      </c>
      <c r="B1053" s="1">
        <v>800099639</v>
      </c>
      <c r="C1053" s="9">
        <v>213215832</v>
      </c>
      <c r="D1053" s="10" t="s">
        <v>328</v>
      </c>
      <c r="E1053" s="45" t="s">
        <v>1359</v>
      </c>
      <c r="F1053" s="21"/>
      <c r="G1053" s="59"/>
      <c r="H1053" s="21"/>
      <c r="I1053" s="59"/>
      <c r="J1053" s="21"/>
      <c r="K1053" s="21"/>
      <c r="L1053" s="59"/>
      <c r="M1053" s="60"/>
      <c r="N1053" s="21"/>
      <c r="O1053" s="59"/>
      <c r="P1053" s="21"/>
      <c r="Q1053" s="59"/>
      <c r="R1053" s="21"/>
      <c r="S1053" s="21"/>
      <c r="T1053" s="59"/>
      <c r="U1053" s="60">
        <f t="shared" si="147"/>
        <v>0</v>
      </c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>
        <v>12430490</v>
      </c>
      <c r="AZ1053" s="60"/>
      <c r="BA1053" s="60">
        <f>VLOOKUP(B1053,[2]Hoja3!J$3:K$674,2,0)</f>
        <v>22425385</v>
      </c>
      <c r="BB1053" s="60"/>
      <c r="BC1053" s="61">
        <f t="shared" si="148"/>
        <v>34855875</v>
      </c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>
        <v>2486098</v>
      </c>
      <c r="BO1053" s="60"/>
      <c r="BP1053" s="61">
        <v>37341973</v>
      </c>
      <c r="BQ1053" s="61"/>
      <c r="BR1053" s="61"/>
      <c r="BS1053" s="61"/>
      <c r="BT1053" s="61"/>
      <c r="BU1053" s="61"/>
      <c r="BV1053" s="61"/>
      <c r="BW1053" s="61"/>
      <c r="BX1053" s="61"/>
      <c r="BY1053" s="61"/>
      <c r="BZ1053" s="61"/>
      <c r="CA1053" s="61"/>
      <c r="CB1053" s="61"/>
      <c r="CC1053" s="61">
        <v>2486098</v>
      </c>
      <c r="CD1053" s="61"/>
      <c r="CE1053" s="61"/>
      <c r="CF1053" s="61"/>
      <c r="CG1053" s="61">
        <f t="shared" si="149"/>
        <v>39828071</v>
      </c>
      <c r="CH1053" s="62">
        <f>VLOOKUP(B1053,[1]RPTNCT049_ConsultaSaldosContabl!I$4:K$7987,3,0)</f>
        <v>17402686</v>
      </c>
      <c r="CI1053" s="62">
        <f t="shared" si="150"/>
        <v>22425385</v>
      </c>
      <c r="CJ1053" s="63">
        <f t="shared" si="151"/>
        <v>39828071</v>
      </c>
      <c r="CK1053" s="64">
        <f t="shared" si="152"/>
        <v>0</v>
      </c>
      <c r="CL1053" s="16"/>
      <c r="CM1053" s="8"/>
      <c r="CN1053" s="8"/>
      <c r="CO1053" s="8"/>
      <c r="CP1053" s="8"/>
      <c r="CQ1053" s="8"/>
      <c r="CR1053" s="8"/>
    </row>
    <row r="1054" spans="1:96" ht="15" customHeight="1" x14ac:dyDescent="0.2">
      <c r="A1054" s="1">
        <v>8000991529</v>
      </c>
      <c r="B1054" s="1">
        <v>800099152</v>
      </c>
      <c r="C1054" s="9">
        <v>213852838</v>
      </c>
      <c r="D1054" s="10" t="s">
        <v>749</v>
      </c>
      <c r="E1054" s="45" t="s">
        <v>1769</v>
      </c>
      <c r="F1054" s="21"/>
      <c r="G1054" s="59"/>
      <c r="H1054" s="21"/>
      <c r="I1054" s="59"/>
      <c r="J1054" s="21"/>
      <c r="K1054" s="21"/>
      <c r="L1054" s="59"/>
      <c r="M1054" s="60"/>
      <c r="N1054" s="21"/>
      <c r="O1054" s="59"/>
      <c r="P1054" s="21"/>
      <c r="Q1054" s="59"/>
      <c r="R1054" s="21"/>
      <c r="S1054" s="21"/>
      <c r="T1054" s="59"/>
      <c r="U1054" s="60">
        <f t="shared" si="147"/>
        <v>0</v>
      </c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>
        <v>612953068</v>
      </c>
      <c r="AN1054" s="60">
        <f t="shared" ref="AN1054:AN1059" si="154">SUBTOTAL(9,AC1054:AM1054)</f>
        <v>612953068</v>
      </c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>
        <v>293546890</v>
      </c>
      <c r="AZ1054" s="60"/>
      <c r="BA1054" s="60"/>
      <c r="BB1054" s="60"/>
      <c r="BC1054" s="61">
        <f t="shared" si="148"/>
        <v>906499958</v>
      </c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>
        <v>58709378</v>
      </c>
      <c r="BO1054" s="60"/>
      <c r="BP1054" s="61">
        <v>965209336</v>
      </c>
      <c r="BQ1054" s="61"/>
      <c r="BR1054" s="61"/>
      <c r="BS1054" s="61"/>
      <c r="BT1054" s="61"/>
      <c r="BU1054" s="61"/>
      <c r="BV1054" s="61"/>
      <c r="BW1054" s="61"/>
      <c r="BX1054" s="61"/>
      <c r="BY1054" s="61"/>
      <c r="BZ1054" s="61"/>
      <c r="CA1054" s="61"/>
      <c r="CB1054" s="61"/>
      <c r="CC1054" s="61">
        <v>58709378</v>
      </c>
      <c r="CD1054" s="61"/>
      <c r="CE1054" s="61"/>
      <c r="CF1054" s="61"/>
      <c r="CG1054" s="61">
        <f t="shared" si="149"/>
        <v>1023918714</v>
      </c>
      <c r="CH1054" s="62">
        <f>VLOOKUP(B1054,[1]RPTNCT049_ConsultaSaldosContabl!I$4:K$7987,3,0)</f>
        <v>410965646</v>
      </c>
      <c r="CI1054" s="62">
        <f t="shared" si="150"/>
        <v>612953068</v>
      </c>
      <c r="CJ1054" s="63">
        <f t="shared" si="151"/>
        <v>1023918714</v>
      </c>
      <c r="CK1054" s="64">
        <f t="shared" si="152"/>
        <v>0</v>
      </c>
      <c r="CL1054" s="16"/>
      <c r="CM1054" s="16"/>
      <c r="CN1054" s="16"/>
    </row>
    <row r="1055" spans="1:96" ht="15" customHeight="1" x14ac:dyDescent="0.2">
      <c r="A1055" s="1">
        <v>8904811490</v>
      </c>
      <c r="B1055" s="1">
        <v>890481149</v>
      </c>
      <c r="C1055" s="9">
        <v>213613836</v>
      </c>
      <c r="D1055" s="10" t="s">
        <v>213</v>
      </c>
      <c r="E1055" s="45" t="s">
        <v>1248</v>
      </c>
      <c r="F1055" s="21"/>
      <c r="G1055" s="59"/>
      <c r="H1055" s="21"/>
      <c r="I1055" s="59"/>
      <c r="J1055" s="21"/>
      <c r="K1055" s="21"/>
      <c r="L1055" s="59"/>
      <c r="M1055" s="60"/>
      <c r="N1055" s="21"/>
      <c r="O1055" s="59"/>
      <c r="P1055" s="21"/>
      <c r="Q1055" s="59"/>
      <c r="R1055" s="21"/>
      <c r="S1055" s="21"/>
      <c r="T1055" s="59"/>
      <c r="U1055" s="60">
        <f t="shared" si="147"/>
        <v>0</v>
      </c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>
        <v>972668324</v>
      </c>
      <c r="AN1055" s="60">
        <f t="shared" si="154"/>
        <v>972668324</v>
      </c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1">
        <f t="shared" si="148"/>
        <v>972668324</v>
      </c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>
        <v>0</v>
      </c>
      <c r="BO1055" s="60"/>
      <c r="BP1055" s="61">
        <v>972668324</v>
      </c>
      <c r="BQ1055" s="61"/>
      <c r="BR1055" s="61"/>
      <c r="BS1055" s="61"/>
      <c r="BT1055" s="61"/>
      <c r="BU1055" s="61"/>
      <c r="BV1055" s="61"/>
      <c r="BW1055" s="61"/>
      <c r="BX1055" s="61"/>
      <c r="BY1055" s="61"/>
      <c r="BZ1055" s="61"/>
      <c r="CA1055" s="61"/>
      <c r="CB1055" s="61"/>
      <c r="CC1055" s="61">
        <v>0</v>
      </c>
      <c r="CD1055" s="61"/>
      <c r="CE1055" s="61"/>
      <c r="CF1055" s="61"/>
      <c r="CG1055" s="61">
        <f t="shared" si="149"/>
        <v>972668324</v>
      </c>
      <c r="CH1055" s="62"/>
      <c r="CI1055" s="62">
        <f t="shared" si="150"/>
        <v>972668324</v>
      </c>
      <c r="CJ1055" s="63">
        <f t="shared" si="151"/>
        <v>972668324</v>
      </c>
      <c r="CK1055" s="64">
        <f t="shared" si="152"/>
        <v>0</v>
      </c>
      <c r="CL1055" s="16"/>
      <c r="CM1055" s="8"/>
      <c r="CN1055" s="8"/>
      <c r="CO1055" s="8"/>
      <c r="CP1055" s="8"/>
      <c r="CQ1055" s="8"/>
      <c r="CR1055" s="8"/>
    </row>
    <row r="1056" spans="1:96" ht="15" customHeight="1" x14ac:dyDescent="0.2">
      <c r="A1056" s="1">
        <v>8904813243</v>
      </c>
      <c r="B1056" s="1">
        <v>890481324</v>
      </c>
      <c r="C1056" s="9">
        <v>213813838</v>
      </c>
      <c r="D1056" s="10" t="s">
        <v>214</v>
      </c>
      <c r="E1056" s="45" t="s">
        <v>1249</v>
      </c>
      <c r="F1056" s="21"/>
      <c r="G1056" s="59"/>
      <c r="H1056" s="21"/>
      <c r="I1056" s="59"/>
      <c r="J1056" s="21"/>
      <c r="K1056" s="21"/>
      <c r="L1056" s="59"/>
      <c r="M1056" s="60"/>
      <c r="N1056" s="21"/>
      <c r="O1056" s="59"/>
      <c r="P1056" s="21"/>
      <c r="Q1056" s="59"/>
      <c r="R1056" s="21"/>
      <c r="S1056" s="21"/>
      <c r="T1056" s="59"/>
      <c r="U1056" s="60">
        <f t="shared" si="147"/>
        <v>0</v>
      </c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>
        <v>252341191</v>
      </c>
      <c r="AN1056" s="60">
        <f t="shared" si="154"/>
        <v>252341191</v>
      </c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1">
        <f t="shared" si="148"/>
        <v>252341191</v>
      </c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>
        <v>0</v>
      </c>
      <c r="BO1056" s="60"/>
      <c r="BP1056" s="61">
        <v>252341191</v>
      </c>
      <c r="BQ1056" s="61"/>
      <c r="BR1056" s="61"/>
      <c r="BS1056" s="61"/>
      <c r="BT1056" s="61"/>
      <c r="BU1056" s="61"/>
      <c r="BV1056" s="61"/>
      <c r="BW1056" s="61"/>
      <c r="BX1056" s="61"/>
      <c r="BY1056" s="61"/>
      <c r="BZ1056" s="61"/>
      <c r="CA1056" s="61"/>
      <c r="CB1056" s="61"/>
      <c r="CC1056" s="61">
        <v>0</v>
      </c>
      <c r="CD1056" s="61"/>
      <c r="CE1056" s="61"/>
      <c r="CF1056" s="61"/>
      <c r="CG1056" s="61">
        <f t="shared" si="149"/>
        <v>252341191</v>
      </c>
      <c r="CH1056" s="62"/>
      <c r="CI1056" s="62">
        <f t="shared" si="150"/>
        <v>252341191</v>
      </c>
      <c r="CJ1056" s="63">
        <f t="shared" si="151"/>
        <v>252341191</v>
      </c>
      <c r="CK1056" s="64">
        <f t="shared" si="152"/>
        <v>0</v>
      </c>
      <c r="CL1056" s="16"/>
      <c r="CM1056" s="8"/>
      <c r="CN1056" s="8"/>
      <c r="CO1056" s="8"/>
      <c r="CP1056" s="8"/>
      <c r="CQ1056" s="8"/>
      <c r="CR1056" s="8"/>
    </row>
    <row r="1057" spans="1:96" ht="15" customHeight="1" x14ac:dyDescent="0.2">
      <c r="A1057" s="1">
        <v>8909811385</v>
      </c>
      <c r="B1057" s="1">
        <v>890981138</v>
      </c>
      <c r="C1057" s="9">
        <v>213705837</v>
      </c>
      <c r="D1057" s="10" t="s">
        <v>2190</v>
      </c>
      <c r="E1057" s="47" t="s">
        <v>1051</v>
      </c>
      <c r="F1057" s="21"/>
      <c r="G1057" s="59"/>
      <c r="H1057" s="21"/>
      <c r="I1057" s="66">
        <f>4624284426+79098404</f>
        <v>4703382830</v>
      </c>
      <c r="J1057" s="21">
        <v>353485309</v>
      </c>
      <c r="K1057" s="21">
        <v>712809842</v>
      </c>
      <c r="L1057" s="59"/>
      <c r="M1057" s="61">
        <f>SUM(F1057:L1057)</f>
        <v>5769677981</v>
      </c>
      <c r="N1057" s="21"/>
      <c r="O1057" s="59"/>
      <c r="P1057" s="21"/>
      <c r="Q1057" s="59">
        <f>4556760823+35953820</f>
        <v>4592714643</v>
      </c>
      <c r="R1057" s="21">
        <v>353485309</v>
      </c>
      <c r="S1057" s="21">
        <f>359324533+353485309</f>
        <v>712809842</v>
      </c>
      <c r="T1057" s="59"/>
      <c r="U1057" s="60">
        <f t="shared" si="147"/>
        <v>11428687775</v>
      </c>
      <c r="V1057" s="60"/>
      <c r="W1057" s="60"/>
      <c r="X1057" s="60"/>
      <c r="Y1057" s="60">
        <v>7123493429</v>
      </c>
      <c r="Z1057" s="60">
        <v>369425542</v>
      </c>
      <c r="AA1057" s="60">
        <v>800160296</v>
      </c>
      <c r="AB1057" s="60"/>
      <c r="AC1057" s="60">
        <f t="shared" si="153"/>
        <v>19721767042</v>
      </c>
      <c r="AD1057" s="60"/>
      <c r="AE1057" s="60"/>
      <c r="AF1057" s="60"/>
      <c r="AG1057" s="60"/>
      <c r="AH1057" s="60">
        <v>5058817204</v>
      </c>
      <c r="AI1057" s="60">
        <v>2730412199</v>
      </c>
      <c r="AJ1057" s="60">
        <v>359875299</v>
      </c>
      <c r="AK1057" s="60">
        <v>909401529</v>
      </c>
      <c r="AL1057" s="60"/>
      <c r="AM1057" s="60">
        <v>2933066854</v>
      </c>
      <c r="AN1057" s="60">
        <f t="shared" si="154"/>
        <v>31713340127</v>
      </c>
      <c r="AO1057" s="60"/>
      <c r="AP1057" s="60"/>
      <c r="AQ1057" s="60">
        <v>1699086055</v>
      </c>
      <c r="AR1057" s="60"/>
      <c r="AS1057" s="60"/>
      <c r="AT1057" s="60">
        <v>5058817204</v>
      </c>
      <c r="AU1057" s="60"/>
      <c r="AV1057" s="60">
        <v>359875299</v>
      </c>
      <c r="AW1057" s="60">
        <v>616459295</v>
      </c>
      <c r="AX1057" s="60"/>
      <c r="AY1057" s="60"/>
      <c r="AZ1057" s="60">
        <v>525626693</v>
      </c>
      <c r="BA1057" s="60">
        <f>VLOOKUP(B1057,[2]Hoja3!J$3:K$674,2,0)</f>
        <v>92150650</v>
      </c>
      <c r="BB1057" s="60">
        <f>VLOOKUP(B1057,'[3]anuladas en mayo gratuidad}'!K$2:L$55,2,0)</f>
        <v>179922972</v>
      </c>
      <c r="BC1057" s="61">
        <f t="shared" si="148"/>
        <v>39885432351</v>
      </c>
      <c r="BD1057" s="60"/>
      <c r="BE1057" s="60"/>
      <c r="BF1057" s="60">
        <v>339817211</v>
      </c>
      <c r="BG1057" s="60"/>
      <c r="BH1057" s="60"/>
      <c r="BI1057" s="60">
        <v>4987617169</v>
      </c>
      <c r="BJ1057" s="60">
        <v>587603705</v>
      </c>
      <c r="BK1057" s="60">
        <v>358893792</v>
      </c>
      <c r="BL1057" s="60">
        <v>995519030</v>
      </c>
      <c r="BM1057" s="60"/>
      <c r="BN1057" s="60"/>
      <c r="BO1057" s="60"/>
      <c r="BP1057" s="61">
        <v>47154883258</v>
      </c>
      <c r="BQ1057" s="61"/>
      <c r="BR1057" s="61"/>
      <c r="BS1057" s="61">
        <v>339817211</v>
      </c>
      <c r="BT1057" s="61"/>
      <c r="BU1057" s="61"/>
      <c r="BV1057" s="61"/>
      <c r="BW1057" s="61">
        <v>5028134318</v>
      </c>
      <c r="BX1057" s="61"/>
      <c r="BY1057" s="61">
        <v>2311180830</v>
      </c>
      <c r="BZ1057" s="61">
        <v>393641644</v>
      </c>
      <c r="CA1057" s="61">
        <v>1003911228</v>
      </c>
      <c r="CB1057" s="61"/>
      <c r="CC1057" s="61"/>
      <c r="CD1057" s="61"/>
      <c r="CE1057" s="61">
        <v>179922972</v>
      </c>
      <c r="CF1057" s="61"/>
      <c r="CG1057" s="61">
        <f t="shared" si="149"/>
        <v>56411491461</v>
      </c>
      <c r="CH1057" s="62">
        <f>VLOOKUP(B1057,[1]RPTNCT049_ConsultaSaldosContabl!I$4:K$7987,3,0)</f>
        <v>53386273957</v>
      </c>
      <c r="CI1057" s="62">
        <f t="shared" si="150"/>
        <v>3025217504</v>
      </c>
      <c r="CJ1057" s="63">
        <f t="shared" si="151"/>
        <v>56411491461</v>
      </c>
      <c r="CK1057" s="64">
        <f t="shared" si="152"/>
        <v>0</v>
      </c>
      <c r="CL1057" s="16"/>
      <c r="CM1057" s="16"/>
      <c r="CN1057" s="16"/>
    </row>
    <row r="1058" spans="1:96" ht="15" customHeight="1" x14ac:dyDescent="0.2">
      <c r="A1058" s="1">
        <v>8918017878</v>
      </c>
      <c r="B1058" s="1">
        <v>891801787</v>
      </c>
      <c r="C1058" s="9">
        <v>213515835</v>
      </c>
      <c r="D1058" s="10" t="s">
        <v>329</v>
      </c>
      <c r="E1058" s="45" t="s">
        <v>1360</v>
      </c>
      <c r="F1058" s="21"/>
      <c r="G1058" s="59"/>
      <c r="H1058" s="21"/>
      <c r="I1058" s="59"/>
      <c r="J1058" s="21"/>
      <c r="K1058" s="21"/>
      <c r="L1058" s="59"/>
      <c r="M1058" s="60"/>
      <c r="N1058" s="21"/>
      <c r="O1058" s="59"/>
      <c r="P1058" s="21"/>
      <c r="Q1058" s="59"/>
      <c r="R1058" s="21"/>
      <c r="S1058" s="21"/>
      <c r="T1058" s="59"/>
      <c r="U1058" s="60">
        <f t="shared" si="147"/>
        <v>0</v>
      </c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>
        <v>15989704</v>
      </c>
      <c r="AN1058" s="60">
        <f t="shared" si="154"/>
        <v>15989704</v>
      </c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>
        <v>52047645</v>
      </c>
      <c r="AZ1058" s="60"/>
      <c r="BA1058" s="60">
        <f>VLOOKUP(B1058,[2]Hoja3!J$3:K$674,2,0)</f>
        <v>106810019</v>
      </c>
      <c r="BB1058" s="60"/>
      <c r="BC1058" s="61">
        <f t="shared" si="148"/>
        <v>174847368</v>
      </c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>
        <v>10409529</v>
      </c>
      <c r="BO1058" s="60"/>
      <c r="BP1058" s="61">
        <v>185256897</v>
      </c>
      <c r="BQ1058" s="61"/>
      <c r="BR1058" s="61"/>
      <c r="BS1058" s="61"/>
      <c r="BT1058" s="61"/>
      <c r="BU1058" s="61"/>
      <c r="BV1058" s="61"/>
      <c r="BW1058" s="61"/>
      <c r="BX1058" s="61"/>
      <c r="BY1058" s="61"/>
      <c r="BZ1058" s="61"/>
      <c r="CA1058" s="61"/>
      <c r="CB1058" s="61"/>
      <c r="CC1058" s="61">
        <v>10409529</v>
      </c>
      <c r="CD1058" s="61"/>
      <c r="CE1058" s="61"/>
      <c r="CF1058" s="61"/>
      <c r="CG1058" s="61">
        <f t="shared" si="149"/>
        <v>195666426</v>
      </c>
      <c r="CH1058" s="62">
        <f>VLOOKUP(B1058,[1]RPTNCT049_ConsultaSaldosContabl!I$4:K$7987,3,0)</f>
        <v>72866703</v>
      </c>
      <c r="CI1058" s="62">
        <f t="shared" si="150"/>
        <v>122799723</v>
      </c>
      <c r="CJ1058" s="63">
        <f t="shared" si="151"/>
        <v>195666426</v>
      </c>
      <c r="CK1058" s="64">
        <f t="shared" si="152"/>
        <v>0</v>
      </c>
      <c r="CL1058" s="16"/>
      <c r="CM1058" s="8"/>
      <c r="CN1058" s="8"/>
      <c r="CO1058" s="8"/>
      <c r="CP1058" s="8"/>
      <c r="CQ1058" s="8"/>
      <c r="CR1058" s="8"/>
    </row>
    <row r="1059" spans="1:96" ht="15" customHeight="1" x14ac:dyDescent="0.2">
      <c r="A1059" s="1">
        <v>8000272923</v>
      </c>
      <c r="B1059" s="1">
        <v>800027292</v>
      </c>
      <c r="C1059" s="9">
        <v>213715837</v>
      </c>
      <c r="D1059" s="10" t="s">
        <v>330</v>
      </c>
      <c r="E1059" s="45" t="s">
        <v>1361</v>
      </c>
      <c r="F1059" s="21"/>
      <c r="G1059" s="59"/>
      <c r="H1059" s="21"/>
      <c r="I1059" s="59"/>
      <c r="J1059" s="21"/>
      <c r="K1059" s="21"/>
      <c r="L1059" s="59"/>
      <c r="M1059" s="60"/>
      <c r="N1059" s="21"/>
      <c r="O1059" s="59"/>
      <c r="P1059" s="21"/>
      <c r="Q1059" s="59"/>
      <c r="R1059" s="21"/>
      <c r="S1059" s="21"/>
      <c r="T1059" s="59"/>
      <c r="U1059" s="60">
        <f t="shared" si="147"/>
        <v>0</v>
      </c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>
        <v>78153866</v>
      </c>
      <c r="AN1059" s="60">
        <f t="shared" si="154"/>
        <v>78153866</v>
      </c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>
        <v>64509595</v>
      </c>
      <c r="AZ1059" s="60"/>
      <c r="BA1059" s="60">
        <f>VLOOKUP(B1059,[2]Hoja3!J$3:K$674,2,0)</f>
        <v>87075345</v>
      </c>
      <c r="BB1059" s="60"/>
      <c r="BC1059" s="61">
        <f t="shared" si="148"/>
        <v>229738806</v>
      </c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>
        <v>12901919</v>
      </c>
      <c r="BO1059" s="60"/>
      <c r="BP1059" s="61">
        <v>242640725</v>
      </c>
      <c r="BQ1059" s="61"/>
      <c r="BR1059" s="61"/>
      <c r="BS1059" s="61"/>
      <c r="BT1059" s="61"/>
      <c r="BU1059" s="61"/>
      <c r="BV1059" s="61"/>
      <c r="BW1059" s="61"/>
      <c r="BX1059" s="61"/>
      <c r="BY1059" s="61"/>
      <c r="BZ1059" s="61"/>
      <c r="CA1059" s="61"/>
      <c r="CB1059" s="61"/>
      <c r="CC1059" s="61">
        <v>12901919</v>
      </c>
      <c r="CD1059" s="61"/>
      <c r="CE1059" s="61"/>
      <c r="CF1059" s="61"/>
      <c r="CG1059" s="61">
        <f t="shared" si="149"/>
        <v>255542644</v>
      </c>
      <c r="CH1059" s="62">
        <f>VLOOKUP(B1059,[1]RPTNCT049_ConsultaSaldosContabl!I$4:K$7987,3,0)</f>
        <v>90313433</v>
      </c>
      <c r="CI1059" s="62">
        <f t="shared" si="150"/>
        <v>165229211</v>
      </c>
      <c r="CJ1059" s="63">
        <f t="shared" si="151"/>
        <v>255542644</v>
      </c>
      <c r="CK1059" s="64">
        <f t="shared" si="152"/>
        <v>0</v>
      </c>
      <c r="CL1059" s="16"/>
      <c r="CM1059" s="8"/>
      <c r="CN1059" s="8"/>
      <c r="CO1059" s="8"/>
      <c r="CP1059" s="8"/>
      <c r="CQ1059" s="8"/>
      <c r="CR1059" s="8"/>
    </row>
    <row r="1060" spans="1:96" ht="15" customHeight="1" x14ac:dyDescent="0.2">
      <c r="A1060" s="1">
        <v>8000996354</v>
      </c>
      <c r="B1060" s="1">
        <v>800099635</v>
      </c>
      <c r="C1060" s="9">
        <v>213915839</v>
      </c>
      <c r="D1060" s="10" t="s">
        <v>331</v>
      </c>
      <c r="E1060" s="45" t="s">
        <v>1362</v>
      </c>
      <c r="F1060" s="21"/>
      <c r="G1060" s="59"/>
      <c r="H1060" s="21"/>
      <c r="I1060" s="59"/>
      <c r="J1060" s="21"/>
      <c r="K1060" s="21"/>
      <c r="L1060" s="59"/>
      <c r="M1060" s="60"/>
      <c r="N1060" s="21"/>
      <c r="O1060" s="59"/>
      <c r="P1060" s="21"/>
      <c r="Q1060" s="59"/>
      <c r="R1060" s="21"/>
      <c r="S1060" s="21"/>
      <c r="T1060" s="59"/>
      <c r="U1060" s="60">
        <f t="shared" si="147"/>
        <v>0</v>
      </c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>
        <f>VLOOKUP(B1060,[2]Hoja3!J$3:K$674,2,0)</f>
        <v>36086375</v>
      </c>
      <c r="BB1060" s="60"/>
      <c r="BC1060" s="61">
        <f t="shared" si="148"/>
        <v>36086375</v>
      </c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>
        <v>0</v>
      </c>
      <c r="BO1060" s="60"/>
      <c r="BP1060" s="61">
        <v>36086375</v>
      </c>
      <c r="BQ1060" s="61"/>
      <c r="BR1060" s="61"/>
      <c r="BS1060" s="61"/>
      <c r="BT1060" s="61"/>
      <c r="BU1060" s="61"/>
      <c r="BV1060" s="61"/>
      <c r="BW1060" s="61"/>
      <c r="BX1060" s="61"/>
      <c r="BY1060" s="61"/>
      <c r="BZ1060" s="61"/>
      <c r="CA1060" s="61"/>
      <c r="CB1060" s="61"/>
      <c r="CC1060" s="61">
        <v>0</v>
      </c>
      <c r="CD1060" s="61"/>
      <c r="CE1060" s="61"/>
      <c r="CF1060" s="61"/>
      <c r="CG1060" s="61">
        <f t="shared" si="149"/>
        <v>36086375</v>
      </c>
      <c r="CH1060" s="62"/>
      <c r="CI1060" s="62">
        <f t="shared" si="150"/>
        <v>36086375</v>
      </c>
      <c r="CJ1060" s="63">
        <f t="shared" si="151"/>
        <v>36086375</v>
      </c>
      <c r="CK1060" s="64">
        <f t="shared" si="152"/>
        <v>0</v>
      </c>
      <c r="CL1060" s="16"/>
      <c r="CM1060" s="8"/>
      <c r="CN1060" s="8"/>
      <c r="CO1060" s="8"/>
      <c r="CP1060" s="8"/>
      <c r="CQ1060" s="8"/>
      <c r="CR1060" s="8"/>
    </row>
    <row r="1061" spans="1:96" ht="15" customHeight="1" x14ac:dyDescent="0.2">
      <c r="A1061" s="1">
        <v>8999993851</v>
      </c>
      <c r="B1061" s="1">
        <v>899999385</v>
      </c>
      <c r="C1061" s="9">
        <v>213925839</v>
      </c>
      <c r="D1061" s="10" t="s">
        <v>554</v>
      </c>
      <c r="E1061" s="45" t="s">
        <v>2074</v>
      </c>
      <c r="F1061" s="21"/>
      <c r="G1061" s="59"/>
      <c r="H1061" s="21"/>
      <c r="I1061" s="59"/>
      <c r="J1061" s="21"/>
      <c r="K1061" s="21"/>
      <c r="L1061" s="59"/>
      <c r="M1061" s="60"/>
      <c r="N1061" s="21"/>
      <c r="O1061" s="59"/>
      <c r="P1061" s="21"/>
      <c r="Q1061" s="59"/>
      <c r="R1061" s="21"/>
      <c r="S1061" s="21"/>
      <c r="T1061" s="59"/>
      <c r="U1061" s="60">
        <f t="shared" si="147"/>
        <v>0</v>
      </c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>
        <v>180474721</v>
      </c>
      <c r="AN1061" s="60">
        <f>SUBTOTAL(9,AC1061:AM1061)</f>
        <v>180474721</v>
      </c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1">
        <f t="shared" si="148"/>
        <v>180474721</v>
      </c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>
        <v>0</v>
      </c>
      <c r="BO1061" s="60"/>
      <c r="BP1061" s="61">
        <v>180474721</v>
      </c>
      <c r="BQ1061" s="61"/>
      <c r="BR1061" s="61"/>
      <c r="BS1061" s="61"/>
      <c r="BT1061" s="61"/>
      <c r="BU1061" s="61"/>
      <c r="BV1061" s="61"/>
      <c r="BW1061" s="61"/>
      <c r="BX1061" s="61"/>
      <c r="BY1061" s="61"/>
      <c r="BZ1061" s="61"/>
      <c r="CA1061" s="61"/>
      <c r="CB1061" s="61"/>
      <c r="CC1061" s="61">
        <v>0</v>
      </c>
      <c r="CD1061" s="61"/>
      <c r="CE1061" s="61"/>
      <c r="CF1061" s="61"/>
      <c r="CG1061" s="61">
        <f t="shared" si="149"/>
        <v>180474721</v>
      </c>
      <c r="CH1061" s="62"/>
      <c r="CI1061" s="62">
        <f t="shared" si="150"/>
        <v>180474721</v>
      </c>
      <c r="CJ1061" s="63">
        <f t="shared" si="151"/>
        <v>180474721</v>
      </c>
      <c r="CK1061" s="64">
        <f t="shared" si="152"/>
        <v>0</v>
      </c>
      <c r="CL1061" s="16"/>
      <c r="CM1061" s="16"/>
      <c r="CN1061" s="16"/>
    </row>
    <row r="1062" spans="1:96" ht="15" customHeight="1" x14ac:dyDescent="0.2">
      <c r="A1062" s="1">
        <v>8000955680</v>
      </c>
      <c r="B1062" s="1">
        <v>800095568</v>
      </c>
      <c r="C1062" s="9">
        <v>214125841</v>
      </c>
      <c r="D1062" s="10" t="s">
        <v>555</v>
      </c>
      <c r="E1062" s="45" t="s">
        <v>1577</v>
      </c>
      <c r="F1062" s="21"/>
      <c r="G1062" s="59"/>
      <c r="H1062" s="21"/>
      <c r="I1062" s="59"/>
      <c r="J1062" s="21"/>
      <c r="K1062" s="21"/>
      <c r="L1062" s="59"/>
      <c r="M1062" s="60"/>
      <c r="N1062" s="21"/>
      <c r="O1062" s="59"/>
      <c r="P1062" s="21"/>
      <c r="Q1062" s="59"/>
      <c r="R1062" s="21"/>
      <c r="S1062" s="21"/>
      <c r="T1062" s="59"/>
      <c r="U1062" s="60">
        <f t="shared" si="147"/>
        <v>0</v>
      </c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>
        <v>96905037</v>
      </c>
      <c r="AN1062" s="60">
        <f>SUBTOTAL(9,AC1062:AM1062)</f>
        <v>96905037</v>
      </c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1">
        <f t="shared" si="148"/>
        <v>96905037</v>
      </c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>
        <v>8405366</v>
      </c>
      <c r="BO1062" s="60"/>
      <c r="BP1062" s="61">
        <v>105310403</v>
      </c>
      <c r="BQ1062" s="61"/>
      <c r="BR1062" s="61"/>
      <c r="BS1062" s="61"/>
      <c r="BT1062" s="61"/>
      <c r="BU1062" s="61"/>
      <c r="BV1062" s="61"/>
      <c r="BW1062" s="61"/>
      <c r="BX1062" s="61"/>
      <c r="BY1062" s="61"/>
      <c r="BZ1062" s="61"/>
      <c r="CA1062" s="61"/>
      <c r="CB1062" s="61"/>
      <c r="CC1062" s="61">
        <v>8405366</v>
      </c>
      <c r="CD1062" s="61">
        <v>42026830</v>
      </c>
      <c r="CE1062" s="61"/>
      <c r="CF1062" s="61"/>
      <c r="CG1062" s="61">
        <f t="shared" si="149"/>
        <v>155742599</v>
      </c>
      <c r="CH1062" s="62">
        <f>VLOOKUP(B1062,[1]RPTNCT049_ConsultaSaldosContabl!I$4:K$7987,3,0)</f>
        <v>58837562</v>
      </c>
      <c r="CI1062" s="62">
        <f t="shared" si="150"/>
        <v>96905037</v>
      </c>
      <c r="CJ1062" s="63">
        <f t="shared" si="151"/>
        <v>155742599</v>
      </c>
      <c r="CK1062" s="64">
        <f t="shared" si="152"/>
        <v>0</v>
      </c>
      <c r="CL1062" s="16"/>
      <c r="CM1062" s="16"/>
      <c r="CN1062" s="16"/>
    </row>
    <row r="1063" spans="1:96" ht="15" customHeight="1" x14ac:dyDescent="0.2">
      <c r="A1063" s="1">
        <v>8999992812</v>
      </c>
      <c r="B1063" s="1">
        <v>899999281</v>
      </c>
      <c r="C1063" s="9">
        <v>214325843</v>
      </c>
      <c r="D1063" s="10" t="s">
        <v>556</v>
      </c>
      <c r="E1063" s="45" t="s">
        <v>1507</v>
      </c>
      <c r="F1063" s="21"/>
      <c r="G1063" s="59"/>
      <c r="H1063" s="21"/>
      <c r="I1063" s="59"/>
      <c r="J1063" s="21"/>
      <c r="K1063" s="21"/>
      <c r="L1063" s="59"/>
      <c r="M1063" s="60"/>
      <c r="N1063" s="21"/>
      <c r="O1063" s="59"/>
      <c r="P1063" s="21"/>
      <c r="Q1063" s="59"/>
      <c r="R1063" s="21"/>
      <c r="S1063" s="21"/>
      <c r="T1063" s="59"/>
      <c r="U1063" s="60">
        <f t="shared" si="147"/>
        <v>0</v>
      </c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>
        <v>510537150</v>
      </c>
      <c r="AN1063" s="60">
        <f>SUBTOTAL(9,AC1063:AM1063)</f>
        <v>510537150</v>
      </c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1">
        <f t="shared" si="148"/>
        <v>510537150</v>
      </c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>
        <v>0</v>
      </c>
      <c r="BO1063" s="60"/>
      <c r="BP1063" s="61">
        <v>510537150</v>
      </c>
      <c r="BQ1063" s="61"/>
      <c r="BR1063" s="61"/>
      <c r="BS1063" s="61"/>
      <c r="BT1063" s="61"/>
      <c r="BU1063" s="61"/>
      <c r="BV1063" s="61"/>
      <c r="BW1063" s="61"/>
      <c r="BX1063" s="61"/>
      <c r="BY1063" s="61"/>
      <c r="BZ1063" s="61"/>
      <c r="CA1063" s="61"/>
      <c r="CB1063" s="61"/>
      <c r="CC1063" s="61">
        <v>0</v>
      </c>
      <c r="CD1063" s="61"/>
      <c r="CE1063" s="61"/>
      <c r="CF1063" s="61"/>
      <c r="CG1063" s="61">
        <f t="shared" si="149"/>
        <v>510537150</v>
      </c>
      <c r="CH1063" s="62"/>
      <c r="CI1063" s="62">
        <f t="shared" si="150"/>
        <v>510537150</v>
      </c>
      <c r="CJ1063" s="63">
        <f t="shared" si="151"/>
        <v>510537150</v>
      </c>
      <c r="CK1063" s="64">
        <f t="shared" si="152"/>
        <v>0</v>
      </c>
      <c r="CL1063" s="16"/>
      <c r="CM1063" s="16"/>
      <c r="CN1063" s="16"/>
    </row>
    <row r="1064" spans="1:96" ht="15" customHeight="1" x14ac:dyDescent="0.2">
      <c r="A1064" s="1">
        <v>8001005295</v>
      </c>
      <c r="B1064" s="1">
        <v>800100529</v>
      </c>
      <c r="C1064" s="9">
        <v>214576845</v>
      </c>
      <c r="D1064" s="10" t="s">
        <v>942</v>
      </c>
      <c r="E1064" s="45" t="s">
        <v>2002</v>
      </c>
      <c r="F1064" s="21"/>
      <c r="G1064" s="59"/>
      <c r="H1064" s="21"/>
      <c r="I1064" s="59"/>
      <c r="J1064" s="21"/>
      <c r="K1064" s="21"/>
      <c r="L1064" s="59"/>
      <c r="M1064" s="60"/>
      <c r="N1064" s="21"/>
      <c r="O1064" s="59"/>
      <c r="P1064" s="21"/>
      <c r="Q1064" s="59"/>
      <c r="R1064" s="21"/>
      <c r="S1064" s="21"/>
      <c r="T1064" s="59"/>
      <c r="U1064" s="60">
        <f t="shared" si="147"/>
        <v>0</v>
      </c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>
        <v>33236615</v>
      </c>
      <c r="AZ1064" s="60"/>
      <c r="BA1064" s="60">
        <f>VLOOKUP(B1064,[2]Hoja3!J$3:K$674,2,0)</f>
        <v>75458308</v>
      </c>
      <c r="BB1064" s="60"/>
      <c r="BC1064" s="61">
        <f t="shared" si="148"/>
        <v>108694923</v>
      </c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>
        <v>6647323</v>
      </c>
      <c r="BO1064" s="60"/>
      <c r="BP1064" s="61">
        <v>115342246</v>
      </c>
      <c r="BQ1064" s="61"/>
      <c r="BR1064" s="61"/>
      <c r="BS1064" s="61"/>
      <c r="BT1064" s="61"/>
      <c r="BU1064" s="61"/>
      <c r="BV1064" s="61"/>
      <c r="BW1064" s="61"/>
      <c r="BX1064" s="61"/>
      <c r="BY1064" s="61"/>
      <c r="BZ1064" s="61"/>
      <c r="CA1064" s="61"/>
      <c r="CB1064" s="61"/>
      <c r="CC1064" s="61">
        <v>6647323</v>
      </c>
      <c r="CD1064" s="61"/>
      <c r="CE1064" s="61"/>
      <c r="CF1064" s="61"/>
      <c r="CG1064" s="61">
        <f t="shared" si="149"/>
        <v>121989569</v>
      </c>
      <c r="CH1064" s="62">
        <f>VLOOKUP(B1064,[1]RPTNCT049_ConsultaSaldosContabl!I$4:K$7987,3,0)</f>
        <v>46531261</v>
      </c>
      <c r="CI1064" s="62">
        <f t="shared" si="150"/>
        <v>75458308</v>
      </c>
      <c r="CJ1064" s="63">
        <f t="shared" si="151"/>
        <v>121989569</v>
      </c>
      <c r="CK1064" s="64">
        <f t="shared" si="152"/>
        <v>0</v>
      </c>
      <c r="CL1064" s="16"/>
      <c r="CM1064" s="16"/>
      <c r="CN1064" s="16"/>
    </row>
    <row r="1065" spans="1:96" ht="15" customHeight="1" x14ac:dyDescent="0.2">
      <c r="A1065" s="1">
        <v>8000996315</v>
      </c>
      <c r="B1065" s="1">
        <v>800099631</v>
      </c>
      <c r="C1065" s="9">
        <v>214215842</v>
      </c>
      <c r="D1065" s="10" t="s">
        <v>332</v>
      </c>
      <c r="E1065" s="45" t="s">
        <v>1363</v>
      </c>
      <c r="F1065" s="21"/>
      <c r="G1065" s="59"/>
      <c r="H1065" s="21"/>
      <c r="I1065" s="59"/>
      <c r="J1065" s="21"/>
      <c r="K1065" s="21"/>
      <c r="L1065" s="59"/>
      <c r="M1065" s="60"/>
      <c r="N1065" s="21"/>
      <c r="O1065" s="59"/>
      <c r="P1065" s="21"/>
      <c r="Q1065" s="59"/>
      <c r="R1065" s="21"/>
      <c r="S1065" s="21"/>
      <c r="T1065" s="59"/>
      <c r="U1065" s="60">
        <f t="shared" si="147"/>
        <v>0</v>
      </c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>
        <v>58616700</v>
      </c>
      <c r="AZ1065" s="60"/>
      <c r="BA1065" s="60">
        <f>VLOOKUP(B1065,[2]Hoja3!J$3:K$674,2,0)</f>
        <v>115871514</v>
      </c>
      <c r="BB1065" s="60"/>
      <c r="BC1065" s="61">
        <f t="shared" si="148"/>
        <v>174488214</v>
      </c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>
        <v>11723340</v>
      </c>
      <c r="BO1065" s="60"/>
      <c r="BP1065" s="61">
        <v>186211554</v>
      </c>
      <c r="BQ1065" s="61"/>
      <c r="BR1065" s="61"/>
      <c r="BS1065" s="61"/>
      <c r="BT1065" s="61"/>
      <c r="BU1065" s="61"/>
      <c r="BV1065" s="61"/>
      <c r="BW1065" s="61"/>
      <c r="BX1065" s="61"/>
      <c r="BY1065" s="61"/>
      <c r="BZ1065" s="61"/>
      <c r="CA1065" s="61"/>
      <c r="CB1065" s="61"/>
      <c r="CC1065" s="61">
        <v>11723340</v>
      </c>
      <c r="CD1065" s="61"/>
      <c r="CE1065" s="61"/>
      <c r="CF1065" s="61"/>
      <c r="CG1065" s="61">
        <f t="shared" si="149"/>
        <v>197934894</v>
      </c>
      <c r="CH1065" s="62">
        <f>VLOOKUP(B1065,[1]RPTNCT049_ConsultaSaldosContabl!I$4:K$7987,3,0)</f>
        <v>82063380</v>
      </c>
      <c r="CI1065" s="62">
        <f t="shared" si="150"/>
        <v>115871514</v>
      </c>
      <c r="CJ1065" s="63">
        <f t="shared" si="151"/>
        <v>197934894</v>
      </c>
      <c r="CK1065" s="64">
        <f t="shared" si="152"/>
        <v>0</v>
      </c>
      <c r="CL1065" s="16"/>
      <c r="CM1065" s="8"/>
      <c r="CN1065" s="8"/>
      <c r="CO1065" s="8"/>
      <c r="CP1065" s="8"/>
      <c r="CQ1065" s="8"/>
      <c r="CR1065" s="8"/>
    </row>
    <row r="1066" spans="1:96" ht="15" customHeight="1" x14ac:dyDescent="0.2">
      <c r="A1066" s="1">
        <v>8999993881</v>
      </c>
      <c r="B1066" s="1">
        <v>899999388</v>
      </c>
      <c r="C1066" s="9">
        <v>214525845</v>
      </c>
      <c r="D1066" s="10" t="s">
        <v>557</v>
      </c>
      <c r="E1066" s="45" t="s">
        <v>2073</v>
      </c>
      <c r="F1066" s="21"/>
      <c r="G1066" s="59"/>
      <c r="H1066" s="21"/>
      <c r="I1066" s="59"/>
      <c r="J1066" s="21"/>
      <c r="K1066" s="21"/>
      <c r="L1066" s="59"/>
      <c r="M1066" s="60"/>
      <c r="N1066" s="21"/>
      <c r="O1066" s="59"/>
      <c r="P1066" s="21"/>
      <c r="Q1066" s="59"/>
      <c r="R1066" s="21"/>
      <c r="S1066" s="21"/>
      <c r="T1066" s="59"/>
      <c r="U1066" s="60">
        <f t="shared" si="147"/>
        <v>0</v>
      </c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>
        <v>95696470</v>
      </c>
      <c r="AN1066" s="60">
        <f t="shared" ref="AN1066:AN1072" si="155">SUBTOTAL(9,AC1066:AM1066)</f>
        <v>95696470</v>
      </c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>
        <v>44791515</v>
      </c>
      <c r="AZ1066" s="60"/>
      <c r="BA1066" s="60"/>
      <c r="BB1066" s="60"/>
      <c r="BC1066" s="61">
        <f t="shared" si="148"/>
        <v>140487985</v>
      </c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>
        <v>8958303</v>
      </c>
      <c r="BO1066" s="60"/>
      <c r="BP1066" s="61">
        <v>149446288</v>
      </c>
      <c r="BQ1066" s="61"/>
      <c r="BR1066" s="61"/>
      <c r="BS1066" s="61"/>
      <c r="BT1066" s="61"/>
      <c r="BU1066" s="61"/>
      <c r="BV1066" s="61"/>
      <c r="BW1066" s="61"/>
      <c r="BX1066" s="61"/>
      <c r="BY1066" s="61"/>
      <c r="BZ1066" s="61"/>
      <c r="CA1066" s="61"/>
      <c r="CB1066" s="61"/>
      <c r="CC1066" s="61">
        <v>8958303</v>
      </c>
      <c r="CD1066" s="61"/>
      <c r="CE1066" s="61"/>
      <c r="CF1066" s="61"/>
      <c r="CG1066" s="61">
        <f t="shared" si="149"/>
        <v>158404591</v>
      </c>
      <c r="CH1066" s="62">
        <f>VLOOKUP(B1066,[1]RPTNCT049_ConsultaSaldosContabl!I$4:K$7987,3,0)</f>
        <v>62708121</v>
      </c>
      <c r="CI1066" s="62">
        <f t="shared" si="150"/>
        <v>95696470</v>
      </c>
      <c r="CJ1066" s="63">
        <f t="shared" si="151"/>
        <v>158404591</v>
      </c>
      <c r="CK1066" s="64">
        <f t="shared" si="152"/>
        <v>0</v>
      </c>
      <c r="CL1066" s="16"/>
      <c r="CM1066" s="16"/>
      <c r="CN1066" s="16"/>
    </row>
    <row r="1067" spans="1:96" ht="15" customHeight="1" x14ac:dyDescent="0.2">
      <c r="A1067" s="1">
        <v>8916801964</v>
      </c>
      <c r="B1067" s="1">
        <v>891680196</v>
      </c>
      <c r="C1067" s="9">
        <v>210027800</v>
      </c>
      <c r="D1067" s="10" t="s">
        <v>591</v>
      </c>
      <c r="E1067" s="45" t="s">
        <v>1612</v>
      </c>
      <c r="F1067" s="21"/>
      <c r="G1067" s="59"/>
      <c r="H1067" s="21"/>
      <c r="I1067" s="59"/>
      <c r="J1067" s="21"/>
      <c r="K1067" s="21"/>
      <c r="L1067" s="59"/>
      <c r="M1067" s="60"/>
      <c r="N1067" s="21"/>
      <c r="O1067" s="59"/>
      <c r="P1067" s="21"/>
      <c r="Q1067" s="59"/>
      <c r="R1067" s="21"/>
      <c r="S1067" s="21"/>
      <c r="T1067" s="59"/>
      <c r="U1067" s="60">
        <f t="shared" si="147"/>
        <v>0</v>
      </c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>
        <v>247839748</v>
      </c>
      <c r="AN1067" s="60">
        <f t="shared" si="155"/>
        <v>247839748</v>
      </c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1">
        <f t="shared" si="148"/>
        <v>247839748</v>
      </c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>
        <v>0</v>
      </c>
      <c r="BO1067" s="60"/>
      <c r="BP1067" s="61">
        <v>247839748</v>
      </c>
      <c r="BQ1067" s="61"/>
      <c r="BR1067" s="61"/>
      <c r="BS1067" s="61"/>
      <c r="BT1067" s="61"/>
      <c r="BU1067" s="61"/>
      <c r="BV1067" s="61"/>
      <c r="BW1067" s="61"/>
      <c r="BX1067" s="61"/>
      <c r="BY1067" s="61"/>
      <c r="BZ1067" s="61"/>
      <c r="CA1067" s="61"/>
      <c r="CB1067" s="61"/>
      <c r="CC1067" s="61">
        <v>0</v>
      </c>
      <c r="CD1067" s="61"/>
      <c r="CE1067" s="61"/>
      <c r="CF1067" s="61"/>
      <c r="CG1067" s="61">
        <f t="shared" si="149"/>
        <v>247839748</v>
      </c>
      <c r="CH1067" s="62"/>
      <c r="CI1067" s="62">
        <f t="shared" si="150"/>
        <v>247839748</v>
      </c>
      <c r="CJ1067" s="63">
        <f t="shared" si="151"/>
        <v>247839748</v>
      </c>
      <c r="CK1067" s="64">
        <f t="shared" si="152"/>
        <v>0</v>
      </c>
      <c r="CL1067" s="16"/>
      <c r="CM1067" s="16"/>
      <c r="CN1067" s="16"/>
    </row>
    <row r="1068" spans="1:96" ht="15" customHeight="1" x14ac:dyDescent="0.2">
      <c r="A1068" s="1">
        <v>8906800084</v>
      </c>
      <c r="B1068" s="1">
        <v>890680008</v>
      </c>
      <c r="C1068" s="9">
        <v>219025290</v>
      </c>
      <c r="D1068" s="10" t="s">
        <v>2165</v>
      </c>
      <c r="E1068" s="47" t="s">
        <v>1043</v>
      </c>
      <c r="F1068" s="21"/>
      <c r="G1068" s="59"/>
      <c r="H1068" s="21"/>
      <c r="I1068" s="66">
        <f>2731725207+89232918</f>
        <v>2820958125</v>
      </c>
      <c r="J1068" s="21">
        <v>197213198</v>
      </c>
      <c r="K1068" s="21">
        <v>390744693</v>
      </c>
      <c r="L1068" s="59"/>
      <c r="M1068" s="61">
        <f>SUM(F1068:L1068)</f>
        <v>3408916016</v>
      </c>
      <c r="N1068" s="21"/>
      <c r="O1068" s="59"/>
      <c r="P1068" s="21"/>
      <c r="Q1068" s="59">
        <f>2594904169+40560417</f>
        <v>2635464586</v>
      </c>
      <c r="R1068" s="21">
        <v>197213198</v>
      </c>
      <c r="S1068" s="21">
        <f>193531495+197213198</f>
        <v>390744693</v>
      </c>
      <c r="T1068" s="59"/>
      <c r="U1068" s="60">
        <f t="shared" si="147"/>
        <v>6632338493</v>
      </c>
      <c r="V1068" s="60"/>
      <c r="W1068" s="60"/>
      <c r="X1068" s="60"/>
      <c r="Y1068" s="60">
        <v>3433815669</v>
      </c>
      <c r="Z1068" s="60">
        <v>216493604</v>
      </c>
      <c r="AA1068" s="60">
        <v>427145476</v>
      </c>
      <c r="AB1068" s="60"/>
      <c r="AC1068" s="60">
        <f t="shared" si="153"/>
        <v>10709793242</v>
      </c>
      <c r="AD1068" s="60"/>
      <c r="AE1068" s="60"/>
      <c r="AF1068" s="60"/>
      <c r="AG1068" s="60"/>
      <c r="AH1068" s="60">
        <v>2640212833</v>
      </c>
      <c r="AI1068" s="60">
        <v>412375783</v>
      </c>
      <c r="AJ1068" s="60">
        <v>197794356</v>
      </c>
      <c r="AK1068" s="60">
        <v>498428595</v>
      </c>
      <c r="AL1068" s="60"/>
      <c r="AM1068" s="60">
        <v>1247312458</v>
      </c>
      <c r="AN1068" s="60">
        <f t="shared" si="155"/>
        <v>15705917267</v>
      </c>
      <c r="AO1068" s="60"/>
      <c r="AP1068" s="60"/>
      <c r="AQ1068" s="60">
        <v>428995335</v>
      </c>
      <c r="AR1068" s="60"/>
      <c r="AS1068" s="60"/>
      <c r="AT1068" s="60">
        <v>2640212833</v>
      </c>
      <c r="AU1068" s="60"/>
      <c r="AV1068" s="60">
        <v>197794356</v>
      </c>
      <c r="AW1068" s="60">
        <v>337599761</v>
      </c>
      <c r="AX1068" s="60"/>
      <c r="AY1068" s="60"/>
      <c r="AZ1068" s="60">
        <v>243423860</v>
      </c>
      <c r="BA1068" s="60"/>
      <c r="BB1068" s="60"/>
      <c r="BC1068" s="61">
        <f t="shared" si="148"/>
        <v>19553943412</v>
      </c>
      <c r="BD1068" s="60"/>
      <c r="BE1068" s="60"/>
      <c r="BF1068" s="60">
        <v>85799067</v>
      </c>
      <c r="BG1068" s="60"/>
      <c r="BH1068" s="60"/>
      <c r="BI1068" s="60">
        <v>2705068254</v>
      </c>
      <c r="BJ1068" s="60">
        <v>236558567</v>
      </c>
      <c r="BK1068" s="60">
        <v>170509372</v>
      </c>
      <c r="BL1068" s="60">
        <v>548917072</v>
      </c>
      <c r="BM1068" s="60"/>
      <c r="BN1068" s="60"/>
      <c r="BO1068" s="60"/>
      <c r="BP1068" s="61">
        <v>23300795744</v>
      </c>
      <c r="BQ1068" s="61"/>
      <c r="BR1068" s="61"/>
      <c r="BS1068" s="61">
        <v>85799067</v>
      </c>
      <c r="BT1068" s="61"/>
      <c r="BU1068" s="61"/>
      <c r="BV1068" s="61"/>
      <c r="BW1068" s="61">
        <v>2743407401</v>
      </c>
      <c r="BX1068" s="61"/>
      <c r="BY1068" s="61">
        <v>1261657514</v>
      </c>
      <c r="BZ1068" s="61">
        <v>215097807</v>
      </c>
      <c r="CA1068" s="61">
        <v>540016728</v>
      </c>
      <c r="CB1068" s="61"/>
      <c r="CC1068" s="61"/>
      <c r="CD1068" s="61"/>
      <c r="CE1068" s="61"/>
      <c r="CF1068" s="61"/>
      <c r="CG1068" s="61">
        <f t="shared" si="149"/>
        <v>28146774261</v>
      </c>
      <c r="CH1068" s="62">
        <f>VLOOKUP(B1068,[1]RPTNCT049_ConsultaSaldosContabl!I$4:K$7987,3,0)</f>
        <v>26899461803</v>
      </c>
      <c r="CI1068" s="62">
        <f t="shared" si="150"/>
        <v>1247312458</v>
      </c>
      <c r="CJ1068" s="63">
        <f t="shared" si="151"/>
        <v>28146774261</v>
      </c>
      <c r="CK1068" s="64">
        <f t="shared" si="152"/>
        <v>0</v>
      </c>
      <c r="CL1068" s="16"/>
      <c r="CM1068" s="16"/>
      <c r="CN1068" s="16"/>
    </row>
    <row r="1069" spans="1:96" ht="15" customHeight="1" x14ac:dyDescent="0.2">
      <c r="A1069" s="1">
        <v>8180009610</v>
      </c>
      <c r="B1069" s="1">
        <v>818000961</v>
      </c>
      <c r="C1069" s="9">
        <v>211027810</v>
      </c>
      <c r="D1069" s="10" t="s">
        <v>592</v>
      </c>
      <c r="E1069" s="45" t="s">
        <v>1613</v>
      </c>
      <c r="F1069" s="21"/>
      <c r="G1069" s="59"/>
      <c r="H1069" s="21"/>
      <c r="I1069" s="59"/>
      <c r="J1069" s="21"/>
      <c r="K1069" s="21"/>
      <c r="L1069" s="59"/>
      <c r="M1069" s="60"/>
      <c r="N1069" s="21"/>
      <c r="O1069" s="59"/>
      <c r="P1069" s="21"/>
      <c r="Q1069" s="59"/>
      <c r="R1069" s="21"/>
      <c r="S1069" s="21"/>
      <c r="T1069" s="59"/>
      <c r="U1069" s="60">
        <f t="shared" si="147"/>
        <v>0</v>
      </c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>
        <v>125139528</v>
      </c>
      <c r="AN1069" s="60">
        <f t="shared" si="155"/>
        <v>125139528</v>
      </c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>
        <v>64427725</v>
      </c>
      <c r="AZ1069" s="60"/>
      <c r="BA1069" s="60"/>
      <c r="BB1069" s="60"/>
      <c r="BC1069" s="61">
        <f t="shared" si="148"/>
        <v>189567253</v>
      </c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>
        <v>12885545</v>
      </c>
      <c r="BO1069" s="60"/>
      <c r="BP1069" s="61">
        <v>202452798</v>
      </c>
      <c r="BQ1069" s="61"/>
      <c r="BR1069" s="61"/>
      <c r="BS1069" s="61"/>
      <c r="BT1069" s="61"/>
      <c r="BU1069" s="61"/>
      <c r="BV1069" s="61"/>
      <c r="BW1069" s="61"/>
      <c r="BX1069" s="61"/>
      <c r="BY1069" s="61"/>
      <c r="BZ1069" s="61"/>
      <c r="CA1069" s="61"/>
      <c r="CB1069" s="61"/>
      <c r="CC1069" s="61">
        <v>12885545</v>
      </c>
      <c r="CD1069" s="61"/>
      <c r="CE1069" s="61"/>
      <c r="CF1069" s="61"/>
      <c r="CG1069" s="61">
        <f t="shared" si="149"/>
        <v>215338343</v>
      </c>
      <c r="CH1069" s="62">
        <f>VLOOKUP(B1069,[1]RPTNCT049_ConsultaSaldosContabl!I$4:K$7987,3,0)</f>
        <v>90198815</v>
      </c>
      <c r="CI1069" s="62">
        <f t="shared" si="150"/>
        <v>125139528</v>
      </c>
      <c r="CJ1069" s="63">
        <f t="shared" si="151"/>
        <v>215338343</v>
      </c>
      <c r="CK1069" s="64">
        <f t="shared" si="152"/>
        <v>0</v>
      </c>
      <c r="CL1069" s="16"/>
      <c r="CM1069" s="16"/>
      <c r="CN1069" s="16"/>
    </row>
    <row r="1070" spans="1:96" ht="15" customHeight="1" x14ac:dyDescent="0.2">
      <c r="A1070" s="1">
        <v>8909845754</v>
      </c>
      <c r="B1070" s="1">
        <v>890984575</v>
      </c>
      <c r="C1070" s="9">
        <v>214205842</v>
      </c>
      <c r="D1070" s="10" t="s">
        <v>149</v>
      </c>
      <c r="E1070" s="45" t="s">
        <v>1178</v>
      </c>
      <c r="F1070" s="21"/>
      <c r="G1070" s="59"/>
      <c r="H1070" s="21"/>
      <c r="I1070" s="59"/>
      <c r="J1070" s="21"/>
      <c r="K1070" s="21"/>
      <c r="L1070" s="59"/>
      <c r="M1070" s="60"/>
      <c r="N1070" s="21"/>
      <c r="O1070" s="59"/>
      <c r="P1070" s="21"/>
      <c r="Q1070" s="59"/>
      <c r="R1070" s="21"/>
      <c r="S1070" s="21"/>
      <c r="T1070" s="59"/>
      <c r="U1070" s="60">
        <f t="shared" si="147"/>
        <v>0</v>
      </c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>
        <v>114018837</v>
      </c>
      <c r="AN1070" s="60">
        <f t="shared" si="155"/>
        <v>114018837</v>
      </c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>
        <v>71429765</v>
      </c>
      <c r="AZ1070" s="60"/>
      <c r="BA1070" s="60"/>
      <c r="BB1070" s="60"/>
      <c r="BC1070" s="61">
        <f t="shared" si="148"/>
        <v>185448602</v>
      </c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>
        <v>14285953</v>
      </c>
      <c r="BO1070" s="60"/>
      <c r="BP1070" s="61">
        <v>199734555</v>
      </c>
      <c r="BQ1070" s="61"/>
      <c r="BR1070" s="61"/>
      <c r="BS1070" s="61"/>
      <c r="BT1070" s="61"/>
      <c r="BU1070" s="61"/>
      <c r="BV1070" s="61"/>
      <c r="BW1070" s="61"/>
      <c r="BX1070" s="61"/>
      <c r="BY1070" s="61"/>
      <c r="BZ1070" s="61"/>
      <c r="CA1070" s="61"/>
      <c r="CB1070" s="61"/>
      <c r="CC1070" s="61">
        <v>14285953</v>
      </c>
      <c r="CD1070" s="61"/>
      <c r="CE1070" s="61"/>
      <c r="CF1070" s="61"/>
      <c r="CG1070" s="61">
        <f t="shared" si="149"/>
        <v>214020508</v>
      </c>
      <c r="CH1070" s="62">
        <f>VLOOKUP(B1070,[1]RPTNCT049_ConsultaSaldosContabl!I$4:K$7987,3,0)</f>
        <v>100001671</v>
      </c>
      <c r="CI1070" s="62">
        <f t="shared" si="150"/>
        <v>114018837</v>
      </c>
      <c r="CJ1070" s="63">
        <f t="shared" si="151"/>
        <v>214020508</v>
      </c>
      <c r="CK1070" s="64">
        <f t="shared" si="152"/>
        <v>0</v>
      </c>
      <c r="CL1070" s="16"/>
      <c r="CM1070" s="16"/>
      <c r="CN1070" s="16"/>
    </row>
    <row r="1071" spans="1:96" ht="15" customHeight="1" x14ac:dyDescent="0.2">
      <c r="A1071" s="1">
        <v>8921151554</v>
      </c>
      <c r="B1071" s="1">
        <v>892115155</v>
      </c>
      <c r="C1071" s="9">
        <v>214744847</v>
      </c>
      <c r="D1071" s="10" t="s">
        <v>2199</v>
      </c>
      <c r="E1071" s="47" t="s">
        <v>1070</v>
      </c>
      <c r="F1071" s="21"/>
      <c r="G1071" s="59"/>
      <c r="H1071" s="21"/>
      <c r="I1071" s="59">
        <f>2278747717+294227763</f>
        <v>2572975480</v>
      </c>
      <c r="J1071" s="21">
        <v>179254019</v>
      </c>
      <c r="K1071" s="21">
        <v>369181765</v>
      </c>
      <c r="L1071" s="59"/>
      <c r="M1071" s="61">
        <f>SUM(F1071:L1071)</f>
        <v>3121411264</v>
      </c>
      <c r="N1071" s="21"/>
      <c r="O1071" s="59"/>
      <c r="P1071" s="21"/>
      <c r="Q1071" s="59">
        <f>2437120901+558984276</f>
        <v>2996105177</v>
      </c>
      <c r="R1071" s="21">
        <v>179356618</v>
      </c>
      <c r="S1071" s="21">
        <f>189927746+179356618</f>
        <v>369284364</v>
      </c>
      <c r="T1071" s="59"/>
      <c r="U1071" s="60">
        <f t="shared" si="147"/>
        <v>6666157423</v>
      </c>
      <c r="V1071" s="60"/>
      <c r="W1071" s="60"/>
      <c r="X1071" s="60"/>
      <c r="Y1071" s="60">
        <f>5289036688+3000000000</f>
        <v>8289036688</v>
      </c>
      <c r="Z1071" s="60">
        <v>40389512</v>
      </c>
      <c r="AA1071" s="60">
        <v>117209428</v>
      </c>
      <c r="AB1071" s="60"/>
      <c r="AC1071" s="60">
        <f t="shared" si="153"/>
        <v>15112793051</v>
      </c>
      <c r="AD1071" s="60"/>
      <c r="AE1071" s="60"/>
      <c r="AF1071" s="60"/>
      <c r="AG1071" s="60"/>
      <c r="AH1071" s="60">
        <v>3529006523</v>
      </c>
      <c r="AI1071" s="60">
        <v>3969939467</v>
      </c>
      <c r="AJ1071" s="60">
        <v>134011707</v>
      </c>
      <c r="AK1071" s="60">
        <v>346074171</v>
      </c>
      <c r="AL1071" s="60"/>
      <c r="AM1071" s="60">
        <v>240731451</v>
      </c>
      <c r="AN1071" s="60">
        <f t="shared" si="155"/>
        <v>23332556370</v>
      </c>
      <c r="AO1071" s="60"/>
      <c r="AP1071" s="60"/>
      <c r="AQ1071" s="60">
        <v>2523101600</v>
      </c>
      <c r="AR1071" s="60"/>
      <c r="AS1071" s="60"/>
      <c r="AT1071" s="60">
        <v>3529006523</v>
      </c>
      <c r="AU1071" s="60">
        <v>1472557236</v>
      </c>
      <c r="AV1071" s="60">
        <v>134011707</v>
      </c>
      <c r="AW1071" s="60">
        <v>236706965</v>
      </c>
      <c r="AX1071" s="60"/>
      <c r="AY1071" s="60"/>
      <c r="AZ1071" s="60">
        <v>2807431074</v>
      </c>
      <c r="BA1071" s="60"/>
      <c r="BB1071" s="60"/>
      <c r="BC1071" s="61">
        <f t="shared" si="148"/>
        <v>34035371475</v>
      </c>
      <c r="BD1071" s="60"/>
      <c r="BE1071" s="60"/>
      <c r="BF1071" s="60">
        <v>504620320</v>
      </c>
      <c r="BG1071" s="60"/>
      <c r="BH1071" s="60"/>
      <c r="BI1071" s="60">
        <v>2815437224</v>
      </c>
      <c r="BJ1071" s="60">
        <v>2647004822</v>
      </c>
      <c r="BK1071" s="60">
        <v>387268152</v>
      </c>
      <c r="BL1071" s="60">
        <v>898884858</v>
      </c>
      <c r="BM1071" s="60"/>
      <c r="BN1071" s="60"/>
      <c r="BO1071" s="60"/>
      <c r="BP1071" s="61">
        <v>41288586851</v>
      </c>
      <c r="BQ1071" s="61"/>
      <c r="BR1071" s="61"/>
      <c r="BS1071" s="61">
        <v>504620320</v>
      </c>
      <c r="BT1071" s="61"/>
      <c r="BU1071" s="61"/>
      <c r="BV1071" s="61"/>
      <c r="BW1071" s="61">
        <v>2568221174</v>
      </c>
      <c r="BX1071" s="61">
        <v>1323500597</v>
      </c>
      <c r="BY1071" s="61">
        <v>1183888010</v>
      </c>
      <c r="BZ1071" s="61">
        <v>188717296</v>
      </c>
      <c r="CA1071" s="61">
        <v>497123715</v>
      </c>
      <c r="CB1071" s="61"/>
      <c r="CC1071" s="61"/>
      <c r="CD1071" s="61"/>
      <c r="CE1071" s="61">
        <v>2499805047</v>
      </c>
      <c r="CF1071" s="61"/>
      <c r="CG1071" s="61">
        <f t="shared" si="149"/>
        <v>50054463010</v>
      </c>
      <c r="CH1071" s="62">
        <f>VLOOKUP(B1071,[1]RPTNCT049_ConsultaSaldosContabl!I$4:K$7987,3,0)</f>
        <v>47313926512</v>
      </c>
      <c r="CI1071" s="62">
        <f t="shared" si="150"/>
        <v>2740536498</v>
      </c>
      <c r="CJ1071" s="63">
        <f t="shared" si="151"/>
        <v>50054463010</v>
      </c>
      <c r="CK1071" s="64">
        <f t="shared" si="152"/>
        <v>0</v>
      </c>
      <c r="CL1071" s="16"/>
      <c r="CM1071" s="8"/>
      <c r="CN1071" s="8"/>
      <c r="CO1071" s="8"/>
      <c r="CP1071" s="8"/>
      <c r="CQ1071" s="8"/>
      <c r="CR1071" s="8"/>
    </row>
    <row r="1072" spans="1:96" ht="15" customHeight="1" x14ac:dyDescent="0.2">
      <c r="A1072" s="1">
        <v>8909075154</v>
      </c>
      <c r="B1072" s="1">
        <v>890907515</v>
      </c>
      <c r="C1072" s="9">
        <v>214705847</v>
      </c>
      <c r="D1072" s="10" t="s">
        <v>150</v>
      </c>
      <c r="E1072" s="45" t="s">
        <v>1179</v>
      </c>
      <c r="F1072" s="21"/>
      <c r="G1072" s="59"/>
      <c r="H1072" s="21"/>
      <c r="I1072" s="59"/>
      <c r="J1072" s="21"/>
      <c r="K1072" s="21"/>
      <c r="L1072" s="59"/>
      <c r="M1072" s="60"/>
      <c r="N1072" s="21"/>
      <c r="O1072" s="59"/>
      <c r="P1072" s="21"/>
      <c r="Q1072" s="59"/>
      <c r="R1072" s="21"/>
      <c r="S1072" s="21"/>
      <c r="T1072" s="59"/>
      <c r="U1072" s="60">
        <f t="shared" si="147"/>
        <v>0</v>
      </c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>
        <v>487482501</v>
      </c>
      <c r="AN1072" s="60">
        <f t="shared" si="155"/>
        <v>487482501</v>
      </c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>
        <v>238674975</v>
      </c>
      <c r="AZ1072" s="60"/>
      <c r="BA1072" s="60"/>
      <c r="BB1072" s="60"/>
      <c r="BC1072" s="61">
        <f t="shared" si="148"/>
        <v>726157476</v>
      </c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>
        <v>47734995</v>
      </c>
      <c r="BO1072" s="60"/>
      <c r="BP1072" s="61">
        <v>773892471</v>
      </c>
      <c r="BQ1072" s="61"/>
      <c r="BR1072" s="61"/>
      <c r="BS1072" s="61"/>
      <c r="BT1072" s="61"/>
      <c r="BU1072" s="61"/>
      <c r="BV1072" s="61"/>
      <c r="BW1072" s="61"/>
      <c r="BX1072" s="61"/>
      <c r="BY1072" s="61"/>
      <c r="BZ1072" s="61"/>
      <c r="CA1072" s="61"/>
      <c r="CB1072" s="61"/>
      <c r="CC1072" s="61">
        <v>47734995</v>
      </c>
      <c r="CD1072" s="61"/>
      <c r="CE1072" s="61"/>
      <c r="CF1072" s="61"/>
      <c r="CG1072" s="61">
        <f t="shared" si="149"/>
        <v>821627466</v>
      </c>
      <c r="CH1072" s="62">
        <f>VLOOKUP(B1072,[1]RPTNCT049_ConsultaSaldosContabl!I$4:K$7987,3,0)</f>
        <v>334144965</v>
      </c>
      <c r="CI1072" s="62">
        <f t="shared" si="150"/>
        <v>487482501</v>
      </c>
      <c r="CJ1072" s="63">
        <f t="shared" si="151"/>
        <v>821627466</v>
      </c>
      <c r="CK1072" s="64">
        <f t="shared" si="152"/>
        <v>0</v>
      </c>
      <c r="CL1072" s="16"/>
      <c r="CM1072" s="16"/>
      <c r="CN1072" s="16"/>
    </row>
    <row r="1073" spans="1:96" ht="15" customHeight="1" x14ac:dyDescent="0.2">
      <c r="A1073" s="1">
        <v>8000594056</v>
      </c>
      <c r="B1073" s="1">
        <v>800059405</v>
      </c>
      <c r="C1073" s="9">
        <v>215544855</v>
      </c>
      <c r="D1073" s="10" t="s">
        <v>638</v>
      </c>
      <c r="E1073" s="45" t="s">
        <v>1657</v>
      </c>
      <c r="F1073" s="21"/>
      <c r="G1073" s="59"/>
      <c r="H1073" s="21"/>
      <c r="I1073" s="59"/>
      <c r="J1073" s="21"/>
      <c r="K1073" s="21"/>
      <c r="L1073" s="59"/>
      <c r="M1073" s="60"/>
      <c r="N1073" s="21"/>
      <c r="O1073" s="59"/>
      <c r="P1073" s="21"/>
      <c r="Q1073" s="59"/>
      <c r="R1073" s="21"/>
      <c r="S1073" s="21"/>
      <c r="T1073" s="59"/>
      <c r="U1073" s="60">
        <f t="shared" si="147"/>
        <v>0</v>
      </c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>
        <f>VLOOKUP(B1073,[2]Hoja3!J$3:K$674,2,0)</f>
        <v>149160432</v>
      </c>
      <c r="BB1073" s="60"/>
      <c r="BC1073" s="61">
        <f t="shared" si="148"/>
        <v>149160432</v>
      </c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>
        <v>19204439</v>
      </c>
      <c r="BO1073" s="60"/>
      <c r="BP1073" s="61">
        <v>168364871</v>
      </c>
      <c r="BQ1073" s="61"/>
      <c r="BR1073" s="61"/>
      <c r="BS1073" s="61"/>
      <c r="BT1073" s="61"/>
      <c r="BU1073" s="61"/>
      <c r="BV1073" s="61"/>
      <c r="BW1073" s="61"/>
      <c r="BX1073" s="61"/>
      <c r="BY1073" s="61"/>
      <c r="BZ1073" s="61"/>
      <c r="CA1073" s="61"/>
      <c r="CB1073" s="61"/>
      <c r="CC1073" s="61">
        <v>19204439</v>
      </c>
      <c r="CD1073" s="61">
        <v>96022195</v>
      </c>
      <c r="CE1073" s="61"/>
      <c r="CF1073" s="61"/>
      <c r="CG1073" s="61">
        <f t="shared" si="149"/>
        <v>283591505</v>
      </c>
      <c r="CH1073" s="62">
        <f>VLOOKUP(B1073,[1]RPTNCT049_ConsultaSaldosContabl!I$4:K$7987,3,0)</f>
        <v>134431073</v>
      </c>
      <c r="CI1073" s="62">
        <f t="shared" si="150"/>
        <v>149160432</v>
      </c>
      <c r="CJ1073" s="63">
        <f t="shared" si="151"/>
        <v>283591505</v>
      </c>
      <c r="CK1073" s="64">
        <f t="shared" si="152"/>
        <v>0</v>
      </c>
      <c r="CL1073" s="16"/>
      <c r="CM1073" s="16"/>
      <c r="CN1073" s="16"/>
    </row>
    <row r="1074" spans="1:96" ht="15" customHeight="1" x14ac:dyDescent="0.2">
      <c r="A1074" s="1">
        <v>8000943783</v>
      </c>
      <c r="B1074" s="1">
        <v>800094378</v>
      </c>
      <c r="C1074" s="9">
        <v>214908849</v>
      </c>
      <c r="D1074" s="10" t="s">
        <v>180</v>
      </c>
      <c r="E1074" s="45" t="s">
        <v>1209</v>
      </c>
      <c r="F1074" s="21"/>
      <c r="G1074" s="59"/>
      <c r="H1074" s="21"/>
      <c r="I1074" s="59"/>
      <c r="J1074" s="21"/>
      <c r="K1074" s="21"/>
      <c r="L1074" s="59"/>
      <c r="M1074" s="60"/>
      <c r="N1074" s="21"/>
      <c r="O1074" s="59"/>
      <c r="P1074" s="21"/>
      <c r="Q1074" s="59"/>
      <c r="R1074" s="21"/>
      <c r="S1074" s="21"/>
      <c r="T1074" s="59"/>
      <c r="U1074" s="60">
        <f t="shared" si="147"/>
        <v>0</v>
      </c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>
        <v>61971710</v>
      </c>
      <c r="AZ1074" s="60"/>
      <c r="BA1074" s="60">
        <f>VLOOKUP(B1074,[2]Hoja3!J$3:K$674,2,0)</f>
        <v>117164688</v>
      </c>
      <c r="BB1074" s="60"/>
      <c r="BC1074" s="61">
        <f t="shared" si="148"/>
        <v>179136398</v>
      </c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>
        <v>12394342</v>
      </c>
      <c r="BO1074" s="60"/>
      <c r="BP1074" s="61">
        <v>191530740</v>
      </c>
      <c r="BQ1074" s="61"/>
      <c r="BR1074" s="61"/>
      <c r="BS1074" s="61"/>
      <c r="BT1074" s="61"/>
      <c r="BU1074" s="61"/>
      <c r="BV1074" s="61"/>
      <c r="BW1074" s="61"/>
      <c r="BX1074" s="61"/>
      <c r="BY1074" s="61"/>
      <c r="BZ1074" s="61"/>
      <c r="CA1074" s="61"/>
      <c r="CB1074" s="61"/>
      <c r="CC1074" s="61">
        <v>12394342</v>
      </c>
      <c r="CD1074" s="61"/>
      <c r="CE1074" s="61"/>
      <c r="CF1074" s="61"/>
      <c r="CG1074" s="61">
        <f t="shared" si="149"/>
        <v>203925082</v>
      </c>
      <c r="CH1074" s="62">
        <f>VLOOKUP(B1074,[1]RPTNCT049_ConsultaSaldosContabl!I$4:K$7987,3,0)</f>
        <v>86760394</v>
      </c>
      <c r="CI1074" s="62">
        <f t="shared" si="150"/>
        <v>117164688</v>
      </c>
      <c r="CJ1074" s="63">
        <f t="shared" si="151"/>
        <v>203925082</v>
      </c>
      <c r="CK1074" s="64">
        <f t="shared" si="152"/>
        <v>0</v>
      </c>
      <c r="CL1074" s="16"/>
      <c r="CM1074" s="16"/>
      <c r="CN1074" s="16"/>
    </row>
    <row r="1075" spans="1:96" ht="15" customHeight="1" x14ac:dyDescent="0.2">
      <c r="A1075" s="1">
        <v>8999994073</v>
      </c>
      <c r="B1075" s="1">
        <v>899999407</v>
      </c>
      <c r="C1075" s="9">
        <v>215125851</v>
      </c>
      <c r="D1075" s="10" t="s">
        <v>558</v>
      </c>
      <c r="E1075" s="45" t="s">
        <v>1578</v>
      </c>
      <c r="F1075" s="21"/>
      <c r="G1075" s="59"/>
      <c r="H1075" s="21"/>
      <c r="I1075" s="59"/>
      <c r="J1075" s="21"/>
      <c r="K1075" s="21"/>
      <c r="L1075" s="59"/>
      <c r="M1075" s="60"/>
      <c r="N1075" s="21"/>
      <c r="O1075" s="59"/>
      <c r="P1075" s="21"/>
      <c r="Q1075" s="59"/>
      <c r="R1075" s="21"/>
      <c r="S1075" s="21"/>
      <c r="T1075" s="59"/>
      <c r="U1075" s="60">
        <f t="shared" si="147"/>
        <v>0</v>
      </c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>
        <v>45357577</v>
      </c>
      <c r="AN1075" s="60">
        <f>SUBTOTAL(9,AC1075:AM1075)</f>
        <v>45357577</v>
      </c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>
        <v>28191155</v>
      </c>
      <c r="AZ1075" s="60"/>
      <c r="BA1075" s="60"/>
      <c r="BB1075" s="60">
        <f>VLOOKUP(B1075,'[3]anuladas en mayo gratuidad}'!K$2:L$55,2,0)</f>
        <v>45357577</v>
      </c>
      <c r="BC1075" s="61">
        <f t="shared" si="148"/>
        <v>28191155</v>
      </c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>
        <v>5638231</v>
      </c>
      <c r="BO1075" s="60"/>
      <c r="BP1075" s="61">
        <v>33829386</v>
      </c>
      <c r="BQ1075" s="61"/>
      <c r="BR1075" s="61"/>
      <c r="BS1075" s="61"/>
      <c r="BT1075" s="61"/>
      <c r="BU1075" s="61"/>
      <c r="BV1075" s="61"/>
      <c r="BW1075" s="61"/>
      <c r="BX1075" s="61"/>
      <c r="BY1075" s="61"/>
      <c r="BZ1075" s="61"/>
      <c r="CA1075" s="61"/>
      <c r="CB1075" s="61"/>
      <c r="CC1075" s="61">
        <v>5638231</v>
      </c>
      <c r="CD1075" s="61"/>
      <c r="CE1075" s="61"/>
      <c r="CF1075" s="61"/>
      <c r="CG1075" s="61">
        <f t="shared" si="149"/>
        <v>39467617</v>
      </c>
      <c r="CH1075" s="62">
        <f>VLOOKUP(B1075,[1]RPTNCT049_ConsultaSaldosContabl!I$4:K$7987,3,0)</f>
        <v>39467617</v>
      </c>
      <c r="CI1075" s="62">
        <f t="shared" si="150"/>
        <v>0</v>
      </c>
      <c r="CJ1075" s="63">
        <f t="shared" si="151"/>
        <v>39467617</v>
      </c>
      <c r="CK1075" s="64">
        <f t="shared" si="152"/>
        <v>0</v>
      </c>
      <c r="CL1075" s="16"/>
      <c r="CM1075" s="16"/>
      <c r="CN1075" s="16"/>
    </row>
    <row r="1076" spans="1:96" ht="15" customHeight="1" x14ac:dyDescent="0.2">
      <c r="A1076" s="1">
        <v>8909811061</v>
      </c>
      <c r="B1076" s="1">
        <v>890981106</v>
      </c>
      <c r="C1076" s="9">
        <v>215405854</v>
      </c>
      <c r="D1076" s="10" t="s">
        <v>151</v>
      </c>
      <c r="E1076" s="45" t="s">
        <v>1180</v>
      </c>
      <c r="F1076" s="21"/>
      <c r="G1076" s="59"/>
      <c r="H1076" s="21"/>
      <c r="I1076" s="59"/>
      <c r="J1076" s="21"/>
      <c r="K1076" s="21"/>
      <c r="L1076" s="59"/>
      <c r="M1076" s="60"/>
      <c r="N1076" s="21"/>
      <c r="O1076" s="59"/>
      <c r="P1076" s="21"/>
      <c r="Q1076" s="59"/>
      <c r="R1076" s="21"/>
      <c r="S1076" s="21"/>
      <c r="T1076" s="59"/>
      <c r="U1076" s="60">
        <f t="shared" si="147"/>
        <v>0</v>
      </c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>
        <v>145010885</v>
      </c>
      <c r="AZ1076" s="60"/>
      <c r="BA1076" s="60">
        <f>VLOOKUP(B1076,[2]Hoja3!J$3:K$674,2,0)</f>
        <v>260075606</v>
      </c>
      <c r="BB1076" s="60"/>
      <c r="BC1076" s="61">
        <f t="shared" si="148"/>
        <v>405086491</v>
      </c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>
        <v>29002177</v>
      </c>
      <c r="BO1076" s="60"/>
      <c r="BP1076" s="61">
        <v>434088668</v>
      </c>
      <c r="BQ1076" s="61"/>
      <c r="BR1076" s="61"/>
      <c r="BS1076" s="61"/>
      <c r="BT1076" s="61"/>
      <c r="BU1076" s="61"/>
      <c r="BV1076" s="61"/>
      <c r="BW1076" s="61"/>
      <c r="BX1076" s="61"/>
      <c r="BY1076" s="61"/>
      <c r="BZ1076" s="61"/>
      <c r="CA1076" s="61"/>
      <c r="CB1076" s="61"/>
      <c r="CC1076" s="61">
        <v>29002177</v>
      </c>
      <c r="CD1076" s="61"/>
      <c r="CE1076" s="61"/>
      <c r="CF1076" s="61"/>
      <c r="CG1076" s="61">
        <f t="shared" si="149"/>
        <v>463090845</v>
      </c>
      <c r="CH1076" s="62">
        <f>VLOOKUP(B1076,[1]RPTNCT049_ConsultaSaldosContabl!I$4:K$7987,3,0)</f>
        <v>203015239</v>
      </c>
      <c r="CI1076" s="62">
        <f t="shared" si="150"/>
        <v>260075606</v>
      </c>
      <c r="CJ1076" s="63">
        <f t="shared" si="151"/>
        <v>463090845</v>
      </c>
      <c r="CK1076" s="64">
        <f t="shared" si="152"/>
        <v>0</v>
      </c>
      <c r="CL1076" s="16"/>
      <c r="CM1076" s="16"/>
      <c r="CN1076" s="16"/>
    </row>
    <row r="1077" spans="1:96" ht="15" customHeight="1" x14ac:dyDescent="0.2">
      <c r="A1077" s="1">
        <v>8000968088</v>
      </c>
      <c r="B1077" s="1">
        <v>800096808</v>
      </c>
      <c r="C1077" s="9">
        <v>215523855</v>
      </c>
      <c r="D1077" s="10" t="s">
        <v>459</v>
      </c>
      <c r="E1077" s="45" t="s">
        <v>1486</v>
      </c>
      <c r="F1077" s="21"/>
      <c r="G1077" s="59"/>
      <c r="H1077" s="21"/>
      <c r="I1077" s="59"/>
      <c r="J1077" s="21"/>
      <c r="K1077" s="21"/>
      <c r="L1077" s="59"/>
      <c r="M1077" s="60"/>
      <c r="N1077" s="21"/>
      <c r="O1077" s="59"/>
      <c r="P1077" s="21"/>
      <c r="Q1077" s="59"/>
      <c r="R1077" s="21"/>
      <c r="S1077" s="21"/>
      <c r="T1077" s="59"/>
      <c r="U1077" s="60">
        <f t="shared" si="147"/>
        <v>0</v>
      </c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>
        <v>463837804</v>
      </c>
      <c r="AN1077" s="60">
        <f>SUBTOTAL(9,AC1077:AM1077)</f>
        <v>463837804</v>
      </c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>
        <v>498408475</v>
      </c>
      <c r="AZ1077" s="60"/>
      <c r="BA1077" s="60"/>
      <c r="BB1077" s="60"/>
      <c r="BC1077" s="61">
        <f t="shared" si="148"/>
        <v>962246279</v>
      </c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>
        <v>99681695</v>
      </c>
      <c r="BO1077" s="60"/>
      <c r="BP1077" s="61">
        <v>1061927974</v>
      </c>
      <c r="BQ1077" s="61"/>
      <c r="BR1077" s="61"/>
      <c r="BS1077" s="61"/>
      <c r="BT1077" s="61"/>
      <c r="BU1077" s="61"/>
      <c r="BV1077" s="61"/>
      <c r="BW1077" s="61"/>
      <c r="BX1077" s="61"/>
      <c r="BY1077" s="61"/>
      <c r="BZ1077" s="61"/>
      <c r="CA1077" s="61"/>
      <c r="CB1077" s="61"/>
      <c r="CC1077" s="61">
        <v>99681695</v>
      </c>
      <c r="CD1077" s="61"/>
      <c r="CE1077" s="61">
        <v>125284100</v>
      </c>
      <c r="CF1077" s="61"/>
      <c r="CG1077" s="61">
        <f t="shared" si="149"/>
        <v>1286893769</v>
      </c>
      <c r="CH1077" s="62">
        <f>VLOOKUP(B1077,[1]RPTNCT049_ConsultaSaldosContabl!I$4:K$7987,3,0)</f>
        <v>697771865</v>
      </c>
      <c r="CI1077" s="62">
        <f t="shared" si="150"/>
        <v>589121904</v>
      </c>
      <c r="CJ1077" s="63">
        <f t="shared" si="151"/>
        <v>1286893769</v>
      </c>
      <c r="CK1077" s="64">
        <f t="shared" si="152"/>
        <v>0</v>
      </c>
      <c r="CL1077" s="16"/>
      <c r="CM1077" s="16"/>
      <c r="CN1077" s="16"/>
    </row>
    <row r="1078" spans="1:96" ht="15" customHeight="1" x14ac:dyDescent="0.2">
      <c r="A1078" s="1">
        <v>8001001436</v>
      </c>
      <c r="B1078" s="1">
        <v>800100143</v>
      </c>
      <c r="C1078" s="9">
        <v>215473854</v>
      </c>
      <c r="D1078" s="10" t="s">
        <v>2241</v>
      </c>
      <c r="E1078" s="45" t="s">
        <v>1969</v>
      </c>
      <c r="F1078" s="21"/>
      <c r="G1078" s="59"/>
      <c r="H1078" s="21"/>
      <c r="I1078" s="59"/>
      <c r="J1078" s="21"/>
      <c r="K1078" s="21"/>
      <c r="L1078" s="59"/>
      <c r="M1078" s="60"/>
      <c r="N1078" s="21"/>
      <c r="O1078" s="59"/>
      <c r="P1078" s="21"/>
      <c r="Q1078" s="59"/>
      <c r="R1078" s="21"/>
      <c r="S1078" s="21"/>
      <c r="T1078" s="59"/>
      <c r="U1078" s="60">
        <f t="shared" si="147"/>
        <v>0</v>
      </c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>
        <v>30028272</v>
      </c>
      <c r="AN1078" s="60">
        <f>SUBTOTAL(9,AC1078:AM1078)</f>
        <v>30028272</v>
      </c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>
        <v>40128810</v>
      </c>
      <c r="AZ1078" s="60"/>
      <c r="BA1078" s="60">
        <f>VLOOKUP(B1078,[2]Hoja3!J$3:K$674,2,0)</f>
        <v>50267030</v>
      </c>
      <c r="BB1078" s="60"/>
      <c r="BC1078" s="61">
        <f t="shared" si="148"/>
        <v>120424112</v>
      </c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>
        <v>8025762</v>
      </c>
      <c r="BO1078" s="60"/>
      <c r="BP1078" s="61">
        <v>128449874</v>
      </c>
      <c r="BQ1078" s="61"/>
      <c r="BR1078" s="61"/>
      <c r="BS1078" s="61"/>
      <c r="BT1078" s="61"/>
      <c r="BU1078" s="61"/>
      <c r="BV1078" s="61"/>
      <c r="BW1078" s="61"/>
      <c r="BX1078" s="61"/>
      <c r="BY1078" s="61"/>
      <c r="BZ1078" s="61"/>
      <c r="CA1078" s="61"/>
      <c r="CB1078" s="61"/>
      <c r="CC1078" s="61">
        <v>8025762</v>
      </c>
      <c r="CD1078" s="61"/>
      <c r="CE1078" s="61"/>
      <c r="CF1078" s="61"/>
      <c r="CG1078" s="61">
        <f t="shared" si="149"/>
        <v>136475636</v>
      </c>
      <c r="CH1078" s="62">
        <f>VLOOKUP(B1078,[1]RPTNCT049_ConsultaSaldosContabl!I$4:K$7987,3,0)</f>
        <v>56180334</v>
      </c>
      <c r="CI1078" s="62">
        <f t="shared" si="150"/>
        <v>80295302</v>
      </c>
      <c r="CJ1078" s="63">
        <f t="shared" si="151"/>
        <v>136475636</v>
      </c>
      <c r="CK1078" s="64">
        <f t="shared" si="152"/>
        <v>0</v>
      </c>
      <c r="CL1078" s="16"/>
      <c r="CM1078" s="16"/>
      <c r="CN1078" s="16"/>
    </row>
    <row r="1079" spans="1:96" ht="15" customHeight="1" x14ac:dyDescent="0.2">
      <c r="A1079" s="1">
        <v>8001029122</v>
      </c>
      <c r="B1079" s="1">
        <v>800102912</v>
      </c>
      <c r="C1079" s="9">
        <v>216586865</v>
      </c>
      <c r="D1079" s="10" t="s">
        <v>985</v>
      </c>
      <c r="E1079" s="45" t="s">
        <v>2042</v>
      </c>
      <c r="F1079" s="21"/>
      <c r="G1079" s="59"/>
      <c r="H1079" s="21"/>
      <c r="I1079" s="59"/>
      <c r="J1079" s="21"/>
      <c r="K1079" s="21"/>
      <c r="L1079" s="59"/>
      <c r="M1079" s="60"/>
      <c r="N1079" s="21"/>
      <c r="O1079" s="59"/>
      <c r="P1079" s="21"/>
      <c r="Q1079" s="59"/>
      <c r="R1079" s="21"/>
      <c r="S1079" s="21"/>
      <c r="T1079" s="59"/>
      <c r="U1079" s="60">
        <f t="shared" si="147"/>
        <v>0</v>
      </c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>
        <v>295738776</v>
      </c>
      <c r="AN1079" s="60">
        <f>SUBTOTAL(9,AC1079:AM1079)</f>
        <v>295738776</v>
      </c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>
        <v>348362800</v>
      </c>
      <c r="AZ1079" s="60"/>
      <c r="BA1079" s="60">
        <f>VLOOKUP(B1079,[2]Hoja3!J$3:K$674,2,0)</f>
        <v>265940919</v>
      </c>
      <c r="BB1079" s="60"/>
      <c r="BC1079" s="61">
        <f t="shared" si="148"/>
        <v>910042495</v>
      </c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>
        <v>69672560</v>
      </c>
      <c r="BO1079" s="60"/>
      <c r="BP1079" s="61">
        <v>979715055</v>
      </c>
      <c r="BQ1079" s="61"/>
      <c r="BR1079" s="61"/>
      <c r="BS1079" s="61"/>
      <c r="BT1079" s="61"/>
      <c r="BU1079" s="61"/>
      <c r="BV1079" s="61"/>
      <c r="BW1079" s="61"/>
      <c r="BX1079" s="61"/>
      <c r="BY1079" s="61"/>
      <c r="BZ1079" s="61"/>
      <c r="CA1079" s="61"/>
      <c r="CB1079" s="61"/>
      <c r="CC1079" s="61">
        <v>69672560</v>
      </c>
      <c r="CD1079" s="61"/>
      <c r="CE1079" s="61"/>
      <c r="CF1079" s="61"/>
      <c r="CG1079" s="61">
        <f t="shared" si="149"/>
        <v>1049387615</v>
      </c>
      <c r="CH1079" s="62">
        <f>VLOOKUP(B1079,[1]RPTNCT049_ConsultaSaldosContabl!I$4:K$7987,3,0)</f>
        <v>487707920</v>
      </c>
      <c r="CI1079" s="62">
        <f t="shared" si="150"/>
        <v>561679695</v>
      </c>
      <c r="CJ1079" s="63">
        <f t="shared" si="151"/>
        <v>1049387615</v>
      </c>
      <c r="CK1079" s="64">
        <f t="shared" si="152"/>
        <v>0</v>
      </c>
      <c r="CL1079" s="16"/>
      <c r="CM1079" s="16"/>
      <c r="CN1079" s="16"/>
    </row>
    <row r="1080" spans="1:96" ht="15" customHeight="1" x14ac:dyDescent="0.2">
      <c r="A1080" s="1">
        <v>8902054605</v>
      </c>
      <c r="B1080" s="1">
        <v>890205460</v>
      </c>
      <c r="C1080" s="9">
        <v>215568855</v>
      </c>
      <c r="D1080" s="10" t="s">
        <v>2134</v>
      </c>
      <c r="E1080" s="45" t="s">
        <v>1899</v>
      </c>
      <c r="F1080" s="21"/>
      <c r="G1080" s="59"/>
      <c r="H1080" s="21"/>
      <c r="I1080" s="59"/>
      <c r="J1080" s="21"/>
      <c r="K1080" s="21"/>
      <c r="L1080" s="59"/>
      <c r="M1080" s="60"/>
      <c r="N1080" s="21"/>
      <c r="O1080" s="59"/>
      <c r="P1080" s="21"/>
      <c r="Q1080" s="59"/>
      <c r="R1080" s="21"/>
      <c r="S1080" s="21"/>
      <c r="T1080" s="59"/>
      <c r="U1080" s="60">
        <f t="shared" si="147"/>
        <v>0</v>
      </c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>
        <v>85961910</v>
      </c>
      <c r="AN1080" s="60">
        <f>SUBTOTAL(9,AC1080:AM1080)</f>
        <v>85961910</v>
      </c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>
        <v>29103170</v>
      </c>
      <c r="AZ1080" s="60"/>
      <c r="BA1080" s="60"/>
      <c r="BB1080" s="60"/>
      <c r="BC1080" s="61">
        <f t="shared" si="148"/>
        <v>115065080</v>
      </c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>
        <v>5820634</v>
      </c>
      <c r="BO1080" s="60"/>
      <c r="BP1080" s="61">
        <v>120885714</v>
      </c>
      <c r="BQ1080" s="61"/>
      <c r="BR1080" s="61"/>
      <c r="BS1080" s="61"/>
      <c r="BT1080" s="61"/>
      <c r="BU1080" s="61"/>
      <c r="BV1080" s="61"/>
      <c r="BW1080" s="61"/>
      <c r="BX1080" s="61"/>
      <c r="BY1080" s="61"/>
      <c r="BZ1080" s="61"/>
      <c r="CA1080" s="61"/>
      <c r="CB1080" s="61"/>
      <c r="CC1080" s="61">
        <v>5820634</v>
      </c>
      <c r="CD1080" s="61"/>
      <c r="CE1080" s="61"/>
      <c r="CF1080" s="61"/>
      <c r="CG1080" s="61">
        <f t="shared" si="149"/>
        <v>126706348</v>
      </c>
      <c r="CH1080" s="62">
        <f>VLOOKUP(B1080,[1]RPTNCT049_ConsultaSaldosContabl!I$4:K$7987,3,0)</f>
        <v>40744438</v>
      </c>
      <c r="CI1080" s="62">
        <f t="shared" si="150"/>
        <v>85961910</v>
      </c>
      <c r="CJ1080" s="63">
        <f t="shared" si="151"/>
        <v>126706348</v>
      </c>
      <c r="CK1080" s="64">
        <f t="shared" si="152"/>
        <v>0</v>
      </c>
      <c r="CL1080" s="16"/>
      <c r="CM1080" s="16"/>
      <c r="CN1080" s="16"/>
    </row>
    <row r="1081" spans="1:96" ht="15" customHeight="1" x14ac:dyDescent="0.2">
      <c r="A1081" s="1">
        <v>8000989118</v>
      </c>
      <c r="B1081" s="1">
        <v>800098911</v>
      </c>
      <c r="C1081" s="9">
        <v>210120001</v>
      </c>
      <c r="D1081" s="10" t="s">
        <v>2191</v>
      </c>
      <c r="E1081" s="47" t="s">
        <v>1019</v>
      </c>
      <c r="F1081" s="21"/>
      <c r="G1081" s="59"/>
      <c r="H1081" s="21"/>
      <c r="I1081" s="59">
        <f>9548557501+169246858</f>
        <v>9717804359</v>
      </c>
      <c r="J1081" s="21">
        <v>656632324</v>
      </c>
      <c r="K1081" s="21">
        <v>1307379949</v>
      </c>
      <c r="L1081" s="59"/>
      <c r="M1081" s="61">
        <f>SUM(F1081:L1081)</f>
        <v>11681816632</v>
      </c>
      <c r="N1081" s="21"/>
      <c r="O1081" s="59"/>
      <c r="P1081" s="21"/>
      <c r="Q1081" s="59">
        <f>10366216729+1714217079</f>
        <v>12080433808</v>
      </c>
      <c r="R1081" s="21">
        <v>657035709</v>
      </c>
      <c r="S1081" s="21">
        <f>650747625+657035709</f>
        <v>1307783334</v>
      </c>
      <c r="T1081" s="59"/>
      <c r="U1081" s="60">
        <f t="shared" si="147"/>
        <v>25727069483</v>
      </c>
      <c r="V1081" s="60"/>
      <c r="W1081" s="60"/>
      <c r="X1081" s="60"/>
      <c r="Y1081" s="60">
        <v>17261452469</v>
      </c>
      <c r="Z1081" s="60">
        <v>611297135</v>
      </c>
      <c r="AA1081" s="60">
        <v>1424224786</v>
      </c>
      <c r="AB1081" s="60"/>
      <c r="AC1081" s="60">
        <f t="shared" si="153"/>
        <v>45024043873</v>
      </c>
      <c r="AD1081" s="60"/>
      <c r="AE1081" s="60"/>
      <c r="AF1081" s="60"/>
      <c r="AG1081" s="60"/>
      <c r="AH1081" s="60">
        <v>12362375773</v>
      </c>
      <c r="AI1081" s="60">
        <v>2092217856</v>
      </c>
      <c r="AJ1081" s="60">
        <v>658440660</v>
      </c>
      <c r="AK1081" s="60">
        <v>1662042829</v>
      </c>
      <c r="AL1081" s="60"/>
      <c r="AM1081" s="60">
        <v>4398839344</v>
      </c>
      <c r="AN1081" s="60">
        <f>SUBTOTAL(9,AC1081:AM1081)</f>
        <v>66197960335</v>
      </c>
      <c r="AO1081" s="60"/>
      <c r="AP1081" s="60"/>
      <c r="AQ1081" s="60">
        <v>2316443255</v>
      </c>
      <c r="AR1081" s="60"/>
      <c r="AS1081" s="60"/>
      <c r="AT1081" s="60">
        <v>11362375773</v>
      </c>
      <c r="AU1081" s="60">
        <v>1753553076</v>
      </c>
      <c r="AV1081" s="60">
        <v>658440660</v>
      </c>
      <c r="AW1081" s="60">
        <v>1126198001</v>
      </c>
      <c r="AX1081" s="60"/>
      <c r="AY1081" s="60"/>
      <c r="AZ1081" s="60"/>
      <c r="BA1081" s="60">
        <f>VLOOKUP(B1081,[2]Hoja3!J$3:K$674,2,0)</f>
        <v>653822899</v>
      </c>
      <c r="BB1081" s="60">
        <f>VLOOKUP(B1081,'[3]anuladas en mayo gratuidad}'!K$2:L$55,2,0)</f>
        <v>170860306</v>
      </c>
      <c r="BC1081" s="61">
        <f t="shared" si="148"/>
        <v>83897933693</v>
      </c>
      <c r="BD1081" s="60"/>
      <c r="BE1081" s="60"/>
      <c r="BF1081" s="60">
        <v>463288651</v>
      </c>
      <c r="BG1081" s="60"/>
      <c r="BH1081" s="60"/>
      <c r="BI1081" s="60">
        <v>10200778723</v>
      </c>
      <c r="BJ1081" s="60">
        <v>1088866250</v>
      </c>
      <c r="BK1081" s="60">
        <v>709783022</v>
      </c>
      <c r="BL1081" s="60">
        <v>1789499815</v>
      </c>
      <c r="BM1081" s="60"/>
      <c r="BN1081" s="60"/>
      <c r="BO1081" s="60"/>
      <c r="BP1081" s="61">
        <v>98150150154</v>
      </c>
      <c r="BQ1081" s="61"/>
      <c r="BR1081" s="61"/>
      <c r="BS1081" s="61">
        <v>463288651</v>
      </c>
      <c r="BT1081" s="61"/>
      <c r="BU1081" s="61"/>
      <c r="BV1081" s="61"/>
      <c r="BW1081" s="61">
        <v>10026703544</v>
      </c>
      <c r="BX1081" s="61">
        <v>385875476</v>
      </c>
      <c r="BY1081" s="61">
        <v>4545440359</v>
      </c>
      <c r="BZ1081" s="61">
        <v>674434045</v>
      </c>
      <c r="CA1081" s="61">
        <v>1753643318</v>
      </c>
      <c r="CB1081" s="61"/>
      <c r="CC1081" s="61"/>
      <c r="CD1081" s="61"/>
      <c r="CE1081" s="61">
        <v>142209924</v>
      </c>
      <c r="CF1081" s="61"/>
      <c r="CG1081" s="61">
        <f t="shared" si="149"/>
        <v>116141745471</v>
      </c>
      <c r="CH1081" s="62">
        <f>VLOOKUP(B1081,[1]RPTNCT049_ConsultaSaldosContabl!I$4:K$7987,3,0)</f>
        <v>111117733610</v>
      </c>
      <c r="CI1081" s="62">
        <f t="shared" si="150"/>
        <v>5024011861</v>
      </c>
      <c r="CJ1081" s="63">
        <f t="shared" si="151"/>
        <v>116141745471</v>
      </c>
      <c r="CK1081" s="64">
        <f t="shared" si="152"/>
        <v>0</v>
      </c>
      <c r="CL1081" s="16"/>
      <c r="CM1081" s="16"/>
      <c r="CN1081" s="16"/>
    </row>
    <row r="1082" spans="1:96" ht="15" customHeight="1" x14ac:dyDescent="0.2">
      <c r="A1082" s="1">
        <v>8909841862</v>
      </c>
      <c r="B1082" s="1">
        <v>890984186</v>
      </c>
      <c r="C1082" s="9">
        <v>215605856</v>
      </c>
      <c r="D1082" s="10" t="s">
        <v>152</v>
      </c>
      <c r="E1082" s="45" t="s">
        <v>1181</v>
      </c>
      <c r="F1082" s="21"/>
      <c r="G1082" s="59"/>
      <c r="H1082" s="21"/>
      <c r="I1082" s="59"/>
      <c r="J1082" s="21"/>
      <c r="K1082" s="21"/>
      <c r="L1082" s="59"/>
      <c r="M1082" s="60"/>
      <c r="N1082" s="21"/>
      <c r="O1082" s="59"/>
      <c r="P1082" s="21"/>
      <c r="Q1082" s="59"/>
      <c r="R1082" s="21"/>
      <c r="S1082" s="21"/>
      <c r="T1082" s="59"/>
      <c r="U1082" s="60">
        <f t="shared" si="147"/>
        <v>0</v>
      </c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>
        <v>38603040</v>
      </c>
      <c r="AZ1082" s="60"/>
      <c r="BA1082" s="60">
        <f>VLOOKUP(B1082,[2]Hoja3!J$3:K$674,2,0)</f>
        <v>66160249</v>
      </c>
      <c r="BB1082" s="60"/>
      <c r="BC1082" s="61">
        <f t="shared" si="148"/>
        <v>104763289</v>
      </c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>
        <v>7720608</v>
      </c>
      <c r="BO1082" s="60"/>
      <c r="BP1082" s="61">
        <v>112483897</v>
      </c>
      <c r="BQ1082" s="61"/>
      <c r="BR1082" s="61"/>
      <c r="BS1082" s="61"/>
      <c r="BT1082" s="61"/>
      <c r="BU1082" s="61"/>
      <c r="BV1082" s="61"/>
      <c r="BW1082" s="61"/>
      <c r="BX1082" s="61"/>
      <c r="BY1082" s="61"/>
      <c r="BZ1082" s="61"/>
      <c r="CA1082" s="61"/>
      <c r="CB1082" s="61"/>
      <c r="CC1082" s="61">
        <v>7720608</v>
      </c>
      <c r="CD1082" s="61"/>
      <c r="CE1082" s="61"/>
      <c r="CF1082" s="61"/>
      <c r="CG1082" s="61">
        <f t="shared" si="149"/>
        <v>120204505</v>
      </c>
      <c r="CH1082" s="62">
        <f>VLOOKUP(B1082,[1]RPTNCT049_ConsultaSaldosContabl!I$4:K$7987,3,0)</f>
        <v>54044256</v>
      </c>
      <c r="CI1082" s="62">
        <f t="shared" si="150"/>
        <v>66160249</v>
      </c>
      <c r="CJ1082" s="63">
        <f t="shared" si="151"/>
        <v>120204505</v>
      </c>
      <c r="CK1082" s="64">
        <f t="shared" si="152"/>
        <v>0</v>
      </c>
      <c r="CL1082" s="16"/>
      <c r="CM1082" s="16"/>
      <c r="CN1082" s="16"/>
    </row>
    <row r="1083" spans="1:96" ht="15" customHeight="1" x14ac:dyDescent="0.2">
      <c r="A1083" s="1">
        <v>8000504071</v>
      </c>
      <c r="B1083" s="1">
        <v>800050407</v>
      </c>
      <c r="C1083" s="9">
        <v>216018860</v>
      </c>
      <c r="D1083" s="10" t="s">
        <v>372</v>
      </c>
      <c r="E1083" s="45" t="s">
        <v>1404</v>
      </c>
      <c r="F1083" s="21"/>
      <c r="G1083" s="59"/>
      <c r="H1083" s="21"/>
      <c r="I1083" s="59"/>
      <c r="J1083" s="21"/>
      <c r="K1083" s="21"/>
      <c r="L1083" s="59"/>
      <c r="M1083" s="60"/>
      <c r="N1083" s="21"/>
      <c r="O1083" s="59"/>
      <c r="P1083" s="21"/>
      <c r="Q1083" s="59"/>
      <c r="R1083" s="21"/>
      <c r="S1083" s="21"/>
      <c r="T1083" s="59"/>
      <c r="U1083" s="60">
        <f t="shared" si="147"/>
        <v>0</v>
      </c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>
        <v>11896458</v>
      </c>
      <c r="AN1083" s="60">
        <f>SUBTOTAL(9,AC1083:AM1083)</f>
        <v>11896458</v>
      </c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>
        <v>86170295</v>
      </c>
      <c r="AZ1083" s="60"/>
      <c r="BA1083" s="60">
        <f>VLOOKUP(B1083,[2]Hoja3!J$3:K$674,2,0)</f>
        <v>117449252</v>
      </c>
      <c r="BB1083" s="60"/>
      <c r="BC1083" s="61">
        <f t="shared" si="148"/>
        <v>215516005</v>
      </c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>
        <v>17234059</v>
      </c>
      <c r="BO1083" s="60"/>
      <c r="BP1083" s="61">
        <v>232750064</v>
      </c>
      <c r="BQ1083" s="61"/>
      <c r="BR1083" s="61"/>
      <c r="BS1083" s="61"/>
      <c r="BT1083" s="61"/>
      <c r="BU1083" s="61"/>
      <c r="BV1083" s="61"/>
      <c r="BW1083" s="61"/>
      <c r="BX1083" s="61"/>
      <c r="BY1083" s="61"/>
      <c r="BZ1083" s="61"/>
      <c r="CA1083" s="61"/>
      <c r="CB1083" s="61"/>
      <c r="CC1083" s="61">
        <v>17234059</v>
      </c>
      <c r="CD1083" s="61"/>
      <c r="CE1083" s="61"/>
      <c r="CF1083" s="61"/>
      <c r="CG1083" s="61">
        <f t="shared" si="149"/>
        <v>249984123</v>
      </c>
      <c r="CH1083" s="62">
        <f>VLOOKUP(B1083,[1]RPTNCT049_ConsultaSaldosContabl!I$4:K$7987,3,0)</f>
        <v>120638413</v>
      </c>
      <c r="CI1083" s="62">
        <f t="shared" si="150"/>
        <v>129345710</v>
      </c>
      <c r="CJ1083" s="63">
        <f t="shared" si="151"/>
        <v>249984123</v>
      </c>
      <c r="CK1083" s="64">
        <f t="shared" si="152"/>
        <v>0</v>
      </c>
      <c r="CL1083" s="16"/>
      <c r="CM1083" s="16"/>
      <c r="CN1083" s="16"/>
    </row>
    <row r="1084" spans="1:96" ht="15" customHeight="1" x14ac:dyDescent="0.2">
      <c r="A1084" s="1">
        <v>8909852858</v>
      </c>
      <c r="B1084" s="1">
        <v>890985285</v>
      </c>
      <c r="C1084" s="9">
        <v>215805858</v>
      </c>
      <c r="D1084" s="10" t="s">
        <v>153</v>
      </c>
      <c r="E1084" s="45" t="s">
        <v>1182</v>
      </c>
      <c r="F1084" s="21"/>
      <c r="G1084" s="59"/>
      <c r="H1084" s="21"/>
      <c r="I1084" s="59"/>
      <c r="J1084" s="21"/>
      <c r="K1084" s="21"/>
      <c r="L1084" s="59"/>
      <c r="M1084" s="60"/>
      <c r="N1084" s="21"/>
      <c r="O1084" s="59"/>
      <c r="P1084" s="21"/>
      <c r="Q1084" s="59"/>
      <c r="R1084" s="21"/>
      <c r="S1084" s="21"/>
      <c r="T1084" s="59"/>
      <c r="U1084" s="60">
        <f t="shared" si="147"/>
        <v>0</v>
      </c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>
        <v>99486560</v>
      </c>
      <c r="AZ1084" s="60"/>
      <c r="BA1084" s="60">
        <f>VLOOKUP(B1084,[2]Hoja3!J$3:K$674,2,0)</f>
        <v>209646495</v>
      </c>
      <c r="BB1084" s="60"/>
      <c r="BC1084" s="61">
        <f t="shared" si="148"/>
        <v>309133055</v>
      </c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>
        <v>19897312</v>
      </c>
      <c r="BO1084" s="60"/>
      <c r="BP1084" s="61">
        <v>329030367</v>
      </c>
      <c r="BQ1084" s="61"/>
      <c r="BR1084" s="61"/>
      <c r="BS1084" s="61"/>
      <c r="BT1084" s="61"/>
      <c r="BU1084" s="61"/>
      <c r="BV1084" s="61"/>
      <c r="BW1084" s="61"/>
      <c r="BX1084" s="61"/>
      <c r="BY1084" s="61"/>
      <c r="BZ1084" s="61"/>
      <c r="CA1084" s="61"/>
      <c r="CB1084" s="61"/>
      <c r="CC1084" s="61">
        <v>19897312</v>
      </c>
      <c r="CD1084" s="61"/>
      <c r="CE1084" s="61"/>
      <c r="CF1084" s="61"/>
      <c r="CG1084" s="61">
        <f t="shared" si="149"/>
        <v>348927679</v>
      </c>
      <c r="CH1084" s="62">
        <f>VLOOKUP(B1084,[1]RPTNCT049_ConsultaSaldosContabl!I$4:K$7987,3,0)</f>
        <v>139281184</v>
      </c>
      <c r="CI1084" s="62">
        <f t="shared" si="150"/>
        <v>209646495</v>
      </c>
      <c r="CJ1084" s="63">
        <f t="shared" si="151"/>
        <v>348927679</v>
      </c>
      <c r="CK1084" s="64">
        <f t="shared" si="152"/>
        <v>0</v>
      </c>
      <c r="CL1084" s="16"/>
      <c r="CM1084" s="16"/>
      <c r="CN1084" s="16"/>
    </row>
    <row r="1085" spans="1:96" ht="15" customHeight="1" x14ac:dyDescent="0.2">
      <c r="A1085" s="1">
        <v>8902056776</v>
      </c>
      <c r="B1085" s="1">
        <v>890205677</v>
      </c>
      <c r="C1085" s="9">
        <v>216168861</v>
      </c>
      <c r="D1085" s="10" t="s">
        <v>886</v>
      </c>
      <c r="E1085" s="45" t="s">
        <v>1900</v>
      </c>
      <c r="F1085" s="21"/>
      <c r="G1085" s="59"/>
      <c r="H1085" s="21"/>
      <c r="I1085" s="59"/>
      <c r="J1085" s="21"/>
      <c r="K1085" s="21"/>
      <c r="L1085" s="59"/>
      <c r="M1085" s="60"/>
      <c r="N1085" s="21"/>
      <c r="O1085" s="59"/>
      <c r="P1085" s="21"/>
      <c r="Q1085" s="59"/>
      <c r="R1085" s="21"/>
      <c r="S1085" s="21"/>
      <c r="T1085" s="59"/>
      <c r="U1085" s="60">
        <f t="shared" si="147"/>
        <v>0</v>
      </c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>
        <v>253942135</v>
      </c>
      <c r="AN1085" s="60">
        <f t="shared" ref="AN1085:AN1090" si="156">SUBTOTAL(9,AC1085:AM1085)</f>
        <v>253942135</v>
      </c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1">
        <f t="shared" si="148"/>
        <v>253942135</v>
      </c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>
        <v>26585404</v>
      </c>
      <c r="BO1085" s="60"/>
      <c r="BP1085" s="61">
        <v>280527539</v>
      </c>
      <c r="BQ1085" s="61"/>
      <c r="BR1085" s="61"/>
      <c r="BS1085" s="61"/>
      <c r="BT1085" s="61"/>
      <c r="BU1085" s="61"/>
      <c r="BV1085" s="61"/>
      <c r="BW1085" s="61"/>
      <c r="BX1085" s="61"/>
      <c r="BY1085" s="61"/>
      <c r="BZ1085" s="61"/>
      <c r="CA1085" s="61"/>
      <c r="CB1085" s="61"/>
      <c r="CC1085" s="61">
        <v>26585404</v>
      </c>
      <c r="CD1085" s="61">
        <v>132927020</v>
      </c>
      <c r="CE1085" s="61"/>
      <c r="CF1085" s="61"/>
      <c r="CG1085" s="61">
        <f t="shared" si="149"/>
        <v>440039963</v>
      </c>
      <c r="CH1085" s="62">
        <f>VLOOKUP(B1085,[1]RPTNCT049_ConsultaSaldosContabl!I$4:K$7987,3,0)</f>
        <v>186097828</v>
      </c>
      <c r="CI1085" s="62">
        <f t="shared" si="150"/>
        <v>253942135</v>
      </c>
      <c r="CJ1085" s="63">
        <f t="shared" si="151"/>
        <v>440039963</v>
      </c>
      <c r="CK1085" s="64">
        <f t="shared" si="152"/>
        <v>0</v>
      </c>
      <c r="CL1085" s="16"/>
      <c r="CM1085" s="16"/>
      <c r="CN1085" s="16"/>
    </row>
    <row r="1086" spans="1:96" ht="15" customHeight="1" x14ac:dyDescent="0.2">
      <c r="A1086" s="1">
        <v>8001001443</v>
      </c>
      <c r="B1086" s="1">
        <v>800100144</v>
      </c>
      <c r="C1086" s="9">
        <v>216173861</v>
      </c>
      <c r="D1086" s="10" t="s">
        <v>2242</v>
      </c>
      <c r="E1086" s="45" t="s">
        <v>1970</v>
      </c>
      <c r="F1086" s="21"/>
      <c r="G1086" s="59"/>
      <c r="H1086" s="21"/>
      <c r="I1086" s="59"/>
      <c r="J1086" s="21"/>
      <c r="K1086" s="21"/>
      <c r="L1086" s="59"/>
      <c r="M1086" s="60"/>
      <c r="N1086" s="21"/>
      <c r="O1086" s="59"/>
      <c r="P1086" s="21"/>
      <c r="Q1086" s="59"/>
      <c r="R1086" s="21"/>
      <c r="S1086" s="21"/>
      <c r="T1086" s="59"/>
      <c r="U1086" s="60">
        <f t="shared" si="147"/>
        <v>0</v>
      </c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>
        <v>28570203</v>
      </c>
      <c r="AN1086" s="60">
        <f t="shared" si="156"/>
        <v>28570203</v>
      </c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>
        <v>93909870</v>
      </c>
      <c r="AZ1086" s="60"/>
      <c r="BA1086" s="60">
        <f>VLOOKUP(B1086,[2]Hoja3!J$3:K$674,2,0)</f>
        <v>158550584</v>
      </c>
      <c r="BB1086" s="60"/>
      <c r="BC1086" s="61">
        <f t="shared" si="148"/>
        <v>281030657</v>
      </c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>
        <v>18781974</v>
      </c>
      <c r="BO1086" s="60"/>
      <c r="BP1086" s="61">
        <v>299812631</v>
      </c>
      <c r="BQ1086" s="61"/>
      <c r="BR1086" s="61"/>
      <c r="BS1086" s="61"/>
      <c r="BT1086" s="61"/>
      <c r="BU1086" s="61"/>
      <c r="BV1086" s="61"/>
      <c r="BW1086" s="61"/>
      <c r="BX1086" s="61"/>
      <c r="BY1086" s="61"/>
      <c r="BZ1086" s="61"/>
      <c r="CA1086" s="61"/>
      <c r="CB1086" s="61"/>
      <c r="CC1086" s="61">
        <v>18781974</v>
      </c>
      <c r="CD1086" s="61"/>
      <c r="CE1086" s="61"/>
      <c r="CF1086" s="61"/>
      <c r="CG1086" s="61">
        <f t="shared" si="149"/>
        <v>318594605</v>
      </c>
      <c r="CH1086" s="62">
        <f>VLOOKUP(B1086,[1]RPTNCT049_ConsultaSaldosContabl!I$4:K$7987,3,0)</f>
        <v>131473818</v>
      </c>
      <c r="CI1086" s="62">
        <f t="shared" si="150"/>
        <v>187120787</v>
      </c>
      <c r="CJ1086" s="63">
        <f t="shared" si="151"/>
        <v>318594605</v>
      </c>
      <c r="CK1086" s="64">
        <f t="shared" si="152"/>
        <v>0</v>
      </c>
      <c r="CL1086" s="16"/>
      <c r="CM1086" s="16"/>
      <c r="CN1086" s="16"/>
    </row>
    <row r="1087" spans="1:96" ht="15" customHeight="1" x14ac:dyDescent="0.2">
      <c r="A1087" s="1">
        <v>8909807641</v>
      </c>
      <c r="B1087" s="1">
        <v>890980764</v>
      </c>
      <c r="C1087" s="9">
        <v>216105861</v>
      </c>
      <c r="D1087" s="10" t="s">
        <v>154</v>
      </c>
      <c r="E1087" s="45" t="s">
        <v>1183</v>
      </c>
      <c r="F1087" s="21"/>
      <c r="G1087" s="59"/>
      <c r="H1087" s="21"/>
      <c r="I1087" s="59"/>
      <c r="J1087" s="21"/>
      <c r="K1087" s="21"/>
      <c r="L1087" s="59"/>
      <c r="M1087" s="60"/>
      <c r="N1087" s="21"/>
      <c r="O1087" s="59"/>
      <c r="P1087" s="21"/>
      <c r="Q1087" s="59"/>
      <c r="R1087" s="21"/>
      <c r="S1087" s="21"/>
      <c r="T1087" s="59"/>
      <c r="U1087" s="60">
        <f t="shared" si="147"/>
        <v>0</v>
      </c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>
        <v>144599373</v>
      </c>
      <c r="AN1087" s="60">
        <f t="shared" si="156"/>
        <v>144599373</v>
      </c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>
        <v>83573900</v>
      </c>
      <c r="AZ1087" s="60"/>
      <c r="BA1087" s="60"/>
      <c r="BB1087" s="60"/>
      <c r="BC1087" s="61">
        <f t="shared" si="148"/>
        <v>228173273</v>
      </c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>
        <v>16714780</v>
      </c>
      <c r="BO1087" s="60"/>
      <c r="BP1087" s="61">
        <v>244888053</v>
      </c>
      <c r="BQ1087" s="61"/>
      <c r="BR1087" s="61"/>
      <c r="BS1087" s="61"/>
      <c r="BT1087" s="61"/>
      <c r="BU1087" s="61"/>
      <c r="BV1087" s="61"/>
      <c r="BW1087" s="61"/>
      <c r="BX1087" s="61"/>
      <c r="BY1087" s="61"/>
      <c r="BZ1087" s="61"/>
      <c r="CA1087" s="61"/>
      <c r="CB1087" s="61"/>
      <c r="CC1087" s="61">
        <v>16714780</v>
      </c>
      <c r="CD1087" s="61"/>
      <c r="CE1087" s="61"/>
      <c r="CF1087" s="61"/>
      <c r="CG1087" s="61">
        <f t="shared" si="149"/>
        <v>261602833</v>
      </c>
      <c r="CH1087" s="62">
        <f>VLOOKUP(B1087,[1]RPTNCT049_ConsultaSaldosContabl!I$4:K$7987,3,0)</f>
        <v>117003460</v>
      </c>
      <c r="CI1087" s="62">
        <f t="shared" si="150"/>
        <v>144599373</v>
      </c>
      <c r="CJ1087" s="63">
        <f t="shared" si="151"/>
        <v>261602833</v>
      </c>
      <c r="CK1087" s="64">
        <f t="shared" si="152"/>
        <v>0</v>
      </c>
      <c r="CL1087" s="16"/>
      <c r="CM1087" s="16"/>
      <c r="CN1087" s="16"/>
    </row>
    <row r="1088" spans="1:96" ht="15" customHeight="1" x14ac:dyDescent="0.2">
      <c r="A1088" s="1">
        <v>8918009862</v>
      </c>
      <c r="B1088" s="1">
        <v>891800986</v>
      </c>
      <c r="C1088" s="9">
        <v>216115861</v>
      </c>
      <c r="D1088" s="10" t="s">
        <v>333</v>
      </c>
      <c r="E1088" s="45" t="s">
        <v>1364</v>
      </c>
      <c r="F1088" s="21"/>
      <c r="G1088" s="59"/>
      <c r="H1088" s="21"/>
      <c r="I1088" s="59"/>
      <c r="J1088" s="21"/>
      <c r="K1088" s="21"/>
      <c r="L1088" s="59"/>
      <c r="M1088" s="60"/>
      <c r="N1088" s="21"/>
      <c r="O1088" s="59"/>
      <c r="P1088" s="21"/>
      <c r="Q1088" s="59"/>
      <c r="R1088" s="21"/>
      <c r="S1088" s="21"/>
      <c r="T1088" s="59"/>
      <c r="U1088" s="60">
        <f t="shared" si="147"/>
        <v>0</v>
      </c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>
        <v>70822607</v>
      </c>
      <c r="AN1088" s="60">
        <f t="shared" si="156"/>
        <v>70822607</v>
      </c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>
        <v>99768065</v>
      </c>
      <c r="AZ1088" s="60"/>
      <c r="BA1088" s="60">
        <f>VLOOKUP(B1088,[2]Hoja3!J$3:K$674,2,0)</f>
        <v>193373673</v>
      </c>
      <c r="BB1088" s="60"/>
      <c r="BC1088" s="61">
        <f t="shared" si="148"/>
        <v>363964345</v>
      </c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>
        <v>19953613</v>
      </c>
      <c r="BO1088" s="60"/>
      <c r="BP1088" s="61">
        <v>383917958</v>
      </c>
      <c r="BQ1088" s="61"/>
      <c r="BR1088" s="61"/>
      <c r="BS1088" s="61"/>
      <c r="BT1088" s="61"/>
      <c r="BU1088" s="61"/>
      <c r="BV1088" s="61"/>
      <c r="BW1088" s="61"/>
      <c r="BX1088" s="61"/>
      <c r="BY1088" s="61"/>
      <c r="BZ1088" s="61"/>
      <c r="CA1088" s="61"/>
      <c r="CB1088" s="61"/>
      <c r="CC1088" s="61">
        <v>19953613</v>
      </c>
      <c r="CD1088" s="61"/>
      <c r="CE1088" s="61"/>
      <c r="CF1088" s="61"/>
      <c r="CG1088" s="61">
        <f t="shared" si="149"/>
        <v>403871571</v>
      </c>
      <c r="CH1088" s="62">
        <f>VLOOKUP(B1088,[1]RPTNCT049_ConsultaSaldosContabl!I$4:K$7987,3,0)</f>
        <v>139675291</v>
      </c>
      <c r="CI1088" s="62">
        <f t="shared" si="150"/>
        <v>264196280</v>
      </c>
      <c r="CJ1088" s="63">
        <f t="shared" si="151"/>
        <v>403871571</v>
      </c>
      <c r="CK1088" s="64">
        <f t="shared" si="152"/>
        <v>0</v>
      </c>
      <c r="CL1088" s="16"/>
      <c r="CM1088" s="8"/>
      <c r="CN1088" s="8"/>
      <c r="CO1088" s="8"/>
      <c r="CP1088" s="8"/>
      <c r="CQ1088" s="8"/>
      <c r="CR1088" s="8"/>
    </row>
    <row r="1089" spans="1:96" ht="15" customHeight="1" x14ac:dyDescent="0.2">
      <c r="A1089" s="1">
        <v>8999994485</v>
      </c>
      <c r="B1089" s="1">
        <v>899999448</v>
      </c>
      <c r="C1089" s="9">
        <v>216225862</v>
      </c>
      <c r="D1089" s="10" t="s">
        <v>559</v>
      </c>
      <c r="E1089" s="45" t="s">
        <v>1579</v>
      </c>
      <c r="F1089" s="21"/>
      <c r="G1089" s="59"/>
      <c r="H1089" s="21"/>
      <c r="I1089" s="59"/>
      <c r="J1089" s="21"/>
      <c r="K1089" s="21"/>
      <c r="L1089" s="59"/>
      <c r="M1089" s="60"/>
      <c r="N1089" s="21"/>
      <c r="O1089" s="59"/>
      <c r="P1089" s="21"/>
      <c r="Q1089" s="59"/>
      <c r="R1089" s="21"/>
      <c r="S1089" s="21"/>
      <c r="T1089" s="59"/>
      <c r="U1089" s="60">
        <f t="shared" si="147"/>
        <v>0</v>
      </c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>
        <v>83967883</v>
      </c>
      <c r="AN1089" s="60">
        <f t="shared" si="156"/>
        <v>83967883</v>
      </c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>
        <v>50750230</v>
      </c>
      <c r="AZ1089" s="60"/>
      <c r="BA1089" s="60"/>
      <c r="BB1089" s="60"/>
      <c r="BC1089" s="61">
        <f t="shared" si="148"/>
        <v>134718113</v>
      </c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>
        <v>10150046</v>
      </c>
      <c r="BO1089" s="60"/>
      <c r="BP1089" s="61">
        <v>144868159</v>
      </c>
      <c r="BQ1089" s="61"/>
      <c r="BR1089" s="61"/>
      <c r="BS1089" s="61"/>
      <c r="BT1089" s="61"/>
      <c r="BU1089" s="61"/>
      <c r="BV1089" s="61"/>
      <c r="BW1089" s="61"/>
      <c r="BX1089" s="61"/>
      <c r="BY1089" s="61"/>
      <c r="BZ1089" s="61"/>
      <c r="CA1089" s="61"/>
      <c r="CB1089" s="61"/>
      <c r="CC1089" s="61">
        <v>10150046</v>
      </c>
      <c r="CD1089" s="61"/>
      <c r="CE1089" s="61"/>
      <c r="CF1089" s="61"/>
      <c r="CG1089" s="61">
        <f t="shared" si="149"/>
        <v>155018205</v>
      </c>
      <c r="CH1089" s="62">
        <f>VLOOKUP(B1089,[1]RPTNCT049_ConsultaSaldosContabl!I$4:K$7987,3,0)</f>
        <v>71050322</v>
      </c>
      <c r="CI1089" s="62">
        <f t="shared" si="150"/>
        <v>83967883</v>
      </c>
      <c r="CJ1089" s="63">
        <f t="shared" si="151"/>
        <v>155018205</v>
      </c>
      <c r="CK1089" s="64">
        <f t="shared" si="152"/>
        <v>0</v>
      </c>
      <c r="CL1089" s="16"/>
      <c r="CM1089" s="16"/>
      <c r="CN1089" s="16"/>
    </row>
    <row r="1090" spans="1:96" ht="15" customHeight="1" x14ac:dyDescent="0.2">
      <c r="A1090" s="1">
        <v>8919011552</v>
      </c>
      <c r="B1090" s="1">
        <v>891901155</v>
      </c>
      <c r="C1090" s="9">
        <v>216376863</v>
      </c>
      <c r="D1090" s="10" t="s">
        <v>943</v>
      </c>
      <c r="E1090" s="45" t="s">
        <v>2003</v>
      </c>
      <c r="F1090" s="21"/>
      <c r="G1090" s="59"/>
      <c r="H1090" s="21"/>
      <c r="I1090" s="59"/>
      <c r="J1090" s="21"/>
      <c r="K1090" s="21"/>
      <c r="L1090" s="59"/>
      <c r="M1090" s="60"/>
      <c r="N1090" s="21"/>
      <c r="O1090" s="59"/>
      <c r="P1090" s="21"/>
      <c r="Q1090" s="59"/>
      <c r="R1090" s="21"/>
      <c r="S1090" s="21"/>
      <c r="T1090" s="59"/>
      <c r="U1090" s="60">
        <f t="shared" si="147"/>
        <v>0</v>
      </c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>
        <v>86944112</v>
      </c>
      <c r="AN1090" s="60">
        <f t="shared" si="156"/>
        <v>86944112</v>
      </c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1">
        <f t="shared" si="148"/>
        <v>86944112</v>
      </c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>
        <v>0</v>
      </c>
      <c r="BO1090" s="60"/>
      <c r="BP1090" s="61">
        <v>86944112</v>
      </c>
      <c r="BQ1090" s="61"/>
      <c r="BR1090" s="61"/>
      <c r="BS1090" s="61"/>
      <c r="BT1090" s="61"/>
      <c r="BU1090" s="61"/>
      <c r="BV1090" s="61"/>
      <c r="BW1090" s="61"/>
      <c r="BX1090" s="61"/>
      <c r="BY1090" s="61"/>
      <c r="BZ1090" s="61"/>
      <c r="CA1090" s="61"/>
      <c r="CB1090" s="61"/>
      <c r="CC1090" s="61">
        <v>0</v>
      </c>
      <c r="CD1090" s="61"/>
      <c r="CE1090" s="61"/>
      <c r="CF1090" s="61"/>
      <c r="CG1090" s="61">
        <f t="shared" si="149"/>
        <v>86944112</v>
      </c>
      <c r="CH1090" s="62"/>
      <c r="CI1090" s="62">
        <f t="shared" si="150"/>
        <v>86944112</v>
      </c>
      <c r="CJ1090" s="63">
        <f t="shared" si="151"/>
        <v>86944112</v>
      </c>
      <c r="CK1090" s="64">
        <f t="shared" si="152"/>
        <v>0</v>
      </c>
      <c r="CL1090" s="16"/>
      <c r="CM1090" s="16"/>
      <c r="CN1090" s="16"/>
    </row>
    <row r="1091" spans="1:96" ht="15" customHeight="1" x14ac:dyDescent="0.2">
      <c r="A1091" s="1">
        <v>8902109511</v>
      </c>
      <c r="B1091" s="1">
        <v>890210951</v>
      </c>
      <c r="C1091" s="9">
        <v>216768867</v>
      </c>
      <c r="D1091" s="10" t="s">
        <v>887</v>
      </c>
      <c r="E1091" s="45" t="s">
        <v>1901</v>
      </c>
      <c r="F1091" s="21"/>
      <c r="G1091" s="59"/>
      <c r="H1091" s="21"/>
      <c r="I1091" s="59"/>
      <c r="J1091" s="21"/>
      <c r="K1091" s="21"/>
      <c r="L1091" s="59"/>
      <c r="M1091" s="60"/>
      <c r="N1091" s="21"/>
      <c r="O1091" s="59"/>
      <c r="P1091" s="21"/>
      <c r="Q1091" s="59"/>
      <c r="R1091" s="21"/>
      <c r="S1091" s="21"/>
      <c r="T1091" s="59"/>
      <c r="U1091" s="60">
        <f t="shared" ref="U1091:U1135" si="157">SUM(M1091:T1091)</f>
        <v>0</v>
      </c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>
        <v>9257430</v>
      </c>
      <c r="AZ1091" s="60"/>
      <c r="BA1091" s="60">
        <f>VLOOKUP(B1091,[2]Hoja3!J$3:K$674,2,0)</f>
        <v>25153838</v>
      </c>
      <c r="BB1091" s="60"/>
      <c r="BC1091" s="61">
        <f t="shared" si="148"/>
        <v>34411268</v>
      </c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>
        <v>1851486</v>
      </c>
      <c r="BO1091" s="60"/>
      <c r="BP1091" s="61">
        <v>36262754</v>
      </c>
      <c r="BQ1091" s="61"/>
      <c r="BR1091" s="61"/>
      <c r="BS1091" s="61"/>
      <c r="BT1091" s="61"/>
      <c r="BU1091" s="61"/>
      <c r="BV1091" s="61"/>
      <c r="BW1091" s="61"/>
      <c r="BX1091" s="61"/>
      <c r="BY1091" s="61"/>
      <c r="BZ1091" s="61"/>
      <c r="CA1091" s="61"/>
      <c r="CB1091" s="61"/>
      <c r="CC1091" s="61">
        <v>1851486</v>
      </c>
      <c r="CD1091" s="61"/>
      <c r="CE1091" s="61"/>
      <c r="CF1091" s="61"/>
      <c r="CG1091" s="61">
        <f t="shared" si="149"/>
        <v>38114240</v>
      </c>
      <c r="CH1091" s="62">
        <f>VLOOKUP(B1091,[1]RPTNCT049_ConsultaSaldosContabl!I$4:K$7987,3,0)</f>
        <v>12960402</v>
      </c>
      <c r="CI1091" s="62">
        <f t="shared" si="150"/>
        <v>25153838</v>
      </c>
      <c r="CJ1091" s="63">
        <f t="shared" si="151"/>
        <v>38114240</v>
      </c>
      <c r="CK1091" s="64">
        <f t="shared" si="152"/>
        <v>0</v>
      </c>
      <c r="CL1091" s="16"/>
      <c r="CM1091" s="16"/>
      <c r="CN1091" s="16"/>
    </row>
    <row r="1092" spans="1:96" ht="15" customHeight="1" x14ac:dyDescent="0.2">
      <c r="A1092" s="1">
        <v>8999997092</v>
      </c>
      <c r="B1092" s="1">
        <v>899999709</v>
      </c>
      <c r="C1092" s="9">
        <v>216725867</v>
      </c>
      <c r="D1092" s="10" t="s">
        <v>560</v>
      </c>
      <c r="E1092" s="45" t="s">
        <v>1580</v>
      </c>
      <c r="F1092" s="21"/>
      <c r="G1092" s="59"/>
      <c r="H1092" s="21"/>
      <c r="I1092" s="59"/>
      <c r="J1092" s="21"/>
      <c r="K1092" s="21"/>
      <c r="L1092" s="59"/>
      <c r="M1092" s="60"/>
      <c r="N1092" s="21"/>
      <c r="O1092" s="59"/>
      <c r="P1092" s="21"/>
      <c r="Q1092" s="59"/>
      <c r="R1092" s="21"/>
      <c r="S1092" s="21"/>
      <c r="T1092" s="59"/>
      <c r="U1092" s="60">
        <f t="shared" si="157"/>
        <v>0</v>
      </c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>
        <v>58840565</v>
      </c>
      <c r="AN1092" s="60">
        <f>SUBTOTAL(9,AC1092:AM1092)</f>
        <v>58840565</v>
      </c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>
        <v>28684555</v>
      </c>
      <c r="AZ1092" s="60"/>
      <c r="BA1092" s="60"/>
      <c r="BB1092" s="60"/>
      <c r="BC1092" s="61">
        <f t="shared" ref="BC1092:BC1135" si="158">SUM(AN1092:BA1092)-BB1092</f>
        <v>87525120</v>
      </c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>
        <v>5736911</v>
      </c>
      <c r="BO1092" s="60"/>
      <c r="BP1092" s="61">
        <v>93262031</v>
      </c>
      <c r="BQ1092" s="61"/>
      <c r="BR1092" s="61"/>
      <c r="BS1092" s="61"/>
      <c r="BT1092" s="61"/>
      <c r="BU1092" s="61"/>
      <c r="BV1092" s="61"/>
      <c r="BW1092" s="61"/>
      <c r="BX1092" s="61"/>
      <c r="BY1092" s="61"/>
      <c r="BZ1092" s="61"/>
      <c r="CA1092" s="61"/>
      <c r="CB1092" s="61"/>
      <c r="CC1092" s="61">
        <v>5736911</v>
      </c>
      <c r="CD1092" s="61"/>
      <c r="CE1092" s="61"/>
      <c r="CF1092" s="61"/>
      <c r="CG1092" s="61">
        <f t="shared" ref="CG1092:CG1135" si="159">SUM(BP1092:CF1092)</f>
        <v>98998942</v>
      </c>
      <c r="CH1092" s="62">
        <f>VLOOKUP(B1092,[1]RPTNCT049_ConsultaSaldosContabl!I$4:K$7987,3,0)</f>
        <v>40158377</v>
      </c>
      <c r="CI1092" s="62">
        <f t="shared" ref="CI1092:CI1135" si="160">+AM1092+BA1092-BB1092+BO1092+CE1092+CF1092</f>
        <v>58840565</v>
      </c>
      <c r="CJ1092" s="63">
        <f t="shared" ref="CJ1092:CJ1135" si="161">+CH1092+CI1092</f>
        <v>98998942</v>
      </c>
      <c r="CK1092" s="64">
        <f t="shared" ref="CK1092:CK1135" si="162">+CG1092-CJ1092</f>
        <v>0</v>
      </c>
      <c r="CL1092" s="16"/>
      <c r="CM1092" s="16"/>
      <c r="CN1092" s="16"/>
    </row>
    <row r="1093" spans="1:96" ht="15" customHeight="1" x14ac:dyDescent="0.2">
      <c r="A1093" s="1">
        <v>8908011510</v>
      </c>
      <c r="B1093" s="1">
        <v>890801151</v>
      </c>
      <c r="C1093" s="9">
        <v>216717867</v>
      </c>
      <c r="D1093" s="10" t="s">
        <v>359</v>
      </c>
      <c r="E1093" s="45" t="s">
        <v>1388</v>
      </c>
      <c r="F1093" s="21"/>
      <c r="G1093" s="59"/>
      <c r="H1093" s="21"/>
      <c r="I1093" s="59"/>
      <c r="J1093" s="21"/>
      <c r="K1093" s="21"/>
      <c r="L1093" s="59"/>
      <c r="M1093" s="60"/>
      <c r="N1093" s="21"/>
      <c r="O1093" s="59"/>
      <c r="P1093" s="21"/>
      <c r="Q1093" s="59"/>
      <c r="R1093" s="21"/>
      <c r="S1093" s="21"/>
      <c r="T1093" s="59"/>
      <c r="U1093" s="60">
        <f t="shared" si="157"/>
        <v>0</v>
      </c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>
        <v>144124742</v>
      </c>
      <c r="AN1093" s="60">
        <f>SUBTOTAL(9,AC1093:AM1093)</f>
        <v>144124742</v>
      </c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>
        <v>61716100</v>
      </c>
      <c r="AZ1093" s="60"/>
      <c r="BA1093" s="60"/>
      <c r="BB1093" s="60"/>
      <c r="BC1093" s="61">
        <f t="shared" si="158"/>
        <v>205840842</v>
      </c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>
        <v>12343220</v>
      </c>
      <c r="BO1093" s="60"/>
      <c r="BP1093" s="61">
        <v>218184062</v>
      </c>
      <c r="BQ1093" s="61"/>
      <c r="BR1093" s="61"/>
      <c r="BS1093" s="61"/>
      <c r="BT1093" s="61"/>
      <c r="BU1093" s="61"/>
      <c r="BV1093" s="61"/>
      <c r="BW1093" s="61"/>
      <c r="BX1093" s="61"/>
      <c r="BY1093" s="61"/>
      <c r="BZ1093" s="61"/>
      <c r="CA1093" s="61"/>
      <c r="CB1093" s="61"/>
      <c r="CC1093" s="61">
        <v>12343220</v>
      </c>
      <c r="CD1093" s="61"/>
      <c r="CE1093" s="61"/>
      <c r="CF1093" s="61"/>
      <c r="CG1093" s="61">
        <f t="shared" si="159"/>
        <v>230527282</v>
      </c>
      <c r="CH1093" s="62">
        <f>VLOOKUP(B1093,[1]RPTNCT049_ConsultaSaldosContabl!I$4:K$7987,3,0)</f>
        <v>86402540</v>
      </c>
      <c r="CI1093" s="62">
        <f t="shared" si="160"/>
        <v>144124742</v>
      </c>
      <c r="CJ1093" s="63">
        <f t="shared" si="161"/>
        <v>230527282</v>
      </c>
      <c r="CK1093" s="64">
        <f t="shared" si="162"/>
        <v>0</v>
      </c>
      <c r="CL1093" s="16"/>
      <c r="CM1093" s="16"/>
      <c r="CN1093" s="16"/>
    </row>
    <row r="1094" spans="1:96" ht="15" customHeight="1" x14ac:dyDescent="0.2">
      <c r="A1094" s="1">
        <v>8000206655</v>
      </c>
      <c r="B1094" s="1">
        <v>800020665</v>
      </c>
      <c r="C1094" s="9">
        <v>217305873</v>
      </c>
      <c r="D1094" s="10" t="s">
        <v>155</v>
      </c>
      <c r="E1094" s="45" t="s">
        <v>1184</v>
      </c>
      <c r="F1094" s="21"/>
      <c r="G1094" s="59"/>
      <c r="H1094" s="21"/>
      <c r="I1094" s="59"/>
      <c r="J1094" s="21"/>
      <c r="K1094" s="21"/>
      <c r="L1094" s="59"/>
      <c r="M1094" s="60"/>
      <c r="N1094" s="21"/>
      <c r="O1094" s="59"/>
      <c r="P1094" s="21"/>
      <c r="Q1094" s="59"/>
      <c r="R1094" s="21"/>
      <c r="S1094" s="21"/>
      <c r="T1094" s="59"/>
      <c r="U1094" s="60">
        <f t="shared" si="157"/>
        <v>0</v>
      </c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>
        <v>170928672</v>
      </c>
      <c r="AN1094" s="60">
        <f>SUBTOTAL(9,AC1094:AM1094)</f>
        <v>170928672</v>
      </c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1">
        <f t="shared" si="158"/>
        <v>170928672</v>
      </c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>
        <v>0</v>
      </c>
      <c r="BO1094" s="60"/>
      <c r="BP1094" s="61">
        <v>170928672</v>
      </c>
      <c r="BQ1094" s="61"/>
      <c r="BR1094" s="61"/>
      <c r="BS1094" s="61"/>
      <c r="BT1094" s="61"/>
      <c r="BU1094" s="61"/>
      <c r="BV1094" s="61"/>
      <c r="BW1094" s="61"/>
      <c r="BX1094" s="61"/>
      <c r="BY1094" s="61"/>
      <c r="BZ1094" s="61"/>
      <c r="CA1094" s="61"/>
      <c r="CB1094" s="61"/>
      <c r="CC1094" s="61"/>
      <c r="CD1094" s="61"/>
      <c r="CE1094" s="61"/>
      <c r="CF1094" s="61"/>
      <c r="CG1094" s="61">
        <f t="shared" si="159"/>
        <v>170928672</v>
      </c>
      <c r="CH1094" s="62"/>
      <c r="CI1094" s="62">
        <f t="shared" si="160"/>
        <v>170928672</v>
      </c>
      <c r="CJ1094" s="63">
        <f t="shared" si="161"/>
        <v>170928672</v>
      </c>
      <c r="CK1094" s="64">
        <f t="shared" si="162"/>
        <v>0</v>
      </c>
      <c r="CL1094" s="16"/>
      <c r="CM1094" s="16"/>
      <c r="CN1094" s="16"/>
    </row>
    <row r="1095" spans="1:96" ht="15" customHeight="1" x14ac:dyDescent="0.2">
      <c r="A1095" s="1">
        <v>8002430227</v>
      </c>
      <c r="B1095" s="1">
        <v>800243022</v>
      </c>
      <c r="C1095" s="9">
        <v>216976869</v>
      </c>
      <c r="D1095" s="10" t="s">
        <v>944</v>
      </c>
      <c r="E1095" s="45" t="s">
        <v>2004</v>
      </c>
      <c r="F1095" s="21"/>
      <c r="G1095" s="59"/>
      <c r="H1095" s="21"/>
      <c r="I1095" s="59"/>
      <c r="J1095" s="21"/>
      <c r="K1095" s="21"/>
      <c r="L1095" s="59"/>
      <c r="M1095" s="60"/>
      <c r="N1095" s="21"/>
      <c r="O1095" s="59"/>
      <c r="P1095" s="21"/>
      <c r="Q1095" s="59"/>
      <c r="R1095" s="21"/>
      <c r="S1095" s="21"/>
      <c r="T1095" s="59"/>
      <c r="U1095" s="60">
        <f t="shared" si="157"/>
        <v>0</v>
      </c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>
        <v>145763027</v>
      </c>
      <c r="AN1095" s="60">
        <f>SUBTOTAL(9,AC1095:AM1095)</f>
        <v>145763027</v>
      </c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>
        <v>51662710</v>
      </c>
      <c r="AZ1095" s="60"/>
      <c r="BA1095" s="60"/>
      <c r="BB1095" s="60"/>
      <c r="BC1095" s="61">
        <f t="shared" si="158"/>
        <v>197425737</v>
      </c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>
        <v>10332542</v>
      </c>
      <c r="BO1095" s="60"/>
      <c r="BP1095" s="61">
        <v>207758279</v>
      </c>
      <c r="BQ1095" s="61"/>
      <c r="BR1095" s="61"/>
      <c r="BS1095" s="61"/>
      <c r="BT1095" s="61"/>
      <c r="BU1095" s="61"/>
      <c r="BV1095" s="61"/>
      <c r="BW1095" s="61"/>
      <c r="BX1095" s="61"/>
      <c r="BY1095" s="61"/>
      <c r="BZ1095" s="61"/>
      <c r="CA1095" s="61"/>
      <c r="CB1095" s="61"/>
      <c r="CC1095" s="61">
        <v>10332542</v>
      </c>
      <c r="CD1095" s="61"/>
      <c r="CE1095" s="61"/>
      <c r="CF1095" s="61"/>
      <c r="CG1095" s="61">
        <f t="shared" si="159"/>
        <v>218090821</v>
      </c>
      <c r="CH1095" s="62">
        <f>VLOOKUP(B1095,[1]RPTNCT049_ConsultaSaldosContabl!I$4:K$7987,3,0)</f>
        <v>72327794</v>
      </c>
      <c r="CI1095" s="62">
        <f t="shared" si="160"/>
        <v>145763027</v>
      </c>
      <c r="CJ1095" s="63">
        <f t="shared" si="161"/>
        <v>218090821</v>
      </c>
      <c r="CK1095" s="64">
        <f t="shared" si="162"/>
        <v>0</v>
      </c>
      <c r="CL1095" s="16"/>
      <c r="CM1095" s="16"/>
      <c r="CN1095" s="16"/>
    </row>
    <row r="1096" spans="1:96" ht="15" customHeight="1" x14ac:dyDescent="0.2">
      <c r="A1096" s="1">
        <v>8905019811</v>
      </c>
      <c r="B1096" s="1">
        <v>890501981</v>
      </c>
      <c r="C1096" s="9">
        <v>217154871</v>
      </c>
      <c r="D1096" s="10" t="s">
        <v>788</v>
      </c>
      <c r="E1096" s="45" t="s">
        <v>1804</v>
      </c>
      <c r="F1096" s="21"/>
      <c r="G1096" s="59"/>
      <c r="H1096" s="21"/>
      <c r="I1096" s="59"/>
      <c r="J1096" s="21"/>
      <c r="K1096" s="21"/>
      <c r="L1096" s="59"/>
      <c r="M1096" s="60"/>
      <c r="N1096" s="21"/>
      <c r="O1096" s="59"/>
      <c r="P1096" s="21"/>
      <c r="Q1096" s="59"/>
      <c r="R1096" s="21"/>
      <c r="S1096" s="21"/>
      <c r="T1096" s="59"/>
      <c r="U1096" s="60">
        <f t="shared" si="157"/>
        <v>0</v>
      </c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>
        <v>39069305</v>
      </c>
      <c r="AZ1096" s="60"/>
      <c r="BA1096" s="60">
        <f>VLOOKUP(B1096,[2]Hoja3!J$3:K$674,2,0)</f>
        <v>80962768</v>
      </c>
      <c r="BB1096" s="60"/>
      <c r="BC1096" s="61">
        <f t="shared" si="158"/>
        <v>120032073</v>
      </c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>
        <v>7813861</v>
      </c>
      <c r="BO1096" s="60"/>
      <c r="BP1096" s="61">
        <v>127845934</v>
      </c>
      <c r="BQ1096" s="61"/>
      <c r="BR1096" s="61"/>
      <c r="BS1096" s="61"/>
      <c r="BT1096" s="61"/>
      <c r="BU1096" s="61"/>
      <c r="BV1096" s="61"/>
      <c r="BW1096" s="61"/>
      <c r="BX1096" s="61"/>
      <c r="BY1096" s="61"/>
      <c r="BZ1096" s="61"/>
      <c r="CA1096" s="61"/>
      <c r="CB1096" s="61"/>
      <c r="CC1096" s="61">
        <v>7813861</v>
      </c>
      <c r="CD1096" s="61"/>
      <c r="CE1096" s="61"/>
      <c r="CF1096" s="61"/>
      <c r="CG1096" s="61">
        <f t="shared" si="159"/>
        <v>135659795</v>
      </c>
      <c r="CH1096" s="62">
        <f>VLOOKUP(B1096,[1]RPTNCT049_ConsultaSaldosContabl!I$4:K$7987,3,0)</f>
        <v>54697027</v>
      </c>
      <c r="CI1096" s="62">
        <f t="shared" si="160"/>
        <v>80962768</v>
      </c>
      <c r="CJ1096" s="63">
        <f t="shared" si="161"/>
        <v>135659795</v>
      </c>
      <c r="CK1096" s="64">
        <f t="shared" si="162"/>
        <v>0</v>
      </c>
      <c r="CL1096" s="16"/>
      <c r="CM1096" s="16"/>
      <c r="CN1096" s="16"/>
    </row>
    <row r="1097" spans="1:96" ht="15" customHeight="1" x14ac:dyDescent="0.2">
      <c r="A1097" s="1">
        <v>8918012687</v>
      </c>
      <c r="B1097" s="1">
        <v>891801268</v>
      </c>
      <c r="C1097" s="9">
        <v>210715407</v>
      </c>
      <c r="D1097" s="10" t="s">
        <v>265</v>
      </c>
      <c r="E1097" s="45" t="s">
        <v>1299</v>
      </c>
      <c r="F1097" s="21"/>
      <c r="G1097" s="59"/>
      <c r="H1097" s="21"/>
      <c r="I1097" s="59"/>
      <c r="J1097" s="21"/>
      <c r="K1097" s="21"/>
      <c r="L1097" s="59"/>
      <c r="M1097" s="60"/>
      <c r="N1097" s="21"/>
      <c r="O1097" s="59"/>
      <c r="P1097" s="21"/>
      <c r="Q1097" s="59"/>
      <c r="R1097" s="21"/>
      <c r="S1097" s="21"/>
      <c r="T1097" s="59"/>
      <c r="U1097" s="60">
        <f t="shared" si="157"/>
        <v>0</v>
      </c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>
        <v>189304833</v>
      </c>
      <c r="AN1097" s="60">
        <f>SUBTOTAL(9,AC1097:AM1097)</f>
        <v>189304833</v>
      </c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>
        <f>VLOOKUP(B1097,[2]Hoja3!J$3:K$674,2,0)</f>
        <v>16905903</v>
      </c>
      <c r="BB1097" s="60"/>
      <c r="BC1097" s="61">
        <f t="shared" si="158"/>
        <v>206210736</v>
      </c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>
        <v>15599882</v>
      </c>
      <c r="BO1097" s="60"/>
      <c r="BP1097" s="61">
        <v>221810618</v>
      </c>
      <c r="BQ1097" s="61"/>
      <c r="BR1097" s="61"/>
      <c r="BS1097" s="61"/>
      <c r="BT1097" s="61"/>
      <c r="BU1097" s="61"/>
      <c r="BV1097" s="61"/>
      <c r="BW1097" s="61"/>
      <c r="BX1097" s="61"/>
      <c r="BY1097" s="61"/>
      <c r="BZ1097" s="61"/>
      <c r="CA1097" s="61"/>
      <c r="CB1097" s="61"/>
      <c r="CC1097" s="61">
        <v>15599882</v>
      </c>
      <c r="CD1097" s="61">
        <v>77999410</v>
      </c>
      <c r="CE1097" s="61"/>
      <c r="CF1097" s="61"/>
      <c r="CG1097" s="61">
        <f t="shared" si="159"/>
        <v>315409910</v>
      </c>
      <c r="CH1097" s="62">
        <f>VLOOKUP(B1097,[1]RPTNCT049_ConsultaSaldosContabl!I$4:K$7987,3,0)</f>
        <v>109199174</v>
      </c>
      <c r="CI1097" s="62">
        <f t="shared" si="160"/>
        <v>206210736</v>
      </c>
      <c r="CJ1097" s="63">
        <f t="shared" si="161"/>
        <v>315409910</v>
      </c>
      <c r="CK1097" s="64">
        <f t="shared" si="162"/>
        <v>0</v>
      </c>
      <c r="CL1097" s="16"/>
      <c r="CM1097" s="8"/>
      <c r="CN1097" s="8"/>
      <c r="CO1097" s="8"/>
      <c r="CP1097" s="8"/>
      <c r="CQ1097" s="8"/>
      <c r="CR1097" s="8"/>
    </row>
    <row r="1098" spans="1:96" ht="15" customHeight="1" x14ac:dyDescent="0.2">
      <c r="A1098" s="1">
        <v>8001001450</v>
      </c>
      <c r="B1098" s="1">
        <v>800100145</v>
      </c>
      <c r="C1098" s="9">
        <v>217073870</v>
      </c>
      <c r="D1098" s="10" t="s">
        <v>2245</v>
      </c>
      <c r="E1098" s="45" t="s">
        <v>1971</v>
      </c>
      <c r="F1098" s="21"/>
      <c r="G1098" s="59"/>
      <c r="H1098" s="21"/>
      <c r="I1098" s="59"/>
      <c r="J1098" s="21"/>
      <c r="K1098" s="21"/>
      <c r="L1098" s="59"/>
      <c r="M1098" s="60"/>
      <c r="N1098" s="21"/>
      <c r="O1098" s="59"/>
      <c r="P1098" s="21"/>
      <c r="Q1098" s="59"/>
      <c r="R1098" s="21"/>
      <c r="S1098" s="21"/>
      <c r="T1098" s="59"/>
      <c r="U1098" s="60">
        <f t="shared" si="157"/>
        <v>0</v>
      </c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>
        <v>46066577</v>
      </c>
      <c r="AN1098" s="60">
        <f>SUBTOTAL(9,AC1098:AM1098)</f>
        <v>46066577</v>
      </c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>
        <v>73912315</v>
      </c>
      <c r="AZ1098" s="60"/>
      <c r="BA1098" s="60">
        <f>VLOOKUP(B1098,[2]Hoja3!J$3:K$674,2,0)</f>
        <v>110311112</v>
      </c>
      <c r="BB1098" s="60"/>
      <c r="BC1098" s="61">
        <f t="shared" si="158"/>
        <v>230290004</v>
      </c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>
        <v>14782463</v>
      </c>
      <c r="BO1098" s="60"/>
      <c r="BP1098" s="61">
        <v>245072467</v>
      </c>
      <c r="BQ1098" s="61"/>
      <c r="BR1098" s="61"/>
      <c r="BS1098" s="61"/>
      <c r="BT1098" s="61"/>
      <c r="BU1098" s="61"/>
      <c r="BV1098" s="61"/>
      <c r="BW1098" s="61"/>
      <c r="BX1098" s="61"/>
      <c r="BY1098" s="61"/>
      <c r="BZ1098" s="61"/>
      <c r="CA1098" s="61"/>
      <c r="CB1098" s="61"/>
      <c r="CC1098" s="61">
        <v>14782463</v>
      </c>
      <c r="CD1098" s="61"/>
      <c r="CE1098" s="61"/>
      <c r="CF1098" s="61"/>
      <c r="CG1098" s="61">
        <f t="shared" si="159"/>
        <v>259854930</v>
      </c>
      <c r="CH1098" s="62">
        <f>VLOOKUP(B1098,[1]RPTNCT049_ConsultaSaldosContabl!I$4:K$7987,3,0)</f>
        <v>103477241</v>
      </c>
      <c r="CI1098" s="62">
        <f t="shared" si="160"/>
        <v>156377689</v>
      </c>
      <c r="CJ1098" s="63">
        <f t="shared" si="161"/>
        <v>259854930</v>
      </c>
      <c r="CK1098" s="64">
        <f t="shared" si="162"/>
        <v>0</v>
      </c>
      <c r="CL1098" s="16"/>
      <c r="CM1098" s="16"/>
      <c r="CN1098" s="16"/>
    </row>
    <row r="1099" spans="1:96" ht="15" customHeight="1" x14ac:dyDescent="0.2">
      <c r="A1099" s="1">
        <v>8170026754</v>
      </c>
      <c r="B1099" s="1">
        <v>817002675</v>
      </c>
      <c r="C1099" s="9">
        <v>214519845</v>
      </c>
      <c r="D1099" s="10" t="s">
        <v>412</v>
      </c>
      <c r="E1099" s="45" t="s">
        <v>1440</v>
      </c>
      <c r="F1099" s="21"/>
      <c r="G1099" s="59"/>
      <c r="H1099" s="21"/>
      <c r="I1099" s="59"/>
      <c r="J1099" s="21"/>
      <c r="K1099" s="21"/>
      <c r="L1099" s="59"/>
      <c r="M1099" s="60"/>
      <c r="N1099" s="21"/>
      <c r="O1099" s="59"/>
      <c r="P1099" s="21"/>
      <c r="Q1099" s="59"/>
      <c r="R1099" s="21"/>
      <c r="S1099" s="21"/>
      <c r="T1099" s="59"/>
      <c r="U1099" s="60">
        <f t="shared" si="157"/>
        <v>0</v>
      </c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>
        <v>111812754</v>
      </c>
      <c r="AN1099" s="60">
        <f>SUBTOTAL(9,AC1099:AM1099)</f>
        <v>111812754</v>
      </c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>
        <v>98006375</v>
      </c>
      <c r="AZ1099" s="60"/>
      <c r="BA1099" s="60">
        <f>VLOOKUP(B1099,[2]Hoja3!J$3:K$674,2,0)</f>
        <v>124305869</v>
      </c>
      <c r="BB1099" s="60"/>
      <c r="BC1099" s="61">
        <f t="shared" si="158"/>
        <v>334124998</v>
      </c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>
        <v>19601275</v>
      </c>
      <c r="BO1099" s="60"/>
      <c r="BP1099" s="61">
        <v>353726273</v>
      </c>
      <c r="BQ1099" s="61"/>
      <c r="BR1099" s="61"/>
      <c r="BS1099" s="61"/>
      <c r="BT1099" s="61"/>
      <c r="BU1099" s="61"/>
      <c r="BV1099" s="61"/>
      <c r="BW1099" s="61"/>
      <c r="BX1099" s="61"/>
      <c r="BY1099" s="61"/>
      <c r="BZ1099" s="61"/>
      <c r="CA1099" s="61"/>
      <c r="CB1099" s="61"/>
      <c r="CC1099" s="61">
        <v>19601275</v>
      </c>
      <c r="CD1099" s="61"/>
      <c r="CE1099" s="61"/>
      <c r="CF1099" s="61"/>
      <c r="CG1099" s="61">
        <f t="shared" si="159"/>
        <v>373327548</v>
      </c>
      <c r="CH1099" s="62">
        <f>VLOOKUP(B1099,[1]RPTNCT049_ConsultaSaldosContabl!I$4:K$7987,3,0)</f>
        <v>137208925</v>
      </c>
      <c r="CI1099" s="62">
        <f t="shared" si="160"/>
        <v>236118623</v>
      </c>
      <c r="CJ1099" s="63">
        <f t="shared" si="161"/>
        <v>373327548</v>
      </c>
      <c r="CK1099" s="64">
        <f t="shared" si="162"/>
        <v>0</v>
      </c>
      <c r="CL1099" s="16"/>
      <c r="CM1099" s="16"/>
      <c r="CN1099" s="16"/>
    </row>
    <row r="1100" spans="1:96" ht="15" customHeight="1" x14ac:dyDescent="0.2">
      <c r="A1100" s="1">
        <v>8905033730</v>
      </c>
      <c r="B1100" s="1">
        <v>890503373</v>
      </c>
      <c r="C1100" s="9">
        <v>217454874</v>
      </c>
      <c r="D1100" s="10" t="s">
        <v>2133</v>
      </c>
      <c r="E1100" s="45" t="s">
        <v>1805</v>
      </c>
      <c r="F1100" s="21"/>
      <c r="G1100" s="59"/>
      <c r="H1100" s="21"/>
      <c r="I1100" s="59"/>
      <c r="J1100" s="21"/>
      <c r="K1100" s="21"/>
      <c r="L1100" s="59"/>
      <c r="M1100" s="60"/>
      <c r="N1100" s="21"/>
      <c r="O1100" s="59"/>
      <c r="P1100" s="21"/>
      <c r="Q1100" s="59"/>
      <c r="R1100" s="21"/>
      <c r="S1100" s="21"/>
      <c r="T1100" s="59"/>
      <c r="U1100" s="60">
        <f t="shared" si="157"/>
        <v>0</v>
      </c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>
        <v>981709611</v>
      </c>
      <c r="AN1100" s="60">
        <f>SUBTOTAL(9,AC1100:AM1100)</f>
        <v>981709611</v>
      </c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>
        <v>392223330</v>
      </c>
      <c r="AZ1100" s="60"/>
      <c r="BA1100" s="60"/>
      <c r="BB1100" s="60"/>
      <c r="BC1100" s="61">
        <f t="shared" si="158"/>
        <v>1373932941</v>
      </c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>
        <v>78444666</v>
      </c>
      <c r="BO1100" s="60"/>
      <c r="BP1100" s="61">
        <v>1452377607</v>
      </c>
      <c r="BQ1100" s="61"/>
      <c r="BR1100" s="61"/>
      <c r="BS1100" s="61"/>
      <c r="BT1100" s="61"/>
      <c r="BU1100" s="61"/>
      <c r="BV1100" s="61"/>
      <c r="BW1100" s="61"/>
      <c r="BX1100" s="61"/>
      <c r="BY1100" s="61"/>
      <c r="BZ1100" s="61"/>
      <c r="CA1100" s="61"/>
      <c r="CB1100" s="61"/>
      <c r="CC1100" s="61">
        <v>78444666</v>
      </c>
      <c r="CD1100" s="61"/>
      <c r="CE1100" s="61"/>
      <c r="CF1100" s="61"/>
      <c r="CG1100" s="61">
        <f t="shared" si="159"/>
        <v>1530822273</v>
      </c>
      <c r="CH1100" s="62">
        <f>VLOOKUP(B1100,[1]RPTNCT049_ConsultaSaldosContabl!I$4:K$7987,3,0)</f>
        <v>549112662</v>
      </c>
      <c r="CI1100" s="62">
        <f t="shared" si="160"/>
        <v>981709611</v>
      </c>
      <c r="CJ1100" s="63">
        <f t="shared" si="161"/>
        <v>1530822273</v>
      </c>
      <c r="CK1100" s="64">
        <f t="shared" si="162"/>
        <v>0</v>
      </c>
      <c r="CL1100" s="16"/>
      <c r="CM1100" s="16"/>
      <c r="CN1100" s="16"/>
    </row>
    <row r="1101" spans="1:96" ht="15" customHeight="1" x14ac:dyDescent="0.2">
      <c r="A1101" s="1">
        <v>8911801872</v>
      </c>
      <c r="B1101" s="1">
        <v>891180187</v>
      </c>
      <c r="C1101" s="9">
        <v>217241872</v>
      </c>
      <c r="D1101" s="10" t="s">
        <v>627</v>
      </c>
      <c r="E1101" s="45" t="s">
        <v>1632</v>
      </c>
      <c r="F1101" s="21"/>
      <c r="G1101" s="59"/>
      <c r="H1101" s="21"/>
      <c r="I1101" s="59"/>
      <c r="J1101" s="21"/>
      <c r="K1101" s="21"/>
      <c r="L1101" s="59"/>
      <c r="M1101" s="60"/>
      <c r="N1101" s="21"/>
      <c r="O1101" s="59"/>
      <c r="P1101" s="21"/>
      <c r="Q1101" s="59"/>
      <c r="R1101" s="21"/>
      <c r="S1101" s="21"/>
      <c r="T1101" s="59"/>
      <c r="U1101" s="60">
        <f t="shared" si="157"/>
        <v>0</v>
      </c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>
        <v>50773855</v>
      </c>
      <c r="AZ1101" s="60"/>
      <c r="BA1101" s="60">
        <f>VLOOKUP(B1101,[2]Hoja3!J$3:K$674,2,0)</f>
        <v>96636642</v>
      </c>
      <c r="BB1101" s="60"/>
      <c r="BC1101" s="61">
        <f t="shared" si="158"/>
        <v>147410497</v>
      </c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>
        <v>10154771</v>
      </c>
      <c r="BO1101" s="60"/>
      <c r="BP1101" s="61">
        <v>157565268</v>
      </c>
      <c r="BQ1101" s="61"/>
      <c r="BR1101" s="61"/>
      <c r="BS1101" s="61"/>
      <c r="BT1101" s="61"/>
      <c r="BU1101" s="61"/>
      <c r="BV1101" s="61"/>
      <c r="BW1101" s="61"/>
      <c r="BX1101" s="61"/>
      <c r="BY1101" s="61"/>
      <c r="BZ1101" s="61"/>
      <c r="CA1101" s="61"/>
      <c r="CB1101" s="61"/>
      <c r="CC1101" s="61">
        <v>10154771</v>
      </c>
      <c r="CD1101" s="61"/>
      <c r="CE1101" s="61"/>
      <c r="CF1101" s="61"/>
      <c r="CG1101" s="61">
        <f t="shared" si="159"/>
        <v>167720039</v>
      </c>
      <c r="CH1101" s="62">
        <f>VLOOKUP(B1101,[1]RPTNCT049_ConsultaSaldosContabl!I$4:K$7987,3,0)</f>
        <v>71083397</v>
      </c>
      <c r="CI1101" s="62">
        <f t="shared" si="160"/>
        <v>96636642</v>
      </c>
      <c r="CJ1101" s="63">
        <f t="shared" si="161"/>
        <v>167720039</v>
      </c>
      <c r="CK1101" s="64">
        <f t="shared" si="162"/>
        <v>0</v>
      </c>
      <c r="CL1101" s="16"/>
      <c r="CM1101" s="16"/>
      <c r="CN1101" s="16"/>
    </row>
    <row r="1102" spans="1:96" ht="15" customHeight="1" x14ac:dyDescent="0.2">
      <c r="A1102" s="1">
        <v>8000542490</v>
      </c>
      <c r="B1102" s="1">
        <v>800054249</v>
      </c>
      <c r="C1102" s="9">
        <v>218586885</v>
      </c>
      <c r="D1102" s="10" t="s">
        <v>986</v>
      </c>
      <c r="E1102" s="45" t="s">
        <v>2043</v>
      </c>
      <c r="F1102" s="21"/>
      <c r="G1102" s="59"/>
      <c r="H1102" s="21"/>
      <c r="I1102" s="59"/>
      <c r="J1102" s="21"/>
      <c r="K1102" s="21"/>
      <c r="L1102" s="59"/>
      <c r="M1102" s="60"/>
      <c r="N1102" s="21"/>
      <c r="O1102" s="59"/>
      <c r="P1102" s="21"/>
      <c r="Q1102" s="59"/>
      <c r="R1102" s="21"/>
      <c r="S1102" s="21"/>
      <c r="T1102" s="59"/>
      <c r="U1102" s="60">
        <f t="shared" si="157"/>
        <v>0</v>
      </c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>
        <v>35964653</v>
      </c>
      <c r="AN1102" s="60">
        <f t="shared" ref="AN1102:AN1107" si="163">SUBTOTAL(9,AC1102:AM1102)</f>
        <v>35964653</v>
      </c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>
        <v>184931580</v>
      </c>
      <c r="AZ1102" s="60"/>
      <c r="BA1102" s="60">
        <f>VLOOKUP(B1102,[2]Hoja3!J$3:K$674,2,0)</f>
        <v>357475854</v>
      </c>
      <c r="BB1102" s="60"/>
      <c r="BC1102" s="61">
        <f t="shared" si="158"/>
        <v>578372087</v>
      </c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>
        <v>36986316</v>
      </c>
      <c r="BO1102" s="60"/>
      <c r="BP1102" s="61">
        <v>615358403</v>
      </c>
      <c r="BQ1102" s="61"/>
      <c r="BR1102" s="61"/>
      <c r="BS1102" s="61"/>
      <c r="BT1102" s="61"/>
      <c r="BU1102" s="61"/>
      <c r="BV1102" s="61"/>
      <c r="BW1102" s="61"/>
      <c r="BX1102" s="61"/>
      <c r="BY1102" s="61"/>
      <c r="BZ1102" s="61"/>
      <c r="CA1102" s="61"/>
      <c r="CB1102" s="61"/>
      <c r="CC1102" s="61">
        <v>36986316</v>
      </c>
      <c r="CD1102" s="61"/>
      <c r="CE1102" s="61">
        <v>53296377</v>
      </c>
      <c r="CF1102" s="61"/>
      <c r="CG1102" s="61">
        <f t="shared" si="159"/>
        <v>705641096</v>
      </c>
      <c r="CH1102" s="62">
        <f>VLOOKUP(B1102,[1]RPTNCT049_ConsultaSaldosContabl!I$4:K$7987,3,0)</f>
        <v>258904212</v>
      </c>
      <c r="CI1102" s="62">
        <f t="shared" si="160"/>
        <v>446736884</v>
      </c>
      <c r="CJ1102" s="63">
        <f t="shared" si="161"/>
        <v>705641096</v>
      </c>
      <c r="CK1102" s="64">
        <f t="shared" si="162"/>
        <v>0</v>
      </c>
      <c r="CL1102" s="16"/>
      <c r="CM1102" s="16"/>
      <c r="CN1102" s="16"/>
    </row>
    <row r="1103" spans="1:96" ht="15" customHeight="1" x14ac:dyDescent="0.2">
      <c r="A1103" s="1">
        <v>8999994478</v>
      </c>
      <c r="B1103" s="1">
        <v>899999447</v>
      </c>
      <c r="C1103" s="9">
        <v>217125871</v>
      </c>
      <c r="D1103" s="10" t="s">
        <v>561</v>
      </c>
      <c r="E1103" s="45" t="s">
        <v>1581</v>
      </c>
      <c r="F1103" s="21"/>
      <c r="G1103" s="59"/>
      <c r="H1103" s="21"/>
      <c r="I1103" s="59"/>
      <c r="J1103" s="21"/>
      <c r="K1103" s="21"/>
      <c r="L1103" s="59"/>
      <c r="M1103" s="60"/>
      <c r="N1103" s="21"/>
      <c r="O1103" s="59"/>
      <c r="P1103" s="21"/>
      <c r="Q1103" s="59"/>
      <c r="R1103" s="21"/>
      <c r="S1103" s="21"/>
      <c r="T1103" s="59"/>
      <c r="U1103" s="60">
        <f t="shared" si="157"/>
        <v>0</v>
      </c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>
        <v>32430830</v>
      </c>
      <c r="AN1103" s="60">
        <f t="shared" si="163"/>
        <v>32430830</v>
      </c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>
        <v>15962375</v>
      </c>
      <c r="AZ1103" s="60"/>
      <c r="BA1103" s="60"/>
      <c r="BB1103" s="60"/>
      <c r="BC1103" s="61">
        <f t="shared" si="158"/>
        <v>48393205</v>
      </c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>
        <v>3192475</v>
      </c>
      <c r="BO1103" s="60"/>
      <c r="BP1103" s="61">
        <v>51585680</v>
      </c>
      <c r="BQ1103" s="61"/>
      <c r="BR1103" s="61"/>
      <c r="BS1103" s="61"/>
      <c r="BT1103" s="61"/>
      <c r="BU1103" s="61"/>
      <c r="BV1103" s="61"/>
      <c r="BW1103" s="61"/>
      <c r="BX1103" s="61"/>
      <c r="BY1103" s="61"/>
      <c r="BZ1103" s="61"/>
      <c r="CA1103" s="61"/>
      <c r="CB1103" s="61"/>
      <c r="CC1103" s="61">
        <v>3192475</v>
      </c>
      <c r="CD1103" s="61"/>
      <c r="CE1103" s="61"/>
      <c r="CF1103" s="61"/>
      <c r="CG1103" s="61">
        <f t="shared" si="159"/>
        <v>54778155</v>
      </c>
      <c r="CH1103" s="62">
        <f>VLOOKUP(B1103,[1]RPTNCT049_ConsultaSaldosContabl!I$4:K$7987,3,0)</f>
        <v>22347325</v>
      </c>
      <c r="CI1103" s="62">
        <f t="shared" si="160"/>
        <v>32430830</v>
      </c>
      <c r="CJ1103" s="63">
        <f t="shared" si="161"/>
        <v>54778155</v>
      </c>
      <c r="CK1103" s="64">
        <f t="shared" si="162"/>
        <v>0</v>
      </c>
      <c r="CL1103" s="16"/>
      <c r="CM1103" s="16"/>
      <c r="CN1103" s="16"/>
    </row>
    <row r="1104" spans="1:96" ht="15" customHeight="1" x14ac:dyDescent="0.2">
      <c r="A1104" s="1">
        <v>8908011528</v>
      </c>
      <c r="B1104" s="1">
        <v>890801152</v>
      </c>
      <c r="C1104" s="9">
        <v>217317873</v>
      </c>
      <c r="D1104" s="10" t="s">
        <v>360</v>
      </c>
      <c r="E1104" s="45" t="s">
        <v>1389</v>
      </c>
      <c r="F1104" s="21"/>
      <c r="G1104" s="59"/>
      <c r="H1104" s="21"/>
      <c r="I1104" s="59"/>
      <c r="J1104" s="21"/>
      <c r="K1104" s="21"/>
      <c r="L1104" s="59"/>
      <c r="M1104" s="60"/>
      <c r="N1104" s="21"/>
      <c r="O1104" s="59"/>
      <c r="P1104" s="21"/>
      <c r="Q1104" s="59"/>
      <c r="R1104" s="21"/>
      <c r="S1104" s="21"/>
      <c r="T1104" s="59"/>
      <c r="U1104" s="60">
        <f t="shared" si="157"/>
        <v>0</v>
      </c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>
        <v>532214526</v>
      </c>
      <c r="AN1104" s="60">
        <f t="shared" si="163"/>
        <v>532214526</v>
      </c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>
        <v>244317745</v>
      </c>
      <c r="AZ1104" s="60"/>
      <c r="BA1104" s="60"/>
      <c r="BB1104" s="60"/>
      <c r="BC1104" s="61">
        <f t="shared" si="158"/>
        <v>776532271</v>
      </c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>
        <v>48863549</v>
      </c>
      <c r="BO1104" s="60"/>
      <c r="BP1104" s="61">
        <v>825395820</v>
      </c>
      <c r="BQ1104" s="61"/>
      <c r="BR1104" s="61"/>
      <c r="BS1104" s="61"/>
      <c r="BT1104" s="61"/>
      <c r="BU1104" s="61"/>
      <c r="BV1104" s="61"/>
      <c r="BW1104" s="61"/>
      <c r="BX1104" s="61"/>
      <c r="BY1104" s="61"/>
      <c r="BZ1104" s="61"/>
      <c r="CA1104" s="61"/>
      <c r="CB1104" s="61"/>
      <c r="CC1104" s="61">
        <v>48863549</v>
      </c>
      <c r="CD1104" s="61"/>
      <c r="CE1104" s="61"/>
      <c r="CF1104" s="61"/>
      <c r="CG1104" s="61">
        <f t="shared" si="159"/>
        <v>874259369</v>
      </c>
      <c r="CH1104" s="62">
        <f>VLOOKUP(B1104,[1]RPTNCT049_ConsultaSaldosContabl!I$4:K$7987,3,0)</f>
        <v>342044843</v>
      </c>
      <c r="CI1104" s="62">
        <f t="shared" si="160"/>
        <v>532214526</v>
      </c>
      <c r="CJ1104" s="63">
        <f t="shared" si="161"/>
        <v>874259369</v>
      </c>
      <c r="CK1104" s="64">
        <f t="shared" si="162"/>
        <v>0</v>
      </c>
      <c r="CL1104" s="16"/>
      <c r="CM1104" s="16"/>
      <c r="CN1104" s="16"/>
    </row>
    <row r="1105" spans="1:96" ht="15" customHeight="1" x14ac:dyDescent="0.2">
      <c r="A1105" s="1">
        <v>8904811928</v>
      </c>
      <c r="B1105" s="1">
        <v>890481192</v>
      </c>
      <c r="C1105" s="9">
        <v>217313873</v>
      </c>
      <c r="D1105" s="10" t="s">
        <v>215</v>
      </c>
      <c r="E1105" s="45" t="s">
        <v>1250</v>
      </c>
      <c r="F1105" s="21"/>
      <c r="G1105" s="59"/>
      <c r="H1105" s="21"/>
      <c r="I1105" s="59"/>
      <c r="J1105" s="21"/>
      <c r="K1105" s="21"/>
      <c r="L1105" s="59"/>
      <c r="M1105" s="60"/>
      <c r="N1105" s="21"/>
      <c r="O1105" s="59"/>
      <c r="P1105" s="21"/>
      <c r="Q1105" s="59"/>
      <c r="R1105" s="21"/>
      <c r="S1105" s="21"/>
      <c r="T1105" s="59"/>
      <c r="U1105" s="60">
        <f t="shared" si="157"/>
        <v>0</v>
      </c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>
        <v>192637648</v>
      </c>
      <c r="AN1105" s="60">
        <f t="shared" si="163"/>
        <v>192637648</v>
      </c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>
        <v>282192805</v>
      </c>
      <c r="AZ1105" s="60"/>
      <c r="BA1105" s="60">
        <f>VLOOKUP(B1105,[2]Hoja3!J$3:K$674,2,0)</f>
        <v>143028556</v>
      </c>
      <c r="BB1105" s="60"/>
      <c r="BC1105" s="61">
        <f t="shared" si="158"/>
        <v>617859009</v>
      </c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>
        <v>56438561</v>
      </c>
      <c r="BO1105" s="60"/>
      <c r="BP1105" s="61">
        <v>674297570</v>
      </c>
      <c r="BQ1105" s="61"/>
      <c r="BR1105" s="61"/>
      <c r="BS1105" s="61"/>
      <c r="BT1105" s="61"/>
      <c r="BU1105" s="61"/>
      <c r="BV1105" s="61"/>
      <c r="BW1105" s="61"/>
      <c r="BX1105" s="61"/>
      <c r="BY1105" s="61"/>
      <c r="BZ1105" s="61"/>
      <c r="CA1105" s="61"/>
      <c r="CB1105" s="61"/>
      <c r="CC1105" s="61">
        <v>56438561</v>
      </c>
      <c r="CD1105" s="61"/>
      <c r="CE1105" s="61"/>
      <c r="CF1105" s="61"/>
      <c r="CG1105" s="61">
        <f t="shared" si="159"/>
        <v>730736131</v>
      </c>
      <c r="CH1105" s="62">
        <f>VLOOKUP(B1105,[1]RPTNCT049_ConsultaSaldosContabl!I$4:K$7987,3,0)</f>
        <v>395069927</v>
      </c>
      <c r="CI1105" s="62">
        <f t="shared" si="160"/>
        <v>335666204</v>
      </c>
      <c r="CJ1105" s="63">
        <f t="shared" si="161"/>
        <v>730736131</v>
      </c>
      <c r="CK1105" s="64">
        <f t="shared" si="162"/>
        <v>0</v>
      </c>
      <c r="CL1105" s="16"/>
      <c r="CM1105" s="8"/>
      <c r="CN1105" s="8"/>
      <c r="CO1105" s="8"/>
      <c r="CP1105" s="8"/>
      <c r="CQ1105" s="8"/>
      <c r="CR1105" s="8"/>
    </row>
    <row r="1106" spans="1:96" ht="15" customHeight="1" x14ac:dyDescent="0.2">
      <c r="A1106" s="1">
        <v>8920994757</v>
      </c>
      <c r="B1106" s="1">
        <v>892099475</v>
      </c>
      <c r="C1106" s="9">
        <v>214085440</v>
      </c>
      <c r="D1106" s="10" t="s">
        <v>973</v>
      </c>
      <c r="E1106" s="45" t="s">
        <v>2032</v>
      </c>
      <c r="F1106" s="21"/>
      <c r="G1106" s="59"/>
      <c r="H1106" s="21"/>
      <c r="I1106" s="59"/>
      <c r="J1106" s="21"/>
      <c r="K1106" s="21"/>
      <c r="L1106" s="59"/>
      <c r="M1106" s="60"/>
      <c r="N1106" s="21"/>
      <c r="O1106" s="59"/>
      <c r="P1106" s="21"/>
      <c r="Q1106" s="59"/>
      <c r="R1106" s="21"/>
      <c r="S1106" s="21"/>
      <c r="T1106" s="59"/>
      <c r="U1106" s="60">
        <f t="shared" si="157"/>
        <v>0</v>
      </c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>
        <v>487784841</v>
      </c>
      <c r="AN1106" s="60">
        <f t="shared" si="163"/>
        <v>487784841</v>
      </c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>
        <v>190116935</v>
      </c>
      <c r="AZ1106" s="60"/>
      <c r="BA1106" s="60"/>
      <c r="BB1106" s="60">
        <f>VLOOKUP(B1106,'[3]anuladas en mayo gratuidad}'!K$2:L$55,2,0)</f>
        <v>163166213</v>
      </c>
      <c r="BC1106" s="61">
        <f t="shared" si="158"/>
        <v>514735563</v>
      </c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>
        <v>38023387</v>
      </c>
      <c r="BO1106" s="60"/>
      <c r="BP1106" s="61">
        <v>552758950</v>
      </c>
      <c r="BQ1106" s="61"/>
      <c r="BR1106" s="61"/>
      <c r="BS1106" s="61"/>
      <c r="BT1106" s="61"/>
      <c r="BU1106" s="61"/>
      <c r="BV1106" s="61"/>
      <c r="BW1106" s="61"/>
      <c r="BX1106" s="61"/>
      <c r="BY1106" s="61"/>
      <c r="BZ1106" s="61"/>
      <c r="CA1106" s="61"/>
      <c r="CB1106" s="61"/>
      <c r="CC1106" s="61">
        <v>38023387</v>
      </c>
      <c r="CD1106" s="61"/>
      <c r="CE1106" s="61"/>
      <c r="CF1106" s="61"/>
      <c r="CG1106" s="61">
        <f t="shared" si="159"/>
        <v>590782337</v>
      </c>
      <c r="CH1106" s="62">
        <f>VLOOKUP(B1106,[1]RPTNCT049_ConsultaSaldosContabl!I$4:K$7987,3,0)</f>
        <v>266163709</v>
      </c>
      <c r="CI1106" s="62">
        <f t="shared" si="160"/>
        <v>324618628</v>
      </c>
      <c r="CJ1106" s="63">
        <f t="shared" si="161"/>
        <v>590782337</v>
      </c>
      <c r="CK1106" s="64">
        <f t="shared" si="162"/>
        <v>0</v>
      </c>
      <c r="CL1106" s="16"/>
      <c r="CM1106" s="16"/>
      <c r="CN1106" s="16"/>
    </row>
    <row r="1107" spans="1:96" ht="15" customHeight="1" x14ac:dyDescent="0.2">
      <c r="A1107" s="1">
        <v>8921151980</v>
      </c>
      <c r="B1107" s="1">
        <v>892115198</v>
      </c>
      <c r="C1107" s="9">
        <v>217444874</v>
      </c>
      <c r="D1107" s="10" t="s">
        <v>639</v>
      </c>
      <c r="E1107" s="45" t="s">
        <v>1658</v>
      </c>
      <c r="F1107" s="21"/>
      <c r="G1107" s="59"/>
      <c r="H1107" s="21"/>
      <c r="I1107" s="59"/>
      <c r="J1107" s="21"/>
      <c r="K1107" s="21"/>
      <c r="L1107" s="59"/>
      <c r="M1107" s="60"/>
      <c r="N1107" s="21"/>
      <c r="O1107" s="59"/>
      <c r="P1107" s="21"/>
      <c r="Q1107" s="59"/>
      <c r="R1107" s="21"/>
      <c r="S1107" s="21"/>
      <c r="T1107" s="59"/>
      <c r="U1107" s="60">
        <f t="shared" si="157"/>
        <v>0</v>
      </c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>
        <v>347775107</v>
      </c>
      <c r="AN1107" s="60">
        <f t="shared" si="163"/>
        <v>347775107</v>
      </c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>
        <v>185916855</v>
      </c>
      <c r="AZ1107" s="60"/>
      <c r="BA1107" s="60"/>
      <c r="BB1107" s="60"/>
      <c r="BC1107" s="61">
        <f t="shared" si="158"/>
        <v>533691962</v>
      </c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>
        <v>37183371</v>
      </c>
      <c r="BO1107" s="60"/>
      <c r="BP1107" s="61">
        <v>570875333</v>
      </c>
      <c r="BQ1107" s="61"/>
      <c r="BR1107" s="61"/>
      <c r="BS1107" s="61"/>
      <c r="BT1107" s="61"/>
      <c r="BU1107" s="61"/>
      <c r="BV1107" s="61"/>
      <c r="BW1107" s="61"/>
      <c r="BX1107" s="61"/>
      <c r="BY1107" s="61"/>
      <c r="BZ1107" s="61"/>
      <c r="CA1107" s="61"/>
      <c r="CB1107" s="61"/>
      <c r="CC1107" s="61">
        <v>37183371</v>
      </c>
      <c r="CD1107" s="61"/>
      <c r="CE1107" s="61"/>
      <c r="CF1107" s="61"/>
      <c r="CG1107" s="61">
        <f t="shared" si="159"/>
        <v>608058704</v>
      </c>
      <c r="CH1107" s="62">
        <f>VLOOKUP(B1107,[1]RPTNCT049_ConsultaSaldosContabl!I$4:K$7987,3,0)</f>
        <v>260283597</v>
      </c>
      <c r="CI1107" s="62">
        <f t="shared" si="160"/>
        <v>347775107</v>
      </c>
      <c r="CJ1107" s="63">
        <f t="shared" si="161"/>
        <v>608058704</v>
      </c>
      <c r="CK1107" s="64">
        <f t="shared" si="162"/>
        <v>0</v>
      </c>
      <c r="CL1107" s="16"/>
      <c r="CM1107" s="16"/>
      <c r="CN1107" s="16"/>
    </row>
    <row r="1108" spans="1:96" ht="15" customHeight="1" x14ac:dyDescent="0.2">
      <c r="A1108" s="1">
        <v>8902062501</v>
      </c>
      <c r="B1108" s="1">
        <v>890206250</v>
      </c>
      <c r="C1108" s="9">
        <v>217268872</v>
      </c>
      <c r="D1108" s="10" t="s">
        <v>888</v>
      </c>
      <c r="E1108" s="45" t="s">
        <v>1902</v>
      </c>
      <c r="F1108" s="21"/>
      <c r="G1108" s="59"/>
      <c r="H1108" s="21"/>
      <c r="I1108" s="59"/>
      <c r="J1108" s="21"/>
      <c r="K1108" s="21"/>
      <c r="L1108" s="59"/>
      <c r="M1108" s="60"/>
      <c r="N1108" s="21"/>
      <c r="O1108" s="59"/>
      <c r="P1108" s="21"/>
      <c r="Q1108" s="59"/>
      <c r="R1108" s="21"/>
      <c r="S1108" s="21"/>
      <c r="T1108" s="59"/>
      <c r="U1108" s="60">
        <f t="shared" si="157"/>
        <v>0</v>
      </c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>
        <v>36279575</v>
      </c>
      <c r="AZ1108" s="60"/>
      <c r="BA1108" s="60">
        <f>VLOOKUP(B1108,[2]Hoja3!J$3:K$674,2,0)</f>
        <v>87595712</v>
      </c>
      <c r="BB1108" s="60"/>
      <c r="BC1108" s="61">
        <f t="shared" si="158"/>
        <v>123875287</v>
      </c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>
        <v>7255915</v>
      </c>
      <c r="BO1108" s="60"/>
      <c r="BP1108" s="61">
        <v>131131202</v>
      </c>
      <c r="BQ1108" s="61"/>
      <c r="BR1108" s="61"/>
      <c r="BS1108" s="61"/>
      <c r="BT1108" s="61"/>
      <c r="BU1108" s="61"/>
      <c r="BV1108" s="61"/>
      <c r="BW1108" s="61"/>
      <c r="BX1108" s="61"/>
      <c r="BY1108" s="61"/>
      <c r="BZ1108" s="61"/>
      <c r="CA1108" s="61"/>
      <c r="CB1108" s="61"/>
      <c r="CC1108" s="61">
        <v>7255915</v>
      </c>
      <c r="CD1108" s="61"/>
      <c r="CE1108" s="61"/>
      <c r="CF1108" s="61"/>
      <c r="CG1108" s="61">
        <f t="shared" si="159"/>
        <v>138387117</v>
      </c>
      <c r="CH1108" s="62">
        <f>VLOOKUP(B1108,[1]RPTNCT049_ConsultaSaldosContabl!I$4:K$7987,3,0)</f>
        <v>50791405</v>
      </c>
      <c r="CI1108" s="62">
        <f t="shared" si="160"/>
        <v>87595712</v>
      </c>
      <c r="CJ1108" s="63">
        <f t="shared" si="161"/>
        <v>138387117</v>
      </c>
      <c r="CK1108" s="64">
        <f t="shared" si="162"/>
        <v>0</v>
      </c>
      <c r="CL1108" s="16"/>
      <c r="CM1108" s="16"/>
      <c r="CN1108" s="16"/>
    </row>
    <row r="1109" spans="1:96" ht="15" customHeight="1" x14ac:dyDescent="0.2">
      <c r="A1109" s="1">
        <v>8999994453</v>
      </c>
      <c r="B1109" s="1">
        <v>899999445</v>
      </c>
      <c r="C1109" s="9">
        <v>217325873</v>
      </c>
      <c r="D1109" s="10" t="s">
        <v>562</v>
      </c>
      <c r="E1109" s="45" t="s">
        <v>1582</v>
      </c>
      <c r="F1109" s="21"/>
      <c r="G1109" s="59"/>
      <c r="H1109" s="21"/>
      <c r="I1109" s="59"/>
      <c r="J1109" s="21"/>
      <c r="K1109" s="21"/>
      <c r="L1109" s="59"/>
      <c r="M1109" s="60"/>
      <c r="N1109" s="21"/>
      <c r="O1109" s="59"/>
      <c r="P1109" s="21"/>
      <c r="Q1109" s="59"/>
      <c r="R1109" s="21"/>
      <c r="S1109" s="21"/>
      <c r="T1109" s="59"/>
      <c r="U1109" s="60">
        <f t="shared" si="157"/>
        <v>0</v>
      </c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>
        <v>305690894</v>
      </c>
      <c r="AN1109" s="60">
        <f>SUBTOTAL(9,AC1109:AM1109)</f>
        <v>305690894</v>
      </c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>
        <v>118047335</v>
      </c>
      <c r="AZ1109" s="60"/>
      <c r="BA1109" s="60"/>
      <c r="BB1109" s="60"/>
      <c r="BC1109" s="61">
        <f t="shared" si="158"/>
        <v>423738229</v>
      </c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>
        <v>23609467</v>
      </c>
      <c r="BO1109" s="60"/>
      <c r="BP1109" s="61">
        <v>447347696</v>
      </c>
      <c r="BQ1109" s="61"/>
      <c r="BR1109" s="61"/>
      <c r="BS1109" s="61"/>
      <c r="BT1109" s="61"/>
      <c r="BU1109" s="61"/>
      <c r="BV1109" s="61"/>
      <c r="BW1109" s="61"/>
      <c r="BX1109" s="61"/>
      <c r="BY1109" s="61"/>
      <c r="BZ1109" s="61"/>
      <c r="CA1109" s="61"/>
      <c r="CB1109" s="61"/>
      <c r="CC1109" s="61">
        <v>23609467</v>
      </c>
      <c r="CD1109" s="61"/>
      <c r="CE1109" s="61"/>
      <c r="CF1109" s="61"/>
      <c r="CG1109" s="61">
        <f t="shared" si="159"/>
        <v>470957163</v>
      </c>
      <c r="CH1109" s="62">
        <f>VLOOKUP(B1109,[1]RPTNCT049_ConsultaSaldosContabl!I$4:K$7987,3,0)</f>
        <v>165266269</v>
      </c>
      <c r="CI1109" s="62">
        <f t="shared" si="160"/>
        <v>305690894</v>
      </c>
      <c r="CJ1109" s="63">
        <f t="shared" si="161"/>
        <v>470957163</v>
      </c>
      <c r="CK1109" s="64">
        <f t="shared" si="162"/>
        <v>0</v>
      </c>
      <c r="CL1109" s="16"/>
      <c r="CM1109" s="16"/>
      <c r="CN1109" s="16"/>
    </row>
    <row r="1110" spans="1:96" ht="15" customHeight="1" x14ac:dyDescent="0.2">
      <c r="A1110" s="1">
        <v>8001001475</v>
      </c>
      <c r="B1110" s="1">
        <v>800100147</v>
      </c>
      <c r="C1110" s="9">
        <v>217373873</v>
      </c>
      <c r="D1110" s="10" t="s">
        <v>2243</v>
      </c>
      <c r="E1110" s="45" t="s">
        <v>1972</v>
      </c>
      <c r="F1110" s="21"/>
      <c r="G1110" s="59"/>
      <c r="H1110" s="21"/>
      <c r="I1110" s="59"/>
      <c r="J1110" s="21"/>
      <c r="K1110" s="21"/>
      <c r="L1110" s="59"/>
      <c r="M1110" s="60"/>
      <c r="N1110" s="21"/>
      <c r="O1110" s="59"/>
      <c r="P1110" s="21"/>
      <c r="Q1110" s="59"/>
      <c r="R1110" s="21"/>
      <c r="S1110" s="21"/>
      <c r="T1110" s="59"/>
      <c r="U1110" s="60">
        <f t="shared" si="157"/>
        <v>0</v>
      </c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>
        <v>40496205</v>
      </c>
      <c r="AZ1110" s="60"/>
      <c r="BA1110" s="60">
        <f>VLOOKUP(B1110,[2]Hoja3!J$3:K$674,2,0)</f>
        <v>88327437</v>
      </c>
      <c r="BB1110" s="60"/>
      <c r="BC1110" s="61">
        <f t="shared" si="158"/>
        <v>128823642</v>
      </c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>
        <v>8099241</v>
      </c>
      <c r="BO1110" s="60"/>
      <c r="BP1110" s="61">
        <v>136922883</v>
      </c>
      <c r="BQ1110" s="61"/>
      <c r="BR1110" s="61"/>
      <c r="BS1110" s="61"/>
      <c r="BT1110" s="61"/>
      <c r="BU1110" s="61"/>
      <c r="BV1110" s="61"/>
      <c r="BW1110" s="61"/>
      <c r="BX1110" s="61"/>
      <c r="BY1110" s="61"/>
      <c r="BZ1110" s="61"/>
      <c r="CA1110" s="61"/>
      <c r="CB1110" s="61"/>
      <c r="CC1110" s="61">
        <v>8099241</v>
      </c>
      <c r="CD1110" s="61"/>
      <c r="CE1110" s="61"/>
      <c r="CF1110" s="61"/>
      <c r="CG1110" s="61">
        <f t="shared" si="159"/>
        <v>145022124</v>
      </c>
      <c r="CH1110" s="62">
        <f>VLOOKUP(B1110,[1]RPTNCT049_ConsultaSaldosContabl!I$4:K$7987,3,0)</f>
        <v>56694687</v>
      </c>
      <c r="CI1110" s="62">
        <f t="shared" si="160"/>
        <v>88327437</v>
      </c>
      <c r="CJ1110" s="63">
        <f t="shared" si="161"/>
        <v>145022124</v>
      </c>
      <c r="CK1110" s="64">
        <f t="shared" si="162"/>
        <v>0</v>
      </c>
      <c r="CL1110" s="16"/>
      <c r="CM1110" s="16"/>
      <c r="CN1110" s="16"/>
    </row>
    <row r="1111" spans="1:96" ht="15" customHeight="1" x14ac:dyDescent="0.2">
      <c r="A1111" s="1">
        <v>8920993243</v>
      </c>
      <c r="B1111" s="1">
        <v>892099324</v>
      </c>
      <c r="C1111" s="9">
        <v>210150001</v>
      </c>
      <c r="D1111" s="10" t="s">
        <v>2192</v>
      </c>
      <c r="E1111" s="47" t="s">
        <v>2105</v>
      </c>
      <c r="F1111" s="21"/>
      <c r="G1111" s="59"/>
      <c r="H1111" s="21"/>
      <c r="I1111" s="59">
        <f>10066179853+228153551</f>
        <v>10294333404</v>
      </c>
      <c r="J1111" s="21">
        <v>704021281</v>
      </c>
      <c r="K1111" s="21">
        <v>1398752738</v>
      </c>
      <c r="L1111" s="59"/>
      <c r="M1111" s="61">
        <f>SUM(F1111:L1111)</f>
        <v>12397107423</v>
      </c>
      <c r="N1111" s="21"/>
      <c r="O1111" s="59"/>
      <c r="P1111" s="21"/>
      <c r="Q1111" s="59">
        <f>9585788734+103706160</f>
        <v>9689494894</v>
      </c>
      <c r="R1111" s="21">
        <v>706921513</v>
      </c>
      <c r="S1111" s="21">
        <f>694731457+706921513</f>
        <v>1401652970</v>
      </c>
      <c r="T1111" s="59"/>
      <c r="U1111" s="60">
        <f t="shared" si="157"/>
        <v>24195176800</v>
      </c>
      <c r="V1111" s="60"/>
      <c r="W1111" s="60"/>
      <c r="X1111" s="60"/>
      <c r="Y1111" s="60">
        <v>20271128059</v>
      </c>
      <c r="Z1111" s="60">
        <v>694081273</v>
      </c>
      <c r="AA1111" s="60">
        <v>1608707446</v>
      </c>
      <c r="AB1111" s="60"/>
      <c r="AC1111" s="60">
        <f t="shared" ref="AC1092:AC1135" si="164">SUM(U1111:AB1111)</f>
        <v>46769093578</v>
      </c>
      <c r="AD1111" s="60"/>
      <c r="AE1111" s="60"/>
      <c r="AF1111" s="60"/>
      <c r="AG1111" s="60"/>
      <c r="AH1111" s="60">
        <v>10320711719</v>
      </c>
      <c r="AI1111" s="60">
        <v>2344044749</v>
      </c>
      <c r="AJ1111" s="60">
        <v>721464257</v>
      </c>
      <c r="AK1111" s="60">
        <v>1819010628</v>
      </c>
      <c r="AL1111" s="60"/>
      <c r="AM1111" s="60">
        <v>4863958901</v>
      </c>
      <c r="AN1111" s="60">
        <f t="shared" ref="AN1111:AN1118" si="165">SUBTOTAL(9,AC1111:AM1111)</f>
        <v>66838283832</v>
      </c>
      <c r="AO1111" s="60"/>
      <c r="AP1111" s="60"/>
      <c r="AQ1111" s="60">
        <v>1532697165</v>
      </c>
      <c r="AR1111" s="60"/>
      <c r="AS1111" s="60"/>
      <c r="AT1111" s="60">
        <v>10320711719</v>
      </c>
      <c r="AU1111" s="60"/>
      <c r="AV1111" s="60">
        <v>721464257</v>
      </c>
      <c r="AW1111" s="60">
        <v>1231954036</v>
      </c>
      <c r="AX1111" s="60"/>
      <c r="AY1111" s="60"/>
      <c r="AZ1111" s="60">
        <v>1025585355</v>
      </c>
      <c r="BA1111" s="60">
        <f>VLOOKUP(B1111,[2]Hoja3!J$3:K$674,2,0)</f>
        <v>370086615</v>
      </c>
      <c r="BB1111" s="60"/>
      <c r="BC1111" s="61">
        <f t="shared" si="158"/>
        <v>82040782979</v>
      </c>
      <c r="BD1111" s="60"/>
      <c r="BE1111" s="60"/>
      <c r="BF1111" s="60">
        <v>306539433</v>
      </c>
      <c r="BG1111" s="60"/>
      <c r="BH1111" s="60"/>
      <c r="BI1111" s="60">
        <v>10166613037</v>
      </c>
      <c r="BJ1111" s="60">
        <v>1087445456</v>
      </c>
      <c r="BK1111" s="60">
        <v>781516503</v>
      </c>
      <c r="BL1111" s="60">
        <v>1976057178</v>
      </c>
      <c r="BM1111" s="60"/>
      <c r="BN1111" s="60"/>
      <c r="BO1111" s="60"/>
      <c r="BP1111" s="61">
        <v>96358954586</v>
      </c>
      <c r="BQ1111" s="61"/>
      <c r="BR1111" s="61"/>
      <c r="BS1111" s="61">
        <v>306539433</v>
      </c>
      <c r="BT1111" s="61"/>
      <c r="BU1111" s="61"/>
      <c r="BV1111" s="61"/>
      <c r="BW1111" s="61">
        <v>10275936024</v>
      </c>
      <c r="BX1111" s="61"/>
      <c r="BY1111" s="61">
        <v>4681409264</v>
      </c>
      <c r="BZ1111" s="61">
        <v>748459632</v>
      </c>
      <c r="CA1111" s="61">
        <v>1936172501</v>
      </c>
      <c r="CB1111" s="61"/>
      <c r="CC1111" s="61"/>
      <c r="CD1111" s="61"/>
      <c r="CE1111" s="61"/>
      <c r="CF1111" s="61"/>
      <c r="CG1111" s="61">
        <f t="shared" si="159"/>
        <v>114307471440</v>
      </c>
      <c r="CH1111" s="62">
        <f>VLOOKUP(B1111,[1]RPTNCT049_ConsultaSaldosContabl!I$4:K$7987,3,0)</f>
        <v>109073425924</v>
      </c>
      <c r="CI1111" s="62">
        <f t="shared" si="160"/>
        <v>5234045516</v>
      </c>
      <c r="CJ1111" s="63">
        <f t="shared" si="161"/>
        <v>114307471440</v>
      </c>
      <c r="CK1111" s="64">
        <f t="shared" si="162"/>
        <v>0</v>
      </c>
      <c r="CL1111" s="16"/>
      <c r="CM1111" s="16"/>
      <c r="CN1111" s="16"/>
    </row>
    <row r="1112" spans="1:96" ht="15" customHeight="1" x14ac:dyDescent="0.2">
      <c r="A1112" s="1">
        <v>8999993122</v>
      </c>
      <c r="B1112" s="1">
        <v>899999312</v>
      </c>
      <c r="C1112" s="9">
        <v>217525875</v>
      </c>
      <c r="D1112" s="10" t="s">
        <v>563</v>
      </c>
      <c r="E1112" s="45" t="s">
        <v>1583</v>
      </c>
      <c r="F1112" s="21"/>
      <c r="G1112" s="59"/>
      <c r="H1112" s="21"/>
      <c r="I1112" s="59"/>
      <c r="J1112" s="21"/>
      <c r="K1112" s="21"/>
      <c r="L1112" s="59"/>
      <c r="M1112" s="60"/>
      <c r="N1112" s="21"/>
      <c r="O1112" s="59"/>
      <c r="P1112" s="21"/>
      <c r="Q1112" s="59"/>
      <c r="R1112" s="21"/>
      <c r="S1112" s="21"/>
      <c r="T1112" s="59"/>
      <c r="U1112" s="60">
        <f t="shared" si="157"/>
        <v>0</v>
      </c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>
        <v>330960237</v>
      </c>
      <c r="AN1112" s="60">
        <f t="shared" si="165"/>
        <v>330960237</v>
      </c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>
        <v>151574925</v>
      </c>
      <c r="AZ1112" s="60"/>
      <c r="BA1112" s="60"/>
      <c r="BB1112" s="60"/>
      <c r="BC1112" s="61">
        <f t="shared" si="158"/>
        <v>482535162</v>
      </c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>
        <v>30314985</v>
      </c>
      <c r="BO1112" s="60"/>
      <c r="BP1112" s="61">
        <v>512850147</v>
      </c>
      <c r="BQ1112" s="61"/>
      <c r="BR1112" s="61"/>
      <c r="BS1112" s="61"/>
      <c r="BT1112" s="61"/>
      <c r="BU1112" s="61"/>
      <c r="BV1112" s="61"/>
      <c r="BW1112" s="61"/>
      <c r="BX1112" s="61"/>
      <c r="BY1112" s="61"/>
      <c r="BZ1112" s="61"/>
      <c r="CA1112" s="61"/>
      <c r="CB1112" s="61"/>
      <c r="CC1112" s="61">
        <v>30314985</v>
      </c>
      <c r="CD1112" s="61"/>
      <c r="CE1112" s="61"/>
      <c r="CF1112" s="61"/>
      <c r="CG1112" s="61">
        <f t="shared" si="159"/>
        <v>543165132</v>
      </c>
      <c r="CH1112" s="62">
        <f>VLOOKUP(B1112,[1]RPTNCT049_ConsultaSaldosContabl!I$4:K$7987,3,0)</f>
        <v>212204895</v>
      </c>
      <c r="CI1112" s="62">
        <f t="shared" si="160"/>
        <v>330960237</v>
      </c>
      <c r="CJ1112" s="63">
        <f t="shared" si="161"/>
        <v>543165132</v>
      </c>
      <c r="CK1112" s="64">
        <f t="shared" si="162"/>
        <v>0</v>
      </c>
      <c r="CL1112" s="16"/>
      <c r="CM1112" s="16"/>
      <c r="CN1112" s="16"/>
    </row>
    <row r="1113" spans="1:96" ht="15" customHeight="1" x14ac:dyDescent="0.2">
      <c r="A1113" s="1">
        <v>8906801423</v>
      </c>
      <c r="B1113" s="1">
        <v>890680142</v>
      </c>
      <c r="C1113" s="9">
        <v>217825878</v>
      </c>
      <c r="D1113" s="10" t="s">
        <v>564</v>
      </c>
      <c r="E1113" s="45" t="s">
        <v>1495</v>
      </c>
      <c r="F1113" s="21"/>
      <c r="G1113" s="59"/>
      <c r="H1113" s="21"/>
      <c r="I1113" s="59"/>
      <c r="J1113" s="21"/>
      <c r="K1113" s="21"/>
      <c r="L1113" s="59"/>
      <c r="M1113" s="60"/>
      <c r="N1113" s="21"/>
      <c r="O1113" s="59"/>
      <c r="P1113" s="21"/>
      <c r="Q1113" s="59"/>
      <c r="R1113" s="21"/>
      <c r="S1113" s="21"/>
      <c r="T1113" s="59"/>
      <c r="U1113" s="60">
        <f t="shared" si="157"/>
        <v>0</v>
      </c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>
        <v>227083608</v>
      </c>
      <c r="AN1113" s="60">
        <f t="shared" si="165"/>
        <v>227083608</v>
      </c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>
        <v>99128230</v>
      </c>
      <c r="AZ1113" s="60"/>
      <c r="BA1113" s="60"/>
      <c r="BB1113" s="60"/>
      <c r="BC1113" s="61">
        <f t="shared" si="158"/>
        <v>326211838</v>
      </c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>
        <v>19825646</v>
      </c>
      <c r="BO1113" s="60"/>
      <c r="BP1113" s="61">
        <v>346037484</v>
      </c>
      <c r="BQ1113" s="61"/>
      <c r="BR1113" s="61"/>
      <c r="BS1113" s="61"/>
      <c r="BT1113" s="61"/>
      <c r="BU1113" s="61"/>
      <c r="BV1113" s="61"/>
      <c r="BW1113" s="61"/>
      <c r="BX1113" s="61"/>
      <c r="BY1113" s="61"/>
      <c r="BZ1113" s="61"/>
      <c r="CA1113" s="61"/>
      <c r="CB1113" s="61"/>
      <c r="CC1113" s="61">
        <v>19825646</v>
      </c>
      <c r="CD1113" s="61"/>
      <c r="CE1113" s="61"/>
      <c r="CF1113" s="61"/>
      <c r="CG1113" s="61">
        <f t="shared" si="159"/>
        <v>365863130</v>
      </c>
      <c r="CH1113" s="62">
        <f>VLOOKUP(B1113,[1]RPTNCT049_ConsultaSaldosContabl!I$4:K$7987,3,0)</f>
        <v>138779522</v>
      </c>
      <c r="CI1113" s="62">
        <f t="shared" si="160"/>
        <v>227083608</v>
      </c>
      <c r="CJ1113" s="63">
        <f t="shared" si="161"/>
        <v>365863130</v>
      </c>
      <c r="CK1113" s="64">
        <f t="shared" si="162"/>
        <v>0</v>
      </c>
      <c r="CL1113" s="16"/>
      <c r="CM1113" s="16"/>
      <c r="CN1113" s="16"/>
    </row>
    <row r="1114" spans="1:96" ht="15" customHeight="1" x14ac:dyDescent="0.2">
      <c r="A1114" s="1">
        <v>8918013470</v>
      </c>
      <c r="B1114" s="1">
        <v>891801347</v>
      </c>
      <c r="C1114" s="9">
        <v>217915879</v>
      </c>
      <c r="D1114" s="10" t="s">
        <v>334</v>
      </c>
      <c r="E1114" s="45" t="s">
        <v>1365</v>
      </c>
      <c r="F1114" s="21"/>
      <c r="G1114" s="59"/>
      <c r="H1114" s="21"/>
      <c r="I1114" s="59"/>
      <c r="J1114" s="21"/>
      <c r="K1114" s="21"/>
      <c r="L1114" s="59"/>
      <c r="M1114" s="60"/>
      <c r="N1114" s="21"/>
      <c r="O1114" s="59"/>
      <c r="P1114" s="21"/>
      <c r="Q1114" s="59"/>
      <c r="R1114" s="21"/>
      <c r="S1114" s="21"/>
      <c r="T1114" s="59"/>
      <c r="U1114" s="60">
        <f t="shared" si="157"/>
        <v>0</v>
      </c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>
        <v>36419046</v>
      </c>
      <c r="AN1114" s="60">
        <f t="shared" si="165"/>
        <v>36419046</v>
      </c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>
        <v>21474250</v>
      </c>
      <c r="AZ1114" s="60"/>
      <c r="BA1114" s="60"/>
      <c r="BB1114" s="60"/>
      <c r="BC1114" s="61">
        <f t="shared" si="158"/>
        <v>57893296</v>
      </c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>
        <v>4294850</v>
      </c>
      <c r="BO1114" s="60"/>
      <c r="BP1114" s="61">
        <v>62188146</v>
      </c>
      <c r="BQ1114" s="61"/>
      <c r="BR1114" s="61"/>
      <c r="BS1114" s="61"/>
      <c r="BT1114" s="61"/>
      <c r="BU1114" s="61"/>
      <c r="BV1114" s="61"/>
      <c r="BW1114" s="61"/>
      <c r="BX1114" s="61"/>
      <c r="BY1114" s="61"/>
      <c r="BZ1114" s="61"/>
      <c r="CA1114" s="61"/>
      <c r="CB1114" s="61"/>
      <c r="CC1114" s="61">
        <v>4294850</v>
      </c>
      <c r="CD1114" s="61"/>
      <c r="CE1114" s="61"/>
      <c r="CF1114" s="61"/>
      <c r="CG1114" s="61">
        <f t="shared" si="159"/>
        <v>66482996</v>
      </c>
      <c r="CH1114" s="62">
        <f>VLOOKUP(B1114,[1]RPTNCT049_ConsultaSaldosContabl!I$4:K$7987,3,0)</f>
        <v>30063950</v>
      </c>
      <c r="CI1114" s="62">
        <f t="shared" si="160"/>
        <v>36419046</v>
      </c>
      <c r="CJ1114" s="63">
        <f t="shared" si="161"/>
        <v>66482996</v>
      </c>
      <c r="CK1114" s="64">
        <f t="shared" si="162"/>
        <v>0</v>
      </c>
      <c r="CL1114" s="16"/>
      <c r="CM1114" s="8"/>
      <c r="CN1114" s="8"/>
      <c r="CO1114" s="8"/>
      <c r="CP1114" s="8"/>
      <c r="CQ1114" s="8"/>
      <c r="CR1114" s="8"/>
    </row>
    <row r="1115" spans="1:96" ht="15" customHeight="1" x14ac:dyDescent="0.2">
      <c r="A1115" s="1">
        <v>8920991738</v>
      </c>
      <c r="B1115" s="1">
        <v>892099173</v>
      </c>
      <c r="C1115" s="9">
        <v>211150711</v>
      </c>
      <c r="D1115" s="10" t="s">
        <v>691</v>
      </c>
      <c r="E1115" s="45" t="s">
        <v>1713</v>
      </c>
      <c r="F1115" s="21"/>
      <c r="G1115" s="59"/>
      <c r="H1115" s="21"/>
      <c r="I1115" s="59"/>
      <c r="J1115" s="21"/>
      <c r="K1115" s="21"/>
      <c r="L1115" s="59"/>
      <c r="M1115" s="60"/>
      <c r="N1115" s="21"/>
      <c r="O1115" s="59"/>
      <c r="P1115" s="21"/>
      <c r="Q1115" s="59"/>
      <c r="R1115" s="21"/>
      <c r="S1115" s="21"/>
      <c r="T1115" s="59"/>
      <c r="U1115" s="60">
        <f t="shared" si="157"/>
        <v>0</v>
      </c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>
        <v>252874053</v>
      </c>
      <c r="AN1115" s="60">
        <f t="shared" si="165"/>
        <v>252874053</v>
      </c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>
        <v>185749355</v>
      </c>
      <c r="AZ1115" s="60"/>
      <c r="BA1115" s="60">
        <f>VLOOKUP(B1115,[2]Hoja3!J$3:K$674,2,0)</f>
        <v>56936022</v>
      </c>
      <c r="BB1115" s="60"/>
      <c r="BC1115" s="61">
        <f t="shared" si="158"/>
        <v>495559430</v>
      </c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>
        <v>37149871</v>
      </c>
      <c r="BO1115" s="60"/>
      <c r="BP1115" s="61">
        <v>532709301</v>
      </c>
      <c r="BQ1115" s="61"/>
      <c r="BR1115" s="61"/>
      <c r="BS1115" s="61"/>
      <c r="BT1115" s="61"/>
      <c r="BU1115" s="61"/>
      <c r="BV1115" s="61"/>
      <c r="BW1115" s="61"/>
      <c r="BX1115" s="61"/>
      <c r="BY1115" s="61"/>
      <c r="BZ1115" s="61"/>
      <c r="CA1115" s="61"/>
      <c r="CB1115" s="61"/>
      <c r="CC1115" s="61">
        <v>37149871</v>
      </c>
      <c r="CD1115" s="61"/>
      <c r="CE1115" s="61"/>
      <c r="CF1115" s="61"/>
      <c r="CG1115" s="61">
        <f t="shared" si="159"/>
        <v>569859172</v>
      </c>
      <c r="CH1115" s="62">
        <f>VLOOKUP(B1115,[1]RPTNCT049_ConsultaSaldosContabl!I$4:K$7987,3,0)</f>
        <v>260049097</v>
      </c>
      <c r="CI1115" s="62">
        <f t="shared" si="160"/>
        <v>309810075</v>
      </c>
      <c r="CJ1115" s="63">
        <f t="shared" si="161"/>
        <v>569859172</v>
      </c>
      <c r="CK1115" s="64">
        <f t="shared" si="162"/>
        <v>0</v>
      </c>
      <c r="CL1115" s="16"/>
      <c r="CM1115" s="16"/>
      <c r="CN1115" s="16"/>
    </row>
    <row r="1116" spans="1:96" ht="15" customHeight="1" x14ac:dyDescent="0.2">
      <c r="A1116" s="1">
        <v>8000908335</v>
      </c>
      <c r="B1116" s="1">
        <v>800090833</v>
      </c>
      <c r="C1116" s="9">
        <v>217717877</v>
      </c>
      <c r="D1116" s="10" t="s">
        <v>361</v>
      </c>
      <c r="E1116" s="45" t="s">
        <v>1390</v>
      </c>
      <c r="F1116" s="21"/>
      <c r="G1116" s="59"/>
      <c r="H1116" s="21"/>
      <c r="I1116" s="59"/>
      <c r="J1116" s="21"/>
      <c r="K1116" s="21"/>
      <c r="L1116" s="59"/>
      <c r="M1116" s="60"/>
      <c r="N1116" s="21"/>
      <c r="O1116" s="59"/>
      <c r="P1116" s="21"/>
      <c r="Q1116" s="59"/>
      <c r="R1116" s="21"/>
      <c r="S1116" s="21"/>
      <c r="T1116" s="59"/>
      <c r="U1116" s="60">
        <f t="shared" si="157"/>
        <v>0</v>
      </c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>
        <v>167721517</v>
      </c>
      <c r="AN1116" s="60">
        <f t="shared" si="165"/>
        <v>167721517</v>
      </c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>
        <v>103238090</v>
      </c>
      <c r="AZ1116" s="60"/>
      <c r="BA1116" s="60"/>
      <c r="BB1116" s="60"/>
      <c r="BC1116" s="61">
        <f t="shared" si="158"/>
        <v>270959607</v>
      </c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>
        <v>20647618</v>
      </c>
      <c r="BO1116" s="60"/>
      <c r="BP1116" s="61">
        <v>291607225</v>
      </c>
      <c r="BQ1116" s="61"/>
      <c r="BR1116" s="61"/>
      <c r="BS1116" s="61"/>
      <c r="BT1116" s="61"/>
      <c r="BU1116" s="61"/>
      <c r="BV1116" s="61"/>
      <c r="BW1116" s="61"/>
      <c r="BX1116" s="61"/>
      <c r="BY1116" s="61"/>
      <c r="BZ1116" s="61"/>
      <c r="CA1116" s="61"/>
      <c r="CB1116" s="61"/>
      <c r="CC1116" s="61">
        <v>20647618</v>
      </c>
      <c r="CD1116" s="61"/>
      <c r="CE1116" s="61"/>
      <c r="CF1116" s="61"/>
      <c r="CG1116" s="61">
        <f t="shared" si="159"/>
        <v>312254843</v>
      </c>
      <c r="CH1116" s="62">
        <f>VLOOKUP(B1116,[1]RPTNCT049_ConsultaSaldosContabl!I$4:K$7987,3,0)</f>
        <v>144533326</v>
      </c>
      <c r="CI1116" s="62">
        <f t="shared" si="160"/>
        <v>167721517</v>
      </c>
      <c r="CJ1116" s="63">
        <f t="shared" si="161"/>
        <v>312254843</v>
      </c>
      <c r="CK1116" s="64">
        <f t="shared" si="162"/>
        <v>0</v>
      </c>
      <c r="CL1116" s="16"/>
      <c r="CM1116" s="16"/>
      <c r="CN1116" s="16"/>
    </row>
    <row r="1117" spans="1:96" ht="15" customHeight="1" x14ac:dyDescent="0.2">
      <c r="A1117" s="1">
        <v>8000947761</v>
      </c>
      <c r="B1117" s="1">
        <v>800094776</v>
      </c>
      <c r="C1117" s="9">
        <v>218525885</v>
      </c>
      <c r="D1117" s="10" t="s">
        <v>565</v>
      </c>
      <c r="E1117" s="45" t="s">
        <v>1584</v>
      </c>
      <c r="F1117" s="21"/>
      <c r="G1117" s="59"/>
      <c r="H1117" s="21"/>
      <c r="I1117" s="59"/>
      <c r="J1117" s="21"/>
      <c r="K1117" s="21"/>
      <c r="L1117" s="59"/>
      <c r="M1117" s="60"/>
      <c r="N1117" s="21"/>
      <c r="O1117" s="59"/>
      <c r="P1117" s="21"/>
      <c r="Q1117" s="59"/>
      <c r="R1117" s="21"/>
      <c r="S1117" s="21"/>
      <c r="T1117" s="59"/>
      <c r="U1117" s="60">
        <f t="shared" si="157"/>
        <v>0</v>
      </c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>
        <v>206134750</v>
      </c>
      <c r="AN1117" s="60">
        <f t="shared" si="165"/>
        <v>206134750</v>
      </c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>
        <v>136628930</v>
      </c>
      <c r="AZ1117" s="60"/>
      <c r="BA1117" s="60"/>
      <c r="BB1117" s="60"/>
      <c r="BC1117" s="61">
        <f t="shared" si="158"/>
        <v>342763680</v>
      </c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>
        <v>27325786</v>
      </c>
      <c r="BO1117" s="60"/>
      <c r="BP1117" s="61">
        <v>370089466</v>
      </c>
      <c r="BQ1117" s="61"/>
      <c r="BR1117" s="61"/>
      <c r="BS1117" s="61"/>
      <c r="BT1117" s="61"/>
      <c r="BU1117" s="61"/>
      <c r="BV1117" s="61"/>
      <c r="BW1117" s="61"/>
      <c r="BX1117" s="61"/>
      <c r="BY1117" s="61"/>
      <c r="BZ1117" s="61"/>
      <c r="CA1117" s="61"/>
      <c r="CB1117" s="61"/>
      <c r="CC1117" s="61">
        <v>27325786</v>
      </c>
      <c r="CD1117" s="61"/>
      <c r="CE1117" s="61"/>
      <c r="CF1117" s="61"/>
      <c r="CG1117" s="61">
        <f t="shared" si="159"/>
        <v>397415252</v>
      </c>
      <c r="CH1117" s="62">
        <f>VLOOKUP(B1117,[1]RPTNCT049_ConsultaSaldosContabl!I$4:K$7987,3,0)</f>
        <v>191280502</v>
      </c>
      <c r="CI1117" s="62">
        <f t="shared" si="160"/>
        <v>206134750</v>
      </c>
      <c r="CJ1117" s="63">
        <f t="shared" si="161"/>
        <v>397415252</v>
      </c>
      <c r="CK1117" s="64">
        <f t="shared" si="162"/>
        <v>0</v>
      </c>
      <c r="CL1117" s="16"/>
      <c r="CM1117" s="16"/>
      <c r="CN1117" s="16"/>
    </row>
    <row r="1118" spans="1:96" ht="15" customHeight="1" x14ac:dyDescent="0.2">
      <c r="A1118" s="1">
        <v>8000991536</v>
      </c>
      <c r="B1118" s="1">
        <v>800099153</v>
      </c>
      <c r="C1118" s="9">
        <v>218552885</v>
      </c>
      <c r="D1118" s="10" t="s">
        <v>750</v>
      </c>
      <c r="E1118" s="45" t="s">
        <v>1770</v>
      </c>
      <c r="F1118" s="21"/>
      <c r="G1118" s="59"/>
      <c r="H1118" s="21"/>
      <c r="I1118" s="59"/>
      <c r="J1118" s="21"/>
      <c r="K1118" s="21"/>
      <c r="L1118" s="59"/>
      <c r="M1118" s="60"/>
      <c r="N1118" s="21"/>
      <c r="O1118" s="59"/>
      <c r="P1118" s="21"/>
      <c r="Q1118" s="59"/>
      <c r="R1118" s="21"/>
      <c r="S1118" s="21"/>
      <c r="T1118" s="59"/>
      <c r="U1118" s="60">
        <f t="shared" si="157"/>
        <v>0</v>
      </c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>
        <v>66776655</v>
      </c>
      <c r="AN1118" s="60">
        <f t="shared" si="165"/>
        <v>66776655</v>
      </c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>
        <v>85356410</v>
      </c>
      <c r="AZ1118" s="60"/>
      <c r="BA1118" s="60">
        <f>VLOOKUP(B1118,[2]Hoja3!J$3:K$674,2,0)</f>
        <v>83254660</v>
      </c>
      <c r="BB1118" s="60"/>
      <c r="BC1118" s="61">
        <f t="shared" si="158"/>
        <v>235387725</v>
      </c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>
        <v>17071282</v>
      </c>
      <c r="BO1118" s="60"/>
      <c r="BP1118" s="61">
        <v>252459007</v>
      </c>
      <c r="BQ1118" s="61"/>
      <c r="BR1118" s="61"/>
      <c r="BS1118" s="61"/>
      <c r="BT1118" s="61"/>
      <c r="BU1118" s="61"/>
      <c r="BV1118" s="61"/>
      <c r="BW1118" s="61"/>
      <c r="BX1118" s="61"/>
      <c r="BY1118" s="61"/>
      <c r="BZ1118" s="61"/>
      <c r="CA1118" s="61"/>
      <c r="CB1118" s="61"/>
      <c r="CC1118" s="61">
        <v>17071282</v>
      </c>
      <c r="CD1118" s="61"/>
      <c r="CE1118" s="61"/>
      <c r="CF1118" s="61"/>
      <c r="CG1118" s="61">
        <f t="shared" si="159"/>
        <v>269530289</v>
      </c>
      <c r="CH1118" s="62">
        <f>VLOOKUP(B1118,[1]RPTNCT049_ConsultaSaldosContabl!I$4:K$7987,3,0)</f>
        <v>119498974</v>
      </c>
      <c r="CI1118" s="62">
        <f t="shared" si="160"/>
        <v>150031315</v>
      </c>
      <c r="CJ1118" s="63">
        <f t="shared" si="161"/>
        <v>269530289</v>
      </c>
      <c r="CK1118" s="64">
        <f t="shared" si="162"/>
        <v>0</v>
      </c>
      <c r="CL1118" s="16"/>
      <c r="CM1118" s="16"/>
      <c r="CN1118" s="16"/>
    </row>
    <row r="1119" spans="1:96" ht="15" customHeight="1" x14ac:dyDescent="0.2">
      <c r="A1119" s="1">
        <v>8000971806</v>
      </c>
      <c r="B1119" s="1">
        <v>800097180</v>
      </c>
      <c r="C1119" s="9">
        <v>218541885</v>
      </c>
      <c r="D1119" s="10" t="s">
        <v>628</v>
      </c>
      <c r="E1119" s="45" t="s">
        <v>1646</v>
      </c>
      <c r="F1119" s="21"/>
      <c r="G1119" s="59"/>
      <c r="H1119" s="21"/>
      <c r="I1119" s="59"/>
      <c r="J1119" s="21"/>
      <c r="K1119" s="21"/>
      <c r="L1119" s="59"/>
      <c r="M1119" s="60"/>
      <c r="N1119" s="21"/>
      <c r="O1119" s="59"/>
      <c r="P1119" s="21"/>
      <c r="Q1119" s="59"/>
      <c r="R1119" s="21"/>
      <c r="S1119" s="21"/>
      <c r="T1119" s="59"/>
      <c r="U1119" s="60">
        <f t="shared" si="157"/>
        <v>0</v>
      </c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>
        <f>VLOOKUP(B1119,[2]Hoja3!J$3:K$674,2,0)</f>
        <v>93372835</v>
      </c>
      <c r="BB1119" s="60"/>
      <c r="BC1119" s="61">
        <f t="shared" si="158"/>
        <v>93372835</v>
      </c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>
        <v>0</v>
      </c>
      <c r="BO1119" s="60"/>
      <c r="BP1119" s="61">
        <v>93372835</v>
      </c>
      <c r="BQ1119" s="61"/>
      <c r="BR1119" s="61"/>
      <c r="BS1119" s="61"/>
      <c r="BT1119" s="61"/>
      <c r="BU1119" s="61"/>
      <c r="BV1119" s="61"/>
      <c r="BW1119" s="61"/>
      <c r="BX1119" s="61"/>
      <c r="BY1119" s="61"/>
      <c r="BZ1119" s="61"/>
      <c r="CA1119" s="61"/>
      <c r="CB1119" s="61"/>
      <c r="CC1119" s="61">
        <v>0</v>
      </c>
      <c r="CD1119" s="61"/>
      <c r="CE1119" s="61"/>
      <c r="CF1119" s="61"/>
      <c r="CG1119" s="61">
        <f t="shared" si="159"/>
        <v>93372835</v>
      </c>
      <c r="CH1119" s="62"/>
      <c r="CI1119" s="62">
        <f t="shared" si="160"/>
        <v>93372835</v>
      </c>
      <c r="CJ1119" s="63">
        <f t="shared" si="161"/>
        <v>93372835</v>
      </c>
      <c r="CK1119" s="64">
        <f t="shared" si="162"/>
        <v>0</v>
      </c>
      <c r="CL1119" s="16"/>
      <c r="CM1119" s="16"/>
      <c r="CN1119" s="16"/>
    </row>
    <row r="1120" spans="1:96" ht="15" customHeight="1" x14ac:dyDescent="0.2">
      <c r="A1120" s="1">
        <v>8909809648</v>
      </c>
      <c r="B1120" s="1">
        <v>890980964</v>
      </c>
      <c r="C1120" s="9">
        <v>218505885</v>
      </c>
      <c r="D1120" s="10" t="s">
        <v>156</v>
      </c>
      <c r="E1120" s="45" t="s">
        <v>1185</v>
      </c>
      <c r="F1120" s="21"/>
      <c r="G1120" s="59"/>
      <c r="H1120" s="21"/>
      <c r="I1120" s="59"/>
      <c r="J1120" s="21"/>
      <c r="K1120" s="21"/>
      <c r="L1120" s="59"/>
      <c r="M1120" s="60"/>
      <c r="N1120" s="21"/>
      <c r="O1120" s="59"/>
      <c r="P1120" s="21"/>
      <c r="Q1120" s="59"/>
      <c r="R1120" s="21"/>
      <c r="S1120" s="21"/>
      <c r="T1120" s="59"/>
      <c r="U1120" s="60">
        <f t="shared" si="157"/>
        <v>0</v>
      </c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>
        <v>87218377</v>
      </c>
      <c r="AN1120" s="60">
        <f>SUBTOTAL(9,AC1120:AM1120)</f>
        <v>87218377</v>
      </c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1">
        <f t="shared" si="158"/>
        <v>87218377</v>
      </c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>
        <v>0</v>
      </c>
      <c r="BO1120" s="60"/>
      <c r="BP1120" s="61">
        <v>87218377</v>
      </c>
      <c r="BQ1120" s="61"/>
      <c r="BR1120" s="61"/>
      <c r="BS1120" s="61"/>
      <c r="BT1120" s="61"/>
      <c r="BU1120" s="61"/>
      <c r="BV1120" s="61"/>
      <c r="BW1120" s="61"/>
      <c r="BX1120" s="61"/>
      <c r="BY1120" s="61"/>
      <c r="BZ1120" s="61"/>
      <c r="CA1120" s="61"/>
      <c r="CB1120" s="61"/>
      <c r="CC1120" s="61">
        <v>0</v>
      </c>
      <c r="CD1120" s="61"/>
      <c r="CE1120" s="61"/>
      <c r="CF1120" s="61"/>
      <c r="CG1120" s="61">
        <f t="shared" si="159"/>
        <v>87218377</v>
      </c>
      <c r="CH1120" s="62"/>
      <c r="CI1120" s="62">
        <f t="shared" si="160"/>
        <v>87218377</v>
      </c>
      <c r="CJ1120" s="63">
        <f t="shared" si="161"/>
        <v>87218377</v>
      </c>
      <c r="CK1120" s="64">
        <f t="shared" si="162"/>
        <v>0</v>
      </c>
      <c r="CL1120" s="16"/>
      <c r="CM1120" s="16"/>
      <c r="CN1120" s="16"/>
    </row>
    <row r="1121" spans="1:112" ht="15" customHeight="1" x14ac:dyDescent="0.2">
      <c r="A1121" s="1">
        <v>8909800961</v>
      </c>
      <c r="B1121" s="1">
        <v>890980096</v>
      </c>
      <c r="C1121" s="9">
        <v>218705887</v>
      </c>
      <c r="D1121" s="10" t="s">
        <v>157</v>
      </c>
      <c r="E1121" s="45" t="s">
        <v>1186</v>
      </c>
      <c r="F1121" s="21"/>
      <c r="G1121" s="59"/>
      <c r="H1121" s="21"/>
      <c r="I1121" s="59"/>
      <c r="J1121" s="21"/>
      <c r="K1121" s="21"/>
      <c r="L1121" s="59"/>
      <c r="M1121" s="60"/>
      <c r="N1121" s="21"/>
      <c r="O1121" s="59"/>
      <c r="P1121" s="21"/>
      <c r="Q1121" s="59"/>
      <c r="R1121" s="21"/>
      <c r="S1121" s="21"/>
      <c r="T1121" s="59"/>
      <c r="U1121" s="60">
        <f t="shared" si="157"/>
        <v>0</v>
      </c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>
        <v>327416025</v>
      </c>
      <c r="AN1121" s="60">
        <f>SUBTOTAL(9,AC1121:AM1121)</f>
        <v>327416025</v>
      </c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>
        <f>VLOOKUP(B1121,[2]Hoja3!J$3:K$674,2,0)</f>
        <v>268153906</v>
      </c>
      <c r="BB1121" s="60">
        <f>VLOOKUP(B1121,'[3]anuladas en mayo gratuidad}'!K$2:L$55,2,0)</f>
        <v>231554402</v>
      </c>
      <c r="BC1121" s="61">
        <f t="shared" si="158"/>
        <v>364015529</v>
      </c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>
        <v>50488542</v>
      </c>
      <c r="BO1121" s="60"/>
      <c r="BP1121" s="61">
        <v>414504071</v>
      </c>
      <c r="BQ1121" s="61"/>
      <c r="BR1121" s="61"/>
      <c r="BS1121" s="61"/>
      <c r="BT1121" s="61"/>
      <c r="BU1121" s="61"/>
      <c r="BV1121" s="61"/>
      <c r="BW1121" s="61"/>
      <c r="BX1121" s="61"/>
      <c r="BY1121" s="61"/>
      <c r="BZ1121" s="61"/>
      <c r="CA1121" s="61"/>
      <c r="CB1121" s="61"/>
      <c r="CC1121" s="61">
        <v>50488542</v>
      </c>
      <c r="CD1121" s="61">
        <v>252442710</v>
      </c>
      <c r="CE1121" s="61"/>
      <c r="CF1121" s="61"/>
      <c r="CG1121" s="61">
        <f t="shared" si="159"/>
        <v>717435323</v>
      </c>
      <c r="CH1121" s="62">
        <f>VLOOKUP(B1121,[1]RPTNCT049_ConsultaSaldosContabl!I$4:K$7987,3,0)</f>
        <v>353419794</v>
      </c>
      <c r="CI1121" s="62">
        <f t="shared" si="160"/>
        <v>364015529</v>
      </c>
      <c r="CJ1121" s="63">
        <f t="shared" si="161"/>
        <v>717435323</v>
      </c>
      <c r="CK1121" s="64">
        <f t="shared" si="162"/>
        <v>0</v>
      </c>
      <c r="CL1121" s="16"/>
      <c r="CM1121" s="16"/>
      <c r="CN1121" s="16"/>
    </row>
    <row r="1122" spans="1:112" ht="15" customHeight="1" x14ac:dyDescent="0.2">
      <c r="A1122" s="1">
        <v>8909840302</v>
      </c>
      <c r="B1122" s="1">
        <v>890984030</v>
      </c>
      <c r="C1122" s="9">
        <v>219005890</v>
      </c>
      <c r="D1122" s="10" t="s">
        <v>158</v>
      </c>
      <c r="E1122" s="45" t="s">
        <v>1187</v>
      </c>
      <c r="F1122" s="21"/>
      <c r="G1122" s="59"/>
      <c r="H1122" s="21"/>
      <c r="I1122" s="59"/>
      <c r="J1122" s="21"/>
      <c r="K1122" s="21"/>
      <c r="L1122" s="59"/>
      <c r="M1122" s="60"/>
      <c r="N1122" s="21"/>
      <c r="O1122" s="59"/>
      <c r="P1122" s="21"/>
      <c r="Q1122" s="59"/>
      <c r="R1122" s="21"/>
      <c r="S1122" s="21"/>
      <c r="T1122" s="59"/>
      <c r="U1122" s="60">
        <f t="shared" si="157"/>
        <v>0</v>
      </c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>
        <v>323173178</v>
      </c>
      <c r="AN1122" s="60">
        <f>SUBTOTAL(9,AC1122:AM1122)</f>
        <v>323173178</v>
      </c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>
        <v>140614525</v>
      </c>
      <c r="AZ1122" s="60"/>
      <c r="BA1122" s="60"/>
      <c r="BB1122" s="60"/>
      <c r="BC1122" s="61">
        <f t="shared" si="158"/>
        <v>463787703</v>
      </c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>
        <v>28122905</v>
      </c>
      <c r="BO1122" s="60"/>
      <c r="BP1122" s="61">
        <v>491910608</v>
      </c>
      <c r="BQ1122" s="61"/>
      <c r="BR1122" s="61"/>
      <c r="BS1122" s="61"/>
      <c r="BT1122" s="61"/>
      <c r="BU1122" s="61"/>
      <c r="BV1122" s="61"/>
      <c r="BW1122" s="61"/>
      <c r="BX1122" s="61"/>
      <c r="BY1122" s="61"/>
      <c r="BZ1122" s="61"/>
      <c r="CA1122" s="61"/>
      <c r="CB1122" s="61"/>
      <c r="CC1122" s="61">
        <v>28122905</v>
      </c>
      <c r="CD1122" s="61"/>
      <c r="CE1122" s="61"/>
      <c r="CF1122" s="61"/>
      <c r="CG1122" s="61">
        <f t="shared" si="159"/>
        <v>520033513</v>
      </c>
      <c r="CH1122" s="62">
        <f>VLOOKUP(B1122,[1]RPTNCT049_ConsultaSaldosContabl!I$4:K$7987,3,0)</f>
        <v>196860335</v>
      </c>
      <c r="CI1122" s="62">
        <f t="shared" si="160"/>
        <v>323173178</v>
      </c>
      <c r="CJ1122" s="63">
        <f t="shared" si="161"/>
        <v>520033513</v>
      </c>
      <c r="CK1122" s="64">
        <f t="shared" si="162"/>
        <v>0</v>
      </c>
      <c r="CL1122" s="16"/>
      <c r="CM1122" s="16"/>
      <c r="CN1122" s="16"/>
    </row>
    <row r="1123" spans="1:112" ht="15" customHeight="1" x14ac:dyDescent="0.2">
      <c r="A1123" s="1">
        <v>8909842656</v>
      </c>
      <c r="B1123" s="1">
        <v>890984265</v>
      </c>
      <c r="C1123" s="9">
        <v>219305893</v>
      </c>
      <c r="D1123" s="10" t="s">
        <v>159</v>
      </c>
      <c r="E1123" s="58" t="s">
        <v>2062</v>
      </c>
      <c r="F1123" s="21"/>
      <c r="G1123" s="59"/>
      <c r="H1123" s="21"/>
      <c r="I1123" s="59"/>
      <c r="J1123" s="21"/>
      <c r="K1123" s="21"/>
      <c r="L1123" s="59"/>
      <c r="M1123" s="60"/>
      <c r="N1123" s="21"/>
      <c r="O1123" s="59"/>
      <c r="P1123" s="21"/>
      <c r="Q1123" s="59"/>
      <c r="R1123" s="21"/>
      <c r="S1123" s="21"/>
      <c r="T1123" s="59"/>
      <c r="U1123" s="60">
        <f t="shared" si="157"/>
        <v>0</v>
      </c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>
        <v>149269715</v>
      </c>
      <c r="AZ1123" s="60"/>
      <c r="BA1123" s="60">
        <f>VLOOKUP(B1123,[2]Hoja3!J$3:K$674,2,0)</f>
        <v>250479459</v>
      </c>
      <c r="BB1123" s="60"/>
      <c r="BC1123" s="61">
        <f t="shared" si="158"/>
        <v>399749174</v>
      </c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>
        <v>29853943</v>
      </c>
      <c r="BO1123" s="60"/>
      <c r="BP1123" s="61">
        <v>429603117</v>
      </c>
      <c r="BQ1123" s="61"/>
      <c r="BR1123" s="61"/>
      <c r="BS1123" s="61"/>
      <c r="BT1123" s="61"/>
      <c r="BU1123" s="61"/>
      <c r="BV1123" s="61"/>
      <c r="BW1123" s="61"/>
      <c r="BX1123" s="61"/>
      <c r="BY1123" s="61"/>
      <c r="BZ1123" s="61"/>
      <c r="CA1123" s="61"/>
      <c r="CB1123" s="61"/>
      <c r="CC1123" s="61">
        <v>29853943</v>
      </c>
      <c r="CD1123" s="61"/>
      <c r="CE1123" s="61"/>
      <c r="CF1123" s="61"/>
      <c r="CG1123" s="61">
        <f t="shared" si="159"/>
        <v>459457060</v>
      </c>
      <c r="CH1123" s="62">
        <f>VLOOKUP(B1123,[1]RPTNCT049_ConsultaSaldosContabl!I$4:K$7987,3,0)</f>
        <v>208977601</v>
      </c>
      <c r="CI1123" s="62">
        <f t="shared" si="160"/>
        <v>250479459</v>
      </c>
      <c r="CJ1123" s="63">
        <f t="shared" si="161"/>
        <v>459457060</v>
      </c>
      <c r="CK1123" s="64">
        <f t="shared" si="162"/>
        <v>0</v>
      </c>
      <c r="CL1123" s="16"/>
      <c r="CM1123" s="16"/>
      <c r="CN1123" s="16"/>
    </row>
    <row r="1124" spans="1:112" ht="15" customHeight="1" x14ac:dyDescent="0.2">
      <c r="A1124" s="1">
        <v>8918550177</v>
      </c>
      <c r="B1124" s="1">
        <v>891855017</v>
      </c>
      <c r="C1124" s="9">
        <v>210185001</v>
      </c>
      <c r="D1124" s="10" t="s">
        <v>955</v>
      </c>
      <c r="E1124" s="47" t="s">
        <v>2015</v>
      </c>
      <c r="F1124" s="21"/>
      <c r="G1124" s="59"/>
      <c r="H1124" s="21"/>
      <c r="I1124" s="59">
        <v>4534551874</v>
      </c>
      <c r="J1124" s="21">
        <v>319533495</v>
      </c>
      <c r="K1124" s="21">
        <v>637959701</v>
      </c>
      <c r="L1124" s="59"/>
      <c r="M1124" s="61">
        <f>SUM(F1124:L1124)</f>
        <v>5492045070</v>
      </c>
      <c r="N1124" s="21"/>
      <c r="O1124" s="59"/>
      <c r="P1124" s="21"/>
      <c r="Q1124" s="59">
        <f>4250707142+52493459</f>
        <v>4303200601</v>
      </c>
      <c r="R1124" s="21">
        <v>319990494</v>
      </c>
      <c r="S1124" s="21">
        <f>318426206+319990494</f>
        <v>638416700</v>
      </c>
      <c r="T1124" s="59"/>
      <c r="U1124" s="60">
        <f t="shared" si="157"/>
        <v>10753652865</v>
      </c>
      <c r="V1124" s="60"/>
      <c r="W1124" s="60"/>
      <c r="X1124" s="60"/>
      <c r="Y1124" s="60">
        <v>6574911807</v>
      </c>
      <c r="Z1124" s="60">
        <v>305145060</v>
      </c>
      <c r="AA1124" s="60">
        <v>720443305</v>
      </c>
      <c r="AB1124" s="60"/>
      <c r="AC1124" s="60">
        <f t="shared" si="164"/>
        <v>18354153037</v>
      </c>
      <c r="AD1124" s="60"/>
      <c r="AE1124" s="60"/>
      <c r="AF1124" s="60"/>
      <c r="AG1124" s="60"/>
      <c r="AH1124" s="60">
        <v>4498302482</v>
      </c>
      <c r="AI1124" s="60">
        <v>580821433</v>
      </c>
      <c r="AJ1124" s="60">
        <v>325938539</v>
      </c>
      <c r="AK1124" s="60">
        <v>823299262</v>
      </c>
      <c r="AL1124" s="60"/>
      <c r="AM1124" s="60">
        <v>2307917227</v>
      </c>
      <c r="AN1124" s="60">
        <f>SUBTOTAL(9,AC1124:AM1124)</f>
        <v>26890431980</v>
      </c>
      <c r="AO1124" s="60"/>
      <c r="AP1124" s="60"/>
      <c r="AQ1124" s="60">
        <v>809934400</v>
      </c>
      <c r="AR1124" s="60"/>
      <c r="AS1124" s="60"/>
      <c r="AT1124" s="60">
        <v>4498302482</v>
      </c>
      <c r="AU1124" s="60"/>
      <c r="AV1124" s="60">
        <v>325938539</v>
      </c>
      <c r="AW1124" s="60">
        <v>558041944</v>
      </c>
      <c r="AX1124" s="60"/>
      <c r="AY1124" s="60"/>
      <c r="AZ1124" s="60"/>
      <c r="BA1124" s="60"/>
      <c r="BB1124" s="60"/>
      <c r="BC1124" s="61">
        <f t="shared" si="158"/>
        <v>33082649345</v>
      </c>
      <c r="BD1124" s="60"/>
      <c r="BE1124" s="60"/>
      <c r="BF1124" s="60">
        <v>161986880</v>
      </c>
      <c r="BG1124" s="60"/>
      <c r="BH1124" s="60"/>
      <c r="BI1124" s="60">
        <v>5444892876</v>
      </c>
      <c r="BJ1124" s="60">
        <v>275564640</v>
      </c>
      <c r="BK1124" s="60">
        <v>305556881</v>
      </c>
      <c r="BL1124" s="60">
        <v>672496459</v>
      </c>
      <c r="BM1124" s="60"/>
      <c r="BN1124" s="60"/>
      <c r="BO1124" s="60"/>
      <c r="BP1124" s="61">
        <v>39943147081</v>
      </c>
      <c r="BQ1124" s="61"/>
      <c r="BR1124" s="61"/>
      <c r="BS1124" s="61">
        <v>161986880</v>
      </c>
      <c r="BT1124" s="61"/>
      <c r="BU1124" s="61"/>
      <c r="BV1124" s="61"/>
      <c r="BW1124" s="61">
        <v>4558165320</v>
      </c>
      <c r="BX1124" s="61"/>
      <c r="BY1124" s="61">
        <v>1971622800</v>
      </c>
      <c r="BZ1124" s="61">
        <v>339350162</v>
      </c>
      <c r="CA1124" s="61">
        <v>872259113</v>
      </c>
      <c r="CB1124" s="61"/>
      <c r="CC1124" s="61"/>
      <c r="CD1124" s="61"/>
      <c r="CE1124" s="61"/>
      <c r="CF1124" s="61"/>
      <c r="CG1124" s="61">
        <f t="shared" si="159"/>
        <v>47846531356</v>
      </c>
      <c r="CH1124" s="62">
        <f>VLOOKUP(B1124,[1]RPTNCT049_ConsultaSaldosContabl!I$4:K$7987,3,0)</f>
        <v>45538614129</v>
      </c>
      <c r="CI1124" s="62">
        <f t="shared" si="160"/>
        <v>2307917227</v>
      </c>
      <c r="CJ1124" s="63">
        <f t="shared" si="161"/>
        <v>47846531356</v>
      </c>
      <c r="CK1124" s="64">
        <f t="shared" si="162"/>
        <v>0</v>
      </c>
      <c r="CL1124" s="16"/>
      <c r="CM1124" s="16"/>
      <c r="CN1124" s="16"/>
    </row>
    <row r="1125" spans="1:112" ht="15" customHeight="1" x14ac:dyDescent="0.2">
      <c r="A1125" s="1">
        <v>8001005310</v>
      </c>
      <c r="B1125" s="1">
        <v>800100531</v>
      </c>
      <c r="C1125" s="9">
        <v>219076890</v>
      </c>
      <c r="D1125" s="10" t="s">
        <v>945</v>
      </c>
      <c r="E1125" s="45" t="s">
        <v>2005</v>
      </c>
      <c r="F1125" s="21"/>
      <c r="G1125" s="59"/>
      <c r="H1125" s="21"/>
      <c r="I1125" s="59"/>
      <c r="J1125" s="21"/>
      <c r="K1125" s="21"/>
      <c r="L1125" s="59"/>
      <c r="M1125" s="60"/>
      <c r="N1125" s="21"/>
      <c r="O1125" s="59"/>
      <c r="P1125" s="21"/>
      <c r="Q1125" s="59"/>
      <c r="R1125" s="21"/>
      <c r="S1125" s="21"/>
      <c r="T1125" s="59"/>
      <c r="U1125" s="60">
        <f t="shared" si="157"/>
        <v>0</v>
      </c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>
        <v>208386621</v>
      </c>
      <c r="AN1125" s="60">
        <f>SUBTOTAL(9,AC1125:AM1125)</f>
        <v>208386621</v>
      </c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>
        <v>115330945</v>
      </c>
      <c r="AZ1125" s="60"/>
      <c r="BA1125" s="60"/>
      <c r="BB1125" s="60"/>
      <c r="BC1125" s="61">
        <f t="shared" si="158"/>
        <v>323717566</v>
      </c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>
        <v>23066189</v>
      </c>
      <c r="BO1125" s="60"/>
      <c r="BP1125" s="61">
        <v>346783755</v>
      </c>
      <c r="BQ1125" s="61"/>
      <c r="BR1125" s="61"/>
      <c r="BS1125" s="61"/>
      <c r="BT1125" s="61"/>
      <c r="BU1125" s="61"/>
      <c r="BV1125" s="61"/>
      <c r="BW1125" s="61"/>
      <c r="BX1125" s="61"/>
      <c r="BY1125" s="61"/>
      <c r="BZ1125" s="61"/>
      <c r="CA1125" s="61"/>
      <c r="CB1125" s="61"/>
      <c r="CC1125" s="61">
        <v>23066189</v>
      </c>
      <c r="CD1125" s="61"/>
      <c r="CE1125" s="61"/>
      <c r="CF1125" s="61"/>
      <c r="CG1125" s="61">
        <f t="shared" si="159"/>
        <v>369849944</v>
      </c>
      <c r="CH1125" s="62">
        <f>VLOOKUP(B1125,[1]RPTNCT049_ConsultaSaldosContabl!I$4:K$7987,3,0)</f>
        <v>161463323</v>
      </c>
      <c r="CI1125" s="62">
        <f t="shared" si="160"/>
        <v>208386621</v>
      </c>
      <c r="CJ1125" s="63">
        <f t="shared" si="161"/>
        <v>369849944</v>
      </c>
      <c r="CK1125" s="64">
        <f t="shared" si="162"/>
        <v>0</v>
      </c>
      <c r="CL1125" s="16"/>
      <c r="CM1125" s="16"/>
      <c r="CN1125" s="16"/>
    </row>
    <row r="1126" spans="1:112" ht="15" customHeight="1" x14ac:dyDescent="0.2">
      <c r="A1126" s="1">
        <v>8903990256</v>
      </c>
      <c r="B1126" s="1">
        <v>890399025</v>
      </c>
      <c r="C1126" s="9">
        <v>219276892</v>
      </c>
      <c r="D1126" s="10" t="s">
        <v>946</v>
      </c>
      <c r="E1126" s="47" t="s">
        <v>2006</v>
      </c>
      <c r="F1126" s="21"/>
      <c r="G1126" s="59"/>
      <c r="H1126" s="21"/>
      <c r="I1126" s="59">
        <v>2381129870</v>
      </c>
      <c r="J1126" s="21">
        <v>168994617</v>
      </c>
      <c r="K1126" s="21">
        <v>338371500</v>
      </c>
      <c r="L1126" s="59"/>
      <c r="M1126" s="61">
        <f>SUM(F1126:L1126)</f>
        <v>2888495987</v>
      </c>
      <c r="N1126" s="21"/>
      <c r="O1126" s="59"/>
      <c r="P1126" s="21"/>
      <c r="Q1126" s="59">
        <f>2278296001+24491106</f>
        <v>2302787107</v>
      </c>
      <c r="R1126" s="21">
        <v>168994617</v>
      </c>
      <c r="S1126" s="21">
        <f>169376883+168994617</f>
        <v>338371500</v>
      </c>
      <c r="T1126" s="59"/>
      <c r="U1126" s="60">
        <f t="shared" si="157"/>
        <v>5698649211</v>
      </c>
      <c r="V1126" s="60"/>
      <c r="W1126" s="60"/>
      <c r="X1126" s="60"/>
      <c r="Y1126" s="60">
        <v>3778292409</v>
      </c>
      <c r="Z1126" s="60">
        <v>162587418</v>
      </c>
      <c r="AA1126" s="60">
        <v>379229825</v>
      </c>
      <c r="AB1126" s="60"/>
      <c r="AC1126" s="60">
        <f t="shared" si="164"/>
        <v>10018758863</v>
      </c>
      <c r="AD1126" s="60"/>
      <c r="AE1126" s="60"/>
      <c r="AF1126" s="60"/>
      <c r="AG1126" s="60"/>
      <c r="AH1126" s="60">
        <v>2418845618</v>
      </c>
      <c r="AI1126" s="60">
        <v>299005292</v>
      </c>
      <c r="AJ1126" s="60">
        <v>174210602</v>
      </c>
      <c r="AK1126" s="60">
        <v>438991978</v>
      </c>
      <c r="AL1126" s="60"/>
      <c r="AM1126" s="60">
        <v>1165698576</v>
      </c>
      <c r="AN1126" s="60">
        <f>SUBTOTAL(9,AC1126:AM1126)</f>
        <v>14515510929</v>
      </c>
      <c r="AO1126" s="60"/>
      <c r="AP1126" s="60"/>
      <c r="AQ1126" s="60">
        <v>597441820</v>
      </c>
      <c r="AR1126" s="60"/>
      <c r="AS1126" s="60"/>
      <c r="AT1126" s="60">
        <v>2418845618</v>
      </c>
      <c r="AU1126" s="60"/>
      <c r="AV1126" s="60">
        <v>174210602</v>
      </c>
      <c r="AW1126" s="60">
        <v>297397928</v>
      </c>
      <c r="AX1126" s="60"/>
      <c r="AY1126" s="60"/>
      <c r="AZ1126" s="60"/>
      <c r="BA1126" s="60"/>
      <c r="BB1126" s="60"/>
      <c r="BC1126" s="61">
        <f t="shared" si="158"/>
        <v>18003406897</v>
      </c>
      <c r="BD1126" s="60"/>
      <c r="BE1126" s="60"/>
      <c r="BF1126" s="60">
        <v>119488364</v>
      </c>
      <c r="BG1126" s="60"/>
      <c r="BH1126" s="60"/>
      <c r="BI1126" s="60">
        <v>2950236948</v>
      </c>
      <c r="BJ1126" s="60">
        <v>86913021</v>
      </c>
      <c r="BK1126" s="60">
        <v>191039653</v>
      </c>
      <c r="BL1126" s="60">
        <v>468104596</v>
      </c>
      <c r="BM1126" s="60"/>
      <c r="BN1126" s="60"/>
      <c r="BO1126" s="60"/>
      <c r="BP1126" s="61">
        <v>21819189479</v>
      </c>
      <c r="BQ1126" s="61">
        <v>2526281260</v>
      </c>
      <c r="BR1126" s="61"/>
      <c r="BS1126" s="61"/>
      <c r="BT1126" s="61"/>
      <c r="BU1126" s="61">
        <v>119488364</v>
      </c>
      <c r="BV1126" s="61"/>
      <c r="BW1126" s="61">
        <v>1089857172</v>
      </c>
      <c r="BX1126" s="61"/>
      <c r="BY1126" s="61"/>
      <c r="BZ1126" s="61">
        <v>177592683</v>
      </c>
      <c r="CA1126" s="61">
        <v>467298670</v>
      </c>
      <c r="CB1126" s="61"/>
      <c r="CC1126" s="61"/>
      <c r="CD1126" s="61"/>
      <c r="CE1126" s="61"/>
      <c r="CF1126" s="61"/>
      <c r="CG1126" s="61">
        <f t="shared" si="159"/>
        <v>26199707628</v>
      </c>
      <c r="CH1126" s="62">
        <f>VLOOKUP(B1126,[1]RPTNCT049_ConsultaSaldosContabl!I$4:K$7987,3,0)</f>
        <v>25034009052</v>
      </c>
      <c r="CI1126" s="62">
        <f>+AM1126+BA1126-BB1126+BO1126</f>
        <v>1165698576</v>
      </c>
      <c r="CJ1126" s="63">
        <f t="shared" si="161"/>
        <v>26199707628</v>
      </c>
      <c r="CK1126" s="64">
        <f t="shared" si="162"/>
        <v>0</v>
      </c>
      <c r="CL1126" s="16"/>
      <c r="CM1126" s="16"/>
      <c r="CN1126" s="16"/>
    </row>
    <row r="1127" spans="1:112" ht="15" customHeight="1" x14ac:dyDescent="0.2">
      <c r="A1127" s="1">
        <v>8904811777</v>
      </c>
      <c r="B1127" s="1">
        <v>890481177</v>
      </c>
      <c r="C1127" s="9">
        <v>219413894</v>
      </c>
      <c r="D1127" s="10" t="s">
        <v>217</v>
      </c>
      <c r="E1127" s="45" t="s">
        <v>1252</v>
      </c>
      <c r="F1127" s="21"/>
      <c r="G1127" s="59"/>
      <c r="H1127" s="21"/>
      <c r="I1127" s="59"/>
      <c r="J1127" s="21"/>
      <c r="K1127" s="21"/>
      <c r="L1127" s="59"/>
      <c r="M1127" s="60"/>
      <c r="N1127" s="21"/>
      <c r="O1127" s="59"/>
      <c r="P1127" s="21"/>
      <c r="Q1127" s="59"/>
      <c r="R1127" s="21"/>
      <c r="S1127" s="21"/>
      <c r="T1127" s="59"/>
      <c r="U1127" s="60">
        <f t="shared" si="157"/>
        <v>0</v>
      </c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>
        <v>204320431</v>
      </c>
      <c r="AN1127" s="60">
        <f>SUBTOTAL(9,AC1127:AM1127)</f>
        <v>204320431</v>
      </c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>
        <v>107609125</v>
      </c>
      <c r="AZ1127" s="60"/>
      <c r="BA1127" s="60"/>
      <c r="BB1127" s="60"/>
      <c r="BC1127" s="61">
        <f t="shared" si="158"/>
        <v>311929556</v>
      </c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>
        <v>21521825</v>
      </c>
      <c r="BO1127" s="60"/>
      <c r="BP1127" s="61">
        <v>333451381</v>
      </c>
      <c r="BQ1127" s="61"/>
      <c r="BR1127" s="61"/>
      <c r="BS1127" s="61"/>
      <c r="BT1127" s="61"/>
      <c r="BU1127" s="61"/>
      <c r="BV1127" s="61"/>
      <c r="BW1127" s="61"/>
      <c r="BX1127" s="61"/>
      <c r="BY1127" s="61"/>
      <c r="BZ1127" s="61"/>
      <c r="CA1127" s="61"/>
      <c r="CB1127" s="61"/>
      <c r="CC1127" s="61">
        <v>21521825</v>
      </c>
      <c r="CD1127" s="61"/>
      <c r="CE1127" s="61"/>
      <c r="CF1127" s="61"/>
      <c r="CG1127" s="61">
        <f t="shared" si="159"/>
        <v>354973206</v>
      </c>
      <c r="CH1127" s="62">
        <f>VLOOKUP(B1127,[1]RPTNCT049_ConsultaSaldosContabl!I$4:K$7987,3,0)</f>
        <v>150652775</v>
      </c>
      <c r="CI1127" s="62">
        <f t="shared" si="160"/>
        <v>204320431</v>
      </c>
      <c r="CJ1127" s="63">
        <f t="shared" si="161"/>
        <v>354973206</v>
      </c>
      <c r="CK1127" s="64">
        <f t="shared" si="162"/>
        <v>0</v>
      </c>
      <c r="CL1127" s="16"/>
      <c r="CM1127" s="8"/>
      <c r="CN1127" s="8"/>
      <c r="CO1127" s="8"/>
      <c r="CP1127" s="8"/>
      <c r="CQ1127" s="8"/>
      <c r="CR1127" s="8"/>
    </row>
    <row r="1128" spans="1:112" ht="15" customHeight="1" x14ac:dyDescent="0.2">
      <c r="A1128" s="1">
        <v>8902041383</v>
      </c>
      <c r="B1128" s="1">
        <v>890204138</v>
      </c>
      <c r="C1128" s="9">
        <v>219568895</v>
      </c>
      <c r="D1128" s="10" t="s">
        <v>889</v>
      </c>
      <c r="E1128" s="45" t="s">
        <v>1860</v>
      </c>
      <c r="F1128" s="21"/>
      <c r="G1128" s="59"/>
      <c r="H1128" s="21"/>
      <c r="I1128" s="59"/>
      <c r="J1128" s="21"/>
      <c r="K1128" s="21"/>
      <c r="L1128" s="59"/>
      <c r="M1128" s="60"/>
      <c r="N1128" s="21"/>
      <c r="O1128" s="59"/>
      <c r="P1128" s="21"/>
      <c r="Q1128" s="59"/>
      <c r="R1128" s="21"/>
      <c r="S1128" s="21"/>
      <c r="T1128" s="59"/>
      <c r="U1128" s="60">
        <f t="shared" si="157"/>
        <v>0</v>
      </c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>
        <v>49581500</v>
      </c>
      <c r="AZ1128" s="60"/>
      <c r="BA1128" s="60">
        <f>VLOOKUP(B1128,[2]Hoja3!J$3:K$674,2,0)</f>
        <v>131468365</v>
      </c>
      <c r="BB1128" s="60"/>
      <c r="BC1128" s="61">
        <f t="shared" si="158"/>
        <v>181049865</v>
      </c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>
        <v>9916300</v>
      </c>
      <c r="BO1128" s="60"/>
      <c r="BP1128" s="61">
        <v>190966165</v>
      </c>
      <c r="BQ1128" s="61"/>
      <c r="BR1128" s="61"/>
      <c r="BS1128" s="61"/>
      <c r="BT1128" s="61"/>
      <c r="BU1128" s="61"/>
      <c r="BV1128" s="61"/>
      <c r="BW1128" s="61"/>
      <c r="BX1128" s="61"/>
      <c r="BY1128" s="61"/>
      <c r="BZ1128" s="61"/>
      <c r="CA1128" s="61"/>
      <c r="CB1128" s="61"/>
      <c r="CC1128" s="61">
        <v>9916300</v>
      </c>
      <c r="CD1128" s="61"/>
      <c r="CE1128" s="61"/>
      <c r="CF1128" s="61"/>
      <c r="CG1128" s="61">
        <f t="shared" si="159"/>
        <v>200882465</v>
      </c>
      <c r="CH1128" s="62">
        <f>VLOOKUP(B1128,[1]RPTNCT049_ConsultaSaldosContabl!I$4:K$7987,3,0)</f>
        <v>69414100</v>
      </c>
      <c r="CI1128" s="62">
        <f t="shared" si="160"/>
        <v>131468365</v>
      </c>
      <c r="CJ1128" s="63">
        <f t="shared" si="161"/>
        <v>200882465</v>
      </c>
      <c r="CK1128" s="64">
        <f t="shared" si="162"/>
        <v>0</v>
      </c>
      <c r="CL1128" s="16"/>
      <c r="CM1128" s="16"/>
      <c r="CN1128" s="16"/>
    </row>
    <row r="1129" spans="1:112" ht="15" customHeight="1" x14ac:dyDescent="0.2">
      <c r="A1129" s="1">
        <v>8190037604</v>
      </c>
      <c r="B1129" s="1">
        <v>819003760</v>
      </c>
      <c r="C1129" s="9">
        <v>216047960</v>
      </c>
      <c r="D1129" s="10" t="s">
        <v>664</v>
      </c>
      <c r="E1129" s="45" t="s">
        <v>1684</v>
      </c>
      <c r="F1129" s="21"/>
      <c r="G1129" s="59"/>
      <c r="H1129" s="21"/>
      <c r="I1129" s="59"/>
      <c r="J1129" s="21"/>
      <c r="K1129" s="21"/>
      <c r="L1129" s="59"/>
      <c r="M1129" s="60"/>
      <c r="N1129" s="21"/>
      <c r="O1129" s="59"/>
      <c r="P1129" s="21"/>
      <c r="Q1129" s="59"/>
      <c r="R1129" s="21"/>
      <c r="S1129" s="21"/>
      <c r="T1129" s="59"/>
      <c r="U1129" s="60">
        <f t="shared" si="157"/>
        <v>0</v>
      </c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>
        <v>113973205</v>
      </c>
      <c r="AZ1129" s="60"/>
      <c r="BA1129" s="60">
        <f>VLOOKUP(B1129,[2]Hoja3!J$3:K$674,2,0)</f>
        <v>177845799</v>
      </c>
      <c r="BB1129" s="60"/>
      <c r="BC1129" s="61">
        <f t="shared" si="158"/>
        <v>291819004</v>
      </c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>
        <v>22794641</v>
      </c>
      <c r="BO1129" s="60"/>
      <c r="BP1129" s="61">
        <v>314613645</v>
      </c>
      <c r="BQ1129" s="61"/>
      <c r="BR1129" s="61"/>
      <c r="BS1129" s="61"/>
      <c r="BT1129" s="61"/>
      <c r="BU1129" s="61"/>
      <c r="BV1129" s="61"/>
      <c r="BW1129" s="61"/>
      <c r="BX1129" s="61"/>
      <c r="BY1129" s="61"/>
      <c r="BZ1129" s="61"/>
      <c r="CA1129" s="61"/>
      <c r="CB1129" s="61"/>
      <c r="CC1129" s="61">
        <v>22794641</v>
      </c>
      <c r="CD1129" s="61"/>
      <c r="CE1129" s="61"/>
      <c r="CF1129" s="61"/>
      <c r="CG1129" s="61">
        <f t="shared" si="159"/>
        <v>337408286</v>
      </c>
      <c r="CH1129" s="62">
        <f>VLOOKUP(B1129,[1]RPTNCT049_ConsultaSaldosContabl!I$4:K$7987,3,0)</f>
        <v>159562487</v>
      </c>
      <c r="CI1129" s="62">
        <f t="shared" si="160"/>
        <v>177845799</v>
      </c>
      <c r="CJ1129" s="63">
        <f t="shared" si="161"/>
        <v>337408286</v>
      </c>
      <c r="CK1129" s="64">
        <f t="shared" si="162"/>
        <v>0</v>
      </c>
      <c r="CL1129" s="16"/>
      <c r="CM1129" s="16"/>
      <c r="CN1129" s="16"/>
    </row>
    <row r="1130" spans="1:112" ht="15" customHeight="1" x14ac:dyDescent="0.2">
      <c r="A1130" s="1">
        <v>8909811504</v>
      </c>
      <c r="B1130" s="1">
        <v>890981150</v>
      </c>
      <c r="C1130" s="9">
        <v>219505895</v>
      </c>
      <c r="D1130" s="10" t="s">
        <v>160</v>
      </c>
      <c r="E1130" s="45" t="s">
        <v>1188</v>
      </c>
      <c r="F1130" s="21"/>
      <c r="G1130" s="59"/>
      <c r="H1130" s="21"/>
      <c r="I1130" s="59"/>
      <c r="J1130" s="21"/>
      <c r="K1130" s="21"/>
      <c r="L1130" s="59"/>
      <c r="M1130" s="60"/>
      <c r="N1130" s="21"/>
      <c r="O1130" s="59"/>
      <c r="P1130" s="21"/>
      <c r="Q1130" s="59"/>
      <c r="R1130" s="21"/>
      <c r="S1130" s="21"/>
      <c r="T1130" s="59"/>
      <c r="U1130" s="60">
        <f t="shared" si="157"/>
        <v>0</v>
      </c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>
        <v>118029911</v>
      </c>
      <c r="AN1130" s="60">
        <f>SUBTOTAL(9,AC1130:AM1130)</f>
        <v>118029911</v>
      </c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>
        <f>VLOOKUP(B1130,[2]Hoja3!J$3:K$674,2,0)</f>
        <v>421679786</v>
      </c>
      <c r="BB1130" s="60"/>
      <c r="BC1130" s="61">
        <f t="shared" si="158"/>
        <v>539709697</v>
      </c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>
        <v>75985388</v>
      </c>
      <c r="BO1130" s="60"/>
      <c r="BP1130" s="61">
        <v>615695085</v>
      </c>
      <c r="BQ1130" s="61"/>
      <c r="BR1130" s="61"/>
      <c r="BS1130" s="61"/>
      <c r="BT1130" s="61"/>
      <c r="BU1130" s="61"/>
      <c r="BV1130" s="61"/>
      <c r="BW1130" s="61"/>
      <c r="BX1130" s="61"/>
      <c r="BY1130" s="61"/>
      <c r="BZ1130" s="61"/>
      <c r="CA1130" s="61"/>
      <c r="CB1130" s="61"/>
      <c r="CC1130" s="61">
        <v>75985388</v>
      </c>
      <c r="CD1130" s="61">
        <v>379926940</v>
      </c>
      <c r="CE1130" s="61"/>
      <c r="CF1130" s="61"/>
      <c r="CG1130" s="61">
        <f t="shared" si="159"/>
        <v>1071607413</v>
      </c>
      <c r="CH1130" s="62">
        <f>VLOOKUP(B1130,[1]RPTNCT049_ConsultaSaldosContabl!I$4:K$7987,3,0)</f>
        <v>531897716</v>
      </c>
      <c r="CI1130" s="62">
        <f t="shared" si="160"/>
        <v>539709697</v>
      </c>
      <c r="CJ1130" s="63">
        <f t="shared" si="161"/>
        <v>1071607413</v>
      </c>
      <c r="CK1130" s="64">
        <f t="shared" si="162"/>
        <v>0</v>
      </c>
      <c r="CL1130" s="16"/>
      <c r="CM1130" s="16"/>
      <c r="CN1130" s="16"/>
    </row>
    <row r="1131" spans="1:112" ht="15" customHeight="1" x14ac:dyDescent="0.2">
      <c r="A1131" s="1">
        <v>8919006240</v>
      </c>
      <c r="B1131" s="1">
        <v>891900624</v>
      </c>
      <c r="C1131" s="9">
        <v>219576895</v>
      </c>
      <c r="D1131" s="10" t="s">
        <v>947</v>
      </c>
      <c r="E1131" s="45" t="s">
        <v>2007</v>
      </c>
      <c r="F1131" s="21"/>
      <c r="G1131" s="59"/>
      <c r="H1131" s="21"/>
      <c r="I1131" s="59"/>
      <c r="J1131" s="21"/>
      <c r="K1131" s="21"/>
      <c r="L1131" s="59"/>
      <c r="M1131" s="60"/>
      <c r="N1131" s="21"/>
      <c r="O1131" s="59"/>
      <c r="P1131" s="21"/>
      <c r="Q1131" s="59"/>
      <c r="R1131" s="21"/>
      <c r="S1131" s="21"/>
      <c r="T1131" s="59"/>
      <c r="U1131" s="60">
        <f t="shared" si="157"/>
        <v>0</v>
      </c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>
        <v>250009642</v>
      </c>
      <c r="AN1131" s="60">
        <f>SUBTOTAL(9,AC1131:AM1131)</f>
        <v>250009642</v>
      </c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>
        <v>250770220</v>
      </c>
      <c r="AZ1131" s="60"/>
      <c r="BA1131" s="60">
        <f>VLOOKUP(B1131,[2]Hoja3!J$3:K$674,2,0)</f>
        <v>252492949</v>
      </c>
      <c r="BB1131" s="60"/>
      <c r="BC1131" s="61">
        <f t="shared" si="158"/>
        <v>753272811</v>
      </c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>
        <v>50154044</v>
      </c>
      <c r="BO1131" s="60"/>
      <c r="BP1131" s="61">
        <v>803426855</v>
      </c>
      <c r="BQ1131" s="61"/>
      <c r="BR1131" s="61"/>
      <c r="BS1131" s="61"/>
      <c r="BT1131" s="61"/>
      <c r="BU1131" s="61"/>
      <c r="BV1131" s="61"/>
      <c r="BW1131" s="61"/>
      <c r="BX1131" s="61"/>
      <c r="BY1131" s="61"/>
      <c r="BZ1131" s="61"/>
      <c r="CA1131" s="61"/>
      <c r="CB1131" s="61"/>
      <c r="CC1131" s="61">
        <v>50154044</v>
      </c>
      <c r="CD1131" s="61"/>
      <c r="CE1131" s="61"/>
      <c r="CF1131" s="61"/>
      <c r="CG1131" s="61">
        <f t="shared" si="159"/>
        <v>853580899</v>
      </c>
      <c r="CH1131" s="62">
        <f>VLOOKUP(B1131,[1]RPTNCT049_ConsultaSaldosContabl!I$4:K$7987,3,0)</f>
        <v>351078308</v>
      </c>
      <c r="CI1131" s="62">
        <f t="shared" si="160"/>
        <v>502502591</v>
      </c>
      <c r="CJ1131" s="63">
        <f t="shared" si="161"/>
        <v>853580899</v>
      </c>
      <c r="CK1131" s="64">
        <f t="shared" si="162"/>
        <v>0</v>
      </c>
      <c r="CL1131" s="16"/>
      <c r="CM1131" s="16"/>
      <c r="CN1131" s="16"/>
    </row>
    <row r="1132" spans="1:112" ht="15" customHeight="1" x14ac:dyDescent="0.2">
      <c r="A1132" s="1">
        <v>8918021067</v>
      </c>
      <c r="B1132" s="1">
        <v>891802106</v>
      </c>
      <c r="C1132" s="9">
        <v>219715897</v>
      </c>
      <c r="D1132" s="10" t="s">
        <v>335</v>
      </c>
      <c r="E1132" s="45" t="s">
        <v>1366</v>
      </c>
      <c r="F1132" s="21"/>
      <c r="G1132" s="59"/>
      <c r="H1132" s="21"/>
      <c r="I1132" s="59"/>
      <c r="J1132" s="21"/>
      <c r="K1132" s="21"/>
      <c r="L1132" s="59"/>
      <c r="M1132" s="60"/>
      <c r="N1132" s="21"/>
      <c r="O1132" s="59"/>
      <c r="P1132" s="21"/>
      <c r="Q1132" s="59"/>
      <c r="R1132" s="21"/>
      <c r="S1132" s="21"/>
      <c r="T1132" s="59"/>
      <c r="U1132" s="60">
        <f t="shared" si="157"/>
        <v>0</v>
      </c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>
        <v>45438535</v>
      </c>
      <c r="AZ1132" s="60"/>
      <c r="BA1132" s="60">
        <f>VLOOKUP(B1132,[2]Hoja3!J$3:K$674,2,0)</f>
        <v>79190140</v>
      </c>
      <c r="BB1132" s="60"/>
      <c r="BC1132" s="61">
        <f t="shared" si="158"/>
        <v>124628675</v>
      </c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>
        <v>9087707</v>
      </c>
      <c r="BO1132" s="60"/>
      <c r="BP1132" s="61">
        <v>133716382</v>
      </c>
      <c r="BQ1132" s="61"/>
      <c r="BR1132" s="61"/>
      <c r="BS1132" s="61"/>
      <c r="BT1132" s="61"/>
      <c r="BU1132" s="61"/>
      <c r="BV1132" s="61"/>
      <c r="BW1132" s="61"/>
      <c r="BX1132" s="61"/>
      <c r="BY1132" s="61"/>
      <c r="BZ1132" s="61"/>
      <c r="CA1132" s="61"/>
      <c r="CB1132" s="61"/>
      <c r="CC1132" s="61">
        <v>9087707</v>
      </c>
      <c r="CD1132" s="61"/>
      <c r="CE1132" s="61"/>
      <c r="CF1132" s="61"/>
      <c r="CG1132" s="61">
        <f t="shared" si="159"/>
        <v>142804089</v>
      </c>
      <c r="CH1132" s="62">
        <f>VLOOKUP(B1132,[1]RPTNCT049_ConsultaSaldosContabl!I$4:K$7987,3,0)</f>
        <v>63613949</v>
      </c>
      <c r="CI1132" s="62">
        <f t="shared" si="160"/>
        <v>79190140</v>
      </c>
      <c r="CJ1132" s="63">
        <f t="shared" si="161"/>
        <v>142804089</v>
      </c>
      <c r="CK1132" s="64">
        <f t="shared" si="162"/>
        <v>0</v>
      </c>
      <c r="CL1132" s="16"/>
      <c r="CM1132" s="8"/>
      <c r="CN1132" s="8"/>
      <c r="CO1132" s="8"/>
      <c r="CP1132" s="8"/>
      <c r="CQ1132" s="8"/>
      <c r="CR1132" s="8"/>
    </row>
    <row r="1133" spans="1:112" ht="15" customHeight="1" x14ac:dyDescent="0.2">
      <c r="A1133" s="1">
        <v>8000947786</v>
      </c>
      <c r="B1133" s="1">
        <v>800094778</v>
      </c>
      <c r="C1133" s="9">
        <v>219825898</v>
      </c>
      <c r="D1133" s="10" t="s">
        <v>566</v>
      </c>
      <c r="E1133" s="45" t="s">
        <v>1585</v>
      </c>
      <c r="F1133" s="21"/>
      <c r="G1133" s="59"/>
      <c r="H1133" s="21"/>
      <c r="I1133" s="59"/>
      <c r="J1133" s="21"/>
      <c r="K1133" s="21"/>
      <c r="L1133" s="59"/>
      <c r="M1133" s="60"/>
      <c r="N1133" s="21"/>
      <c r="O1133" s="59"/>
      <c r="P1133" s="21"/>
      <c r="Q1133" s="59"/>
      <c r="R1133" s="21"/>
      <c r="S1133" s="21"/>
      <c r="T1133" s="59"/>
      <c r="U1133" s="60">
        <f t="shared" si="157"/>
        <v>0</v>
      </c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>
        <v>61636818</v>
      </c>
      <c r="AN1133" s="60">
        <f>SUBTOTAL(9,AC1133:AM1133)</f>
        <v>61636818</v>
      </c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>
        <v>30981275</v>
      </c>
      <c r="AZ1133" s="60"/>
      <c r="BA1133" s="60"/>
      <c r="BB1133" s="60"/>
      <c r="BC1133" s="61">
        <f t="shared" si="158"/>
        <v>92618093</v>
      </c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>
        <v>6196255</v>
      </c>
      <c r="BO1133" s="60"/>
      <c r="BP1133" s="61">
        <v>98814348</v>
      </c>
      <c r="BQ1133" s="61"/>
      <c r="BR1133" s="61"/>
      <c r="BS1133" s="61"/>
      <c r="BT1133" s="61"/>
      <c r="BU1133" s="61"/>
      <c r="BV1133" s="61"/>
      <c r="BW1133" s="61"/>
      <c r="BX1133" s="61"/>
      <c r="BY1133" s="61"/>
      <c r="BZ1133" s="61"/>
      <c r="CA1133" s="61"/>
      <c r="CB1133" s="61"/>
      <c r="CC1133" s="61">
        <v>6196255</v>
      </c>
      <c r="CD1133" s="61"/>
      <c r="CE1133" s="61"/>
      <c r="CF1133" s="61"/>
      <c r="CG1133" s="61">
        <f t="shared" si="159"/>
        <v>105010603</v>
      </c>
      <c r="CH1133" s="62">
        <f>VLOOKUP(B1133,[1]RPTNCT049_ConsultaSaldosContabl!I$4:K$7987,3,0)</f>
        <v>43373785</v>
      </c>
      <c r="CI1133" s="62">
        <f t="shared" si="160"/>
        <v>61636818</v>
      </c>
      <c r="CJ1133" s="63">
        <f t="shared" si="161"/>
        <v>105010603</v>
      </c>
      <c r="CK1133" s="64">
        <f t="shared" si="162"/>
        <v>0</v>
      </c>
      <c r="CL1133" s="16"/>
      <c r="CM1133" s="16"/>
      <c r="CN1133" s="16"/>
    </row>
    <row r="1134" spans="1:112" ht="15" customHeight="1" x14ac:dyDescent="0.2">
      <c r="A1134" s="1">
        <v>8999993186</v>
      </c>
      <c r="B1134" s="1">
        <v>899999318</v>
      </c>
      <c r="C1134" s="9">
        <v>219925899</v>
      </c>
      <c r="D1134" s="10" t="s">
        <v>567</v>
      </c>
      <c r="E1134" s="47" t="s">
        <v>1586</v>
      </c>
      <c r="F1134" s="21"/>
      <c r="G1134" s="59"/>
      <c r="H1134" s="21"/>
      <c r="I1134" s="59">
        <v>2369172498</v>
      </c>
      <c r="J1134" s="21">
        <v>157344652</v>
      </c>
      <c r="K1134" s="21">
        <v>311650913</v>
      </c>
      <c r="L1134" s="59"/>
      <c r="M1134" s="61">
        <f>SUM(F1134:L1134)</f>
        <v>2838168063</v>
      </c>
      <c r="N1134" s="21"/>
      <c r="O1134" s="59"/>
      <c r="P1134" s="21"/>
      <c r="Q1134" s="59">
        <f>2236387026+15034816</f>
        <v>2251421842</v>
      </c>
      <c r="R1134" s="21">
        <v>157344652</v>
      </c>
      <c r="S1134" s="21">
        <f>154306261+157344652</f>
        <v>311650913</v>
      </c>
      <c r="T1134" s="59"/>
      <c r="U1134" s="60">
        <f t="shared" si="157"/>
        <v>5558585470</v>
      </c>
      <c r="V1134" s="60"/>
      <c r="W1134" s="60"/>
      <c r="X1134" s="60"/>
      <c r="Y1134" s="60">
        <v>2770852913</v>
      </c>
      <c r="Z1134" s="60">
        <v>156787775</v>
      </c>
      <c r="AA1134" s="60">
        <v>362327016</v>
      </c>
      <c r="AB1134" s="60"/>
      <c r="AC1134" s="60">
        <f t="shared" si="164"/>
        <v>8848553174</v>
      </c>
      <c r="AD1134" s="60"/>
      <c r="AE1134" s="60"/>
      <c r="AF1134" s="60"/>
      <c r="AG1134" s="60"/>
      <c r="AH1134" s="60">
        <v>2181847565</v>
      </c>
      <c r="AI1134" s="60">
        <v>217423171</v>
      </c>
      <c r="AJ1134" s="60">
        <v>161582706</v>
      </c>
      <c r="AK1134" s="60">
        <v>406975021</v>
      </c>
      <c r="AL1134" s="60"/>
      <c r="AM1134" s="60">
        <v>980822506</v>
      </c>
      <c r="AN1134" s="60">
        <f>SUBTOTAL(9,AC1134:AM1134)</f>
        <v>12797204143</v>
      </c>
      <c r="AO1134" s="60"/>
      <c r="AP1134" s="60"/>
      <c r="AQ1134" s="60">
        <v>521112600</v>
      </c>
      <c r="AR1134" s="60"/>
      <c r="AS1134" s="60"/>
      <c r="AT1134" s="60">
        <v>2181847565</v>
      </c>
      <c r="AU1134" s="60"/>
      <c r="AV1134" s="60">
        <v>161582706</v>
      </c>
      <c r="AW1134" s="60">
        <v>275633203</v>
      </c>
      <c r="AX1134" s="60"/>
      <c r="AY1134" s="60"/>
      <c r="AZ1134" s="60"/>
      <c r="BA1134" s="60">
        <f>VLOOKUP(B1134,[2]Hoja3!J$3:K$674,2,0)</f>
        <v>156377313</v>
      </c>
      <c r="BB1134" s="60"/>
      <c r="BC1134" s="61">
        <f t="shared" si="158"/>
        <v>16093757530</v>
      </c>
      <c r="BD1134" s="60"/>
      <c r="BE1134" s="60"/>
      <c r="BF1134" s="60">
        <v>104222520</v>
      </c>
      <c r="BG1134" s="60"/>
      <c r="BH1134" s="60"/>
      <c r="BI1134" s="60">
        <v>2750541274</v>
      </c>
      <c r="BJ1134" s="60">
        <v>55075900</v>
      </c>
      <c r="BK1134" s="60">
        <v>183118848</v>
      </c>
      <c r="BL1134" s="60">
        <v>465245640</v>
      </c>
      <c r="BM1134" s="60"/>
      <c r="BN1134" s="60"/>
      <c r="BO1134" s="60"/>
      <c r="BP1134" s="61">
        <v>19651961712</v>
      </c>
      <c r="BQ1134" s="61"/>
      <c r="BR1134" s="61"/>
      <c r="BS1134" s="61">
        <v>104222520</v>
      </c>
      <c r="BT1134" s="61"/>
      <c r="BU1134" s="61"/>
      <c r="BV1134" s="61"/>
      <c r="BW1134" s="61">
        <v>2308130837</v>
      </c>
      <c r="BX1134" s="61"/>
      <c r="BY1134" s="61">
        <v>1056351451</v>
      </c>
      <c r="BZ1134" s="61">
        <v>166561234</v>
      </c>
      <c r="CA1134" s="61">
        <v>432900183</v>
      </c>
      <c r="CB1134" s="61"/>
      <c r="CC1134" s="61"/>
      <c r="CD1134" s="61"/>
      <c r="CE1134" s="61"/>
      <c r="CF1134" s="61"/>
      <c r="CG1134" s="61">
        <f t="shared" si="159"/>
        <v>23720127937</v>
      </c>
      <c r="CH1134" s="62">
        <f>VLOOKUP(B1134,[1]RPTNCT049_ConsultaSaldosContabl!I$4:K$7987,3,0)</f>
        <v>22582928118</v>
      </c>
      <c r="CI1134" s="62">
        <f t="shared" si="160"/>
        <v>1137199819</v>
      </c>
      <c r="CJ1134" s="63">
        <f t="shared" si="161"/>
        <v>23720127937</v>
      </c>
      <c r="CK1134" s="64">
        <f t="shared" si="162"/>
        <v>0</v>
      </c>
      <c r="CL1134" s="16"/>
      <c r="CM1134" s="16"/>
      <c r="CN1134" s="16"/>
    </row>
    <row r="1135" spans="1:112" ht="15" customHeight="1" x14ac:dyDescent="0.2">
      <c r="A1135" s="1">
        <v>8190032975</v>
      </c>
      <c r="B1135" s="1">
        <v>819003297</v>
      </c>
      <c r="C1135" s="9">
        <v>218047980</v>
      </c>
      <c r="D1135" s="10" t="s">
        <v>665</v>
      </c>
      <c r="E1135" s="45" t="s">
        <v>1685</v>
      </c>
      <c r="F1135" s="21"/>
      <c r="G1135" s="59"/>
      <c r="H1135" s="21"/>
      <c r="I1135" s="59"/>
      <c r="J1135" s="21"/>
      <c r="K1135" s="21"/>
      <c r="L1135" s="59"/>
      <c r="M1135" s="60"/>
      <c r="N1135" s="21"/>
      <c r="O1135" s="59"/>
      <c r="P1135" s="21"/>
      <c r="Q1135" s="59"/>
      <c r="R1135" s="21"/>
      <c r="S1135" s="21"/>
      <c r="T1135" s="59"/>
      <c r="U1135" s="60">
        <f t="shared" si="157"/>
        <v>0</v>
      </c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70">
        <v>432954164</v>
      </c>
      <c r="AN1135" s="60">
        <f>SUBTOTAL(9,AC1135:AM1135)</f>
        <v>432954164</v>
      </c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>
        <v>628721615</v>
      </c>
      <c r="AZ1135" s="60"/>
      <c r="BA1135" s="60">
        <f>VLOOKUP(B1135,[2]Hoja3!J$3:K$674,2,0)</f>
        <v>1099946223</v>
      </c>
      <c r="BB1135" s="60"/>
      <c r="BC1135" s="61">
        <f t="shared" si="158"/>
        <v>2161622002</v>
      </c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>
        <v>125744323</v>
      </c>
      <c r="BO1135" s="60"/>
      <c r="BP1135" s="61">
        <v>2287366325</v>
      </c>
      <c r="BQ1135" s="61"/>
      <c r="BR1135" s="61"/>
      <c r="BS1135" s="61"/>
      <c r="BT1135" s="61"/>
      <c r="BU1135" s="61"/>
      <c r="BV1135" s="61"/>
      <c r="BW1135" s="61"/>
      <c r="BX1135" s="61"/>
      <c r="BY1135" s="61"/>
      <c r="BZ1135" s="61"/>
      <c r="CA1135" s="61"/>
      <c r="CB1135" s="61"/>
      <c r="CC1135" s="61">
        <v>125744323</v>
      </c>
      <c r="CD1135" s="61"/>
      <c r="CE1135" s="61"/>
      <c r="CF1135" s="61"/>
      <c r="CG1135" s="61">
        <f t="shared" si="159"/>
        <v>2413110648</v>
      </c>
      <c r="CH1135" s="62">
        <f>VLOOKUP(B1135,[1]RPTNCT049_ConsultaSaldosContabl!I$4:K$7987,3,0)</f>
        <v>880210261</v>
      </c>
      <c r="CI1135" s="62">
        <f t="shared" si="160"/>
        <v>1532900387</v>
      </c>
      <c r="CJ1135" s="63">
        <f t="shared" si="161"/>
        <v>2413110648</v>
      </c>
      <c r="CK1135" s="64">
        <f t="shared" si="162"/>
        <v>0</v>
      </c>
      <c r="CL1135" s="16"/>
      <c r="CM1135" s="16"/>
      <c r="CN1135" s="16"/>
      <c r="DE1135" s="20">
        <f>SUM(AN3:AN1135)</f>
        <v>6843779305294</v>
      </c>
      <c r="DF1135" s="20">
        <f>SUM(AO3:AO1135)</f>
        <v>611516138401</v>
      </c>
      <c r="DG1135" s="20">
        <f>SUM(AP3:AP1135)</f>
        <v>15568008607</v>
      </c>
      <c r="DH1135" s="20">
        <f>SUM(AQ3:AQ1135)</f>
        <v>89872530930</v>
      </c>
    </row>
    <row r="1136" spans="1:112" s="3" customFormat="1" ht="13.5" customHeight="1" x14ac:dyDescent="0.2">
      <c r="A1136" s="88" t="s">
        <v>1002</v>
      </c>
      <c r="B1136" s="88"/>
      <c r="C1136" s="88"/>
      <c r="D1136" s="88"/>
      <c r="E1136" s="89"/>
      <c r="F1136" s="71">
        <f t="shared" ref="F1136:X1136" si="166">SUM(F3:F1134)</f>
        <v>599100912219</v>
      </c>
      <c r="G1136" s="71">
        <f t="shared" si="166"/>
        <v>0</v>
      </c>
      <c r="H1136" s="71">
        <f t="shared" si="166"/>
        <v>24408484383</v>
      </c>
      <c r="I1136" s="71">
        <f t="shared" si="166"/>
        <v>526000803651</v>
      </c>
      <c r="J1136" s="71">
        <f t="shared" si="166"/>
        <v>76690023332</v>
      </c>
      <c r="K1136" s="71">
        <f t="shared" si="166"/>
        <v>154331629618</v>
      </c>
      <c r="L1136" s="71">
        <f t="shared" si="166"/>
        <v>3721053169</v>
      </c>
      <c r="M1136" s="71">
        <f t="shared" si="166"/>
        <v>1384252906372</v>
      </c>
      <c r="N1136" s="71">
        <f t="shared" si="166"/>
        <v>635175623497</v>
      </c>
      <c r="O1136" s="71">
        <f t="shared" si="166"/>
        <v>0</v>
      </c>
      <c r="P1136" s="71">
        <f t="shared" si="166"/>
        <v>28129537552</v>
      </c>
      <c r="Q1136" s="71">
        <f t="shared" si="166"/>
        <v>554792200290</v>
      </c>
      <c r="R1136" s="71">
        <f t="shared" si="166"/>
        <v>76617664008</v>
      </c>
      <c r="S1136" s="71">
        <f t="shared" si="166"/>
        <v>154293631604</v>
      </c>
      <c r="T1136" s="71">
        <f t="shared" si="166"/>
        <v>0</v>
      </c>
      <c r="U1136" s="71">
        <f t="shared" si="166"/>
        <v>2833261563323</v>
      </c>
      <c r="V1136" s="71">
        <f t="shared" si="166"/>
        <v>863593300745</v>
      </c>
      <c r="W1136" s="71">
        <f t="shared" si="166"/>
        <v>0</v>
      </c>
      <c r="X1136" s="71">
        <f t="shared" si="166"/>
        <v>24398908638</v>
      </c>
      <c r="Y1136" s="71">
        <f t="shared" ref="Y1136:AL1136" si="167">SUM(Y3:Y1134)</f>
        <v>845742951305</v>
      </c>
      <c r="Z1136" s="71">
        <f t="shared" si="167"/>
        <v>77256450991</v>
      </c>
      <c r="AA1136" s="71">
        <f t="shared" si="167"/>
        <v>168839077119</v>
      </c>
      <c r="AB1136" s="71">
        <f t="shared" si="167"/>
        <v>3721053169</v>
      </c>
      <c r="AC1136" s="71">
        <f t="shared" si="167"/>
        <v>4816813305290</v>
      </c>
      <c r="AD1136" s="71">
        <f t="shared" si="167"/>
        <v>600858134858</v>
      </c>
      <c r="AE1136" s="71">
        <f t="shared" si="167"/>
        <v>101979759607</v>
      </c>
      <c r="AF1136" s="71">
        <f t="shared" si="167"/>
        <v>0</v>
      </c>
      <c r="AG1136" s="71">
        <f t="shared" si="167"/>
        <v>24408484383</v>
      </c>
      <c r="AH1136" s="71">
        <f t="shared" si="167"/>
        <v>540570128982</v>
      </c>
      <c r="AI1136" s="71">
        <f t="shared" si="167"/>
        <v>94907177426</v>
      </c>
      <c r="AJ1136" s="71">
        <f t="shared" si="167"/>
        <v>77910341647</v>
      </c>
      <c r="AK1136" s="71">
        <f t="shared" si="167"/>
        <v>196629021350</v>
      </c>
      <c r="AL1136" s="71">
        <f t="shared" si="167"/>
        <v>3721053169</v>
      </c>
      <c r="AM1136" s="71">
        <f>SUM(AM3:AM1135)</f>
        <v>385981898582</v>
      </c>
      <c r="AN1136" s="71">
        <f t="shared" ref="AN1136:BC1136" si="168">SUM(AN3:AN1135)</f>
        <v>6843779305294</v>
      </c>
      <c r="AO1136" s="71">
        <f t="shared" si="168"/>
        <v>611516138401</v>
      </c>
      <c r="AP1136" s="71">
        <f t="shared" si="168"/>
        <v>15568008607</v>
      </c>
      <c r="AQ1136" s="71">
        <f t="shared" si="168"/>
        <v>89872530930</v>
      </c>
      <c r="AR1136" s="71">
        <f t="shared" si="168"/>
        <v>24408484383</v>
      </c>
      <c r="AS1136" s="71">
        <f>SUM(AS3:AS1135)</f>
        <v>35630597573</v>
      </c>
      <c r="AT1136" s="71">
        <f>SUM(AT3:AT1135)</f>
        <v>526502455145</v>
      </c>
      <c r="AU1136" s="71">
        <f>SUM(AU3:AU1135)</f>
        <v>31949960201</v>
      </c>
      <c r="AV1136" s="71">
        <f t="shared" si="168"/>
        <v>74937343928</v>
      </c>
      <c r="AW1136" s="71">
        <f t="shared" si="168"/>
        <v>119634341694</v>
      </c>
      <c r="AX1136" s="71">
        <f t="shared" si="168"/>
        <v>3721053169</v>
      </c>
      <c r="AY1136" s="71">
        <f t="shared" si="168"/>
        <v>119039351240</v>
      </c>
      <c r="AZ1136" s="71">
        <f>SUM(AZ3:AZ1135)</f>
        <v>64565772317</v>
      </c>
      <c r="BA1136" s="71">
        <f t="shared" si="168"/>
        <v>133691166058</v>
      </c>
      <c r="BB1136" s="71">
        <f t="shared" si="168"/>
        <v>8718050000</v>
      </c>
      <c r="BC1136" s="71">
        <f t="shared" si="168"/>
        <v>8686098458940</v>
      </c>
      <c r="BD1136" s="71">
        <f>SUM(BD3:BD1135)</f>
        <v>614502935653</v>
      </c>
      <c r="BE1136" s="71">
        <f t="shared" ref="BE1136:BO1136" si="169">SUM(BE3:BE1135)</f>
        <v>32840715615</v>
      </c>
      <c r="BF1136" s="71">
        <f t="shared" si="169"/>
        <v>17974506186</v>
      </c>
      <c r="BG1136" s="71">
        <f t="shared" si="169"/>
        <v>48816968766</v>
      </c>
      <c r="BH1136" s="71">
        <f t="shared" si="169"/>
        <v>0</v>
      </c>
      <c r="BI1136" s="71">
        <f t="shared" si="169"/>
        <v>534272643245</v>
      </c>
      <c r="BJ1136" s="71">
        <f t="shared" si="169"/>
        <v>46074327763</v>
      </c>
      <c r="BK1136" s="71">
        <f t="shared" si="169"/>
        <v>80473622830</v>
      </c>
      <c r="BL1136" s="71">
        <f t="shared" si="169"/>
        <v>214415688931</v>
      </c>
      <c r="BM1136" s="71">
        <f t="shared" si="169"/>
        <v>7442106338</v>
      </c>
      <c r="BN1136" s="71">
        <f t="shared" si="169"/>
        <v>26635251945</v>
      </c>
      <c r="BO1136" s="71">
        <f t="shared" si="169"/>
        <v>2016768552</v>
      </c>
      <c r="BP1136" s="71">
        <f>SUM(BP3:BP1135)</f>
        <v>10311563994764</v>
      </c>
      <c r="BQ1136" s="71">
        <f t="shared" ref="BQ1136:CC1136" si="170">SUM(BQ3:BQ1135)</f>
        <v>616728467656</v>
      </c>
      <c r="BR1136" s="71">
        <f t="shared" si="170"/>
        <v>43219399914</v>
      </c>
      <c r="BS1136" s="71">
        <f t="shared" si="170"/>
        <v>17855017822</v>
      </c>
      <c r="BT1136" s="71">
        <f t="shared" si="170"/>
        <v>24408484383</v>
      </c>
      <c r="BU1136" s="71">
        <f t="shared" si="170"/>
        <v>267197029833</v>
      </c>
      <c r="BV1136" s="71">
        <f t="shared" si="170"/>
        <v>2984450562</v>
      </c>
      <c r="BW1136" s="71">
        <f t="shared" si="170"/>
        <v>533634607039</v>
      </c>
      <c r="BX1136" s="71">
        <f t="shared" si="170"/>
        <v>57505616145</v>
      </c>
      <c r="BY1136" s="71">
        <f t="shared" si="170"/>
        <v>241033337556</v>
      </c>
      <c r="BZ1136" s="71">
        <f t="shared" si="170"/>
        <v>80855129831</v>
      </c>
      <c r="CA1136" s="71">
        <f t="shared" si="170"/>
        <v>210891570911</v>
      </c>
      <c r="CB1136" s="71">
        <f t="shared" si="170"/>
        <v>3721053169</v>
      </c>
      <c r="CC1136" s="71">
        <f t="shared" si="170"/>
        <v>39433128941</v>
      </c>
      <c r="CD1136" s="75">
        <f>SUM(CD3:CD1135)</f>
        <v>10586538541</v>
      </c>
      <c r="CE1136" s="75">
        <f>SUM(CE3:CE1135)</f>
        <v>12124474263</v>
      </c>
      <c r="CF1136" s="71">
        <f t="shared" ref="CF1136:CK1136" si="171">SUM(CF3:CF1135)</f>
        <v>-141339755</v>
      </c>
      <c r="CG1136" s="71">
        <f t="shared" si="171"/>
        <v>12473600961575</v>
      </c>
      <c r="CH1136" s="71">
        <f t="shared" si="171"/>
        <v>11948646043875</v>
      </c>
      <c r="CI1136" s="71">
        <f t="shared" si="171"/>
        <v>524954917700</v>
      </c>
      <c r="CJ1136" s="71">
        <f t="shared" si="171"/>
        <v>12473600961575</v>
      </c>
      <c r="CK1136" s="71">
        <f t="shared" si="171"/>
        <v>0</v>
      </c>
      <c r="CL1136" s="16"/>
      <c r="CM1136" s="15"/>
      <c r="CN1136" s="16" t="s">
        <v>2252</v>
      </c>
    </row>
    <row r="1137" spans="38:88" x14ac:dyDescent="0.25">
      <c r="AL1137" s="6">
        <v>13349812353</v>
      </c>
      <c r="AO1137" s="15"/>
      <c r="BB1137" s="42"/>
      <c r="BC1137" s="42"/>
      <c r="BD1137" s="15"/>
      <c r="BO1137" s="25"/>
      <c r="BP1137" s="42"/>
      <c r="BQ1137" s="15"/>
      <c r="CF1137" s="42"/>
      <c r="CG1137" s="42"/>
      <c r="CH1137" s="41"/>
      <c r="CI1137" s="41"/>
      <c r="CJ1137" s="16"/>
    </row>
    <row r="1138" spans="38:88" x14ac:dyDescent="0.25"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44"/>
      <c r="BC1138" s="8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O1138" s="2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8"/>
      <c r="CJ1138" s="15"/>
    </row>
    <row r="1139" spans="38:88" x14ac:dyDescent="0.25">
      <c r="AM1139" s="3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72">
        <f>SUBTOTAL(9,AW51:AW1134)</f>
        <v>119634341694</v>
      </c>
      <c r="AX1139" s="25"/>
      <c r="AY1139" s="25"/>
      <c r="AZ1139" s="25"/>
      <c r="BA1139" s="25"/>
      <c r="BB1139" s="43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8"/>
      <c r="BQ1139" s="25"/>
      <c r="BR1139" s="25"/>
      <c r="BS1139" s="25"/>
      <c r="BT1139" s="25"/>
      <c r="BU1139" s="25"/>
      <c r="BV1139" s="25"/>
      <c r="BW1139" s="25"/>
      <c r="BX1139" s="25"/>
      <c r="BY1139" s="25"/>
      <c r="BZ1139" s="25"/>
      <c r="CA1139" s="72"/>
      <c r="CB1139" s="25"/>
      <c r="CC1139" s="25"/>
      <c r="CD1139" s="25"/>
      <c r="CE1139" s="25"/>
      <c r="CF1139" s="25"/>
      <c r="CG1139" s="25"/>
      <c r="CJ1139" s="25"/>
    </row>
    <row r="1140" spans="38:88" x14ac:dyDescent="0.25">
      <c r="CE1140" s="15"/>
    </row>
    <row r="1141" spans="38:88" x14ac:dyDescent="0.25">
      <c r="CE1141" s="16"/>
    </row>
  </sheetData>
  <autoFilter ref="A2:DH1141" xr:uid="{A0A40850-B9AF-4B00-92F6-39A0FF19E701}"/>
  <mergeCells count="33">
    <mergeCell ref="CH1:CK1"/>
    <mergeCell ref="U1:U2"/>
    <mergeCell ref="V1:X1"/>
    <mergeCell ref="Y1:AB1"/>
    <mergeCell ref="AC1:AC2"/>
    <mergeCell ref="AD1:AG1"/>
    <mergeCell ref="AN1:AN2"/>
    <mergeCell ref="AM1:AM2"/>
    <mergeCell ref="AH1:AL1"/>
    <mergeCell ref="AO1:AS1"/>
    <mergeCell ref="AT1:AZ1"/>
    <mergeCell ref="BD1:BH1"/>
    <mergeCell ref="BI1:BM1"/>
    <mergeCell ref="BP1:BP2"/>
    <mergeCell ref="BA1:BB1"/>
    <mergeCell ref="BO1:BO2"/>
    <mergeCell ref="A1136:E1136"/>
    <mergeCell ref="A1:A2"/>
    <mergeCell ref="C1:C2"/>
    <mergeCell ref="D1:D2"/>
    <mergeCell ref="E1:E2"/>
    <mergeCell ref="B1:B2"/>
    <mergeCell ref="BQ1:BV1"/>
    <mergeCell ref="BW1:CD1"/>
    <mergeCell ref="CE1:CF1"/>
    <mergeCell ref="CG1:CG2"/>
    <mergeCell ref="F1:H1"/>
    <mergeCell ref="BN1:BN2"/>
    <mergeCell ref="BC1:BC2"/>
    <mergeCell ref="I1:L1"/>
    <mergeCell ref="M1:M2"/>
    <mergeCell ref="N1:P1"/>
    <mergeCell ref="Q1:T1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3" r:id="rId46" xr:uid="{139366E4-ECEB-40E5-B206-474FE43129F4}"/>
    <hyperlink ref="E473" r:id="rId47" display="mailto:Alexander.cardona@itagui.gov.co" xr:uid="{45F666EC-4B90-499C-9D90-38A79C38C0ED}"/>
    <hyperlink ref="E528" r:id="rId48" xr:uid="{65C90646-5855-4794-AC86-665C1DABECC5}"/>
    <hyperlink ref="E286" r:id="rId49" xr:uid="{29338C5A-6C0A-4DC3-98E8-D341AFC98509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50"/>
  <headerFooter alignWithMargins="0">
    <oddFooter>&amp;L&amp;8Archivo: jfontecha\SGP\&amp;F&amp;C&amp;8Fecha de Impresión  &amp;D</oddFooter>
  </headerFooter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JUNIO 2018</vt:lpstr>
      <vt:lpstr>'SGP JUNIO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Patricia Herrera Reyes</dc:creator>
  <cp:lastModifiedBy>Doris Patricia Herrera Reyes</cp:lastModifiedBy>
  <dcterms:created xsi:type="dcterms:W3CDTF">2018-08-08T15:36:41Z</dcterms:created>
  <dcterms:modified xsi:type="dcterms:W3CDTF">2018-08-21T14:31:59Z</dcterms:modified>
</cp:coreProperties>
</file>